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3号楼)" sheetId="79" state="hidden" r:id="rId19"/>
    <sheet name="成本法" sheetId="68" state="hidden" r:id="rId20"/>
    <sheet name="成本法 (元)" sheetId="69" state="hidden" r:id="rId21"/>
    <sheet name="假设开发法" sheetId="12" state="hidden" r:id="rId22"/>
    <sheet name="收益法（3号楼）" sheetId="15" r:id="rId23"/>
    <sheet name="收益法 (元)" sheetId="67" state="hidden" r:id="rId24"/>
    <sheet name="酒店收入计算" sheetId="66" state="hidden" r:id="rId25"/>
    <sheet name="比较法-住宅" sheetId="21" state="hidden" r:id="rId26"/>
    <sheet name="收益法 (4号楼)" sheetId="81" r:id="rId27"/>
    <sheet name="收益法（汇总）" sheetId="70"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面积"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约" sheetId="80" r:id="rId48"/>
    <sheet name="Sheet2" sheetId="78" r:id="rId49"/>
    <sheet name="清单" sheetId="82"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(4号楼)'!$A$1:$AK$69</definedName>
    <definedName name="_xlnm.Print_Area" localSheetId="23">'收益法 (元)'!$A$1:$AK$69</definedName>
    <definedName name="_xlnm.Print_Area" localSheetId="22">'收益法（3号楼）'!$A$1:$AK$69</definedName>
    <definedName name="_xlnm.Print_Area" localSheetId="13">'数据-汇总表'!$A$1:$P$32</definedName>
    <definedName name="八级">区片价!$O$1:$O$40</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区片价!$I$1:$I$20</definedName>
    <definedName name="二级分类" localSheetId="41">[1]修正!$C$17:$C$39</definedName>
    <definedName name="二级分类">修正!$C$17:$C$39</definedName>
    <definedName name="法定最高年限" localSheetId="41">[1]定义!$G$1:$G$4</definedName>
    <definedName name="法定最高年限">定义!$G$1:$G$4</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区片价!$P$1:$P$46</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区片价!$M$1:$M$49</definedName>
    <definedName name="内部装修维护情况" localSheetId="41">[1]定义!$U$1:$U$6</definedName>
    <definedName name="内部装修维护情况">定义!$U$1:$U$6</definedName>
    <definedName name="判定" localSheetId="41">[1]定义!$D$1:$D$4</definedName>
    <definedName name="判定">定义!$D$1:$D$4</definedName>
    <definedName name="七级">区片价!$N$1:$N$49</definedName>
    <definedName name="七通一平" localSheetId="41">[1]修正!$A$6:$A$14</definedName>
    <definedName name="七通一平">修正!$A$6:$A$14</definedName>
    <definedName name="区域土地利用方向" localSheetId="41">[1]定义!$P$1:$P$6</definedName>
    <definedName name="区域土地利用方向">定义!$P$1:$P$6</definedName>
    <definedName name="三级">区片价!$J$1:$J$21</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[1]修正!$C$59:$C$119</definedName>
    <definedName name="商业街名称">修正!$C$59:$C$119</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区片价!$K$1:$K$28</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'[1]土地比较法-住宅、综合'!$A$73:$M$73</definedName>
    <definedName name="套工交易情况">'土地比较法-住宅、综合'!$A$73:$M$73</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'[1]土地比较法-住宅、综合'!$B$106:$M$106</definedName>
    <definedName name="套综道路等级">'土地比较法-住宅、综合'!$B$106:$M$106</definedName>
    <definedName name="套综工程地质条件" localSheetId="41">'[1]土地比较法-住宅、综合'!$B$125:$M$125</definedName>
    <definedName name="套综工程地质条件">'土地比较法-住宅、综合'!$B$125:$M$125</definedName>
    <definedName name="套综交易情况" localSheetId="41">'[1]土地比较法-住宅、综合'!$A$73:$M$73</definedName>
    <definedName name="套综交易情况">'土地比较法-住宅、综合'!$A$73:$M$73</definedName>
    <definedName name="套综临街宽度及深度" localSheetId="41">'[1]土地比较法-住宅、综合'!$B$121:$M$121</definedName>
    <definedName name="套综临街宽度及深度">'土地比较法-住宅、综合'!$B$121:$M$121</definedName>
    <definedName name="套综土地级别" localSheetId="41">'[1]土地比较法-住宅、综合'!$B$108:$M$108</definedName>
    <definedName name="套综土地级别">'土地比较法-住宅、综合'!$B$108:$M$108</definedName>
    <definedName name="套综用途" localSheetId="41">'[1]土地比较法-住宅、综合'!$B$75:$M$75</definedName>
    <definedName name="套综用途">'土地比较法-住宅、综合'!$B$75:$M$75</definedName>
    <definedName name="套综宗地内开发程度" localSheetId="41">'[1]土地比较法-住宅、综合'!$B$123:$M$123</definedName>
    <definedName name="套综宗地内开发程度">'土地比较法-住宅、综合'!$B$123:$M$123</definedName>
    <definedName name="套综宗地形状" localSheetId="41">'[1]土地比较法-住宅、综合'!$B$119:$M$119</definedName>
    <definedName name="套综宗地形状">'土地比较法-住宅、综合'!$B$119:$M$119</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 localSheetId="41">[1]定义!$I$1:$I$8</definedName>
    <definedName name="土地年限区间">定义!$I$1:$I$8</definedName>
    <definedName name="位置" localSheetId="41">[1]定义!$E$2:$E$4</definedName>
    <definedName name="位置">定义!$E$2:$E$4</definedName>
    <definedName name="五等判定" localSheetId="41">[1]定义!$W$1:$W$6</definedName>
    <definedName name="五等判定">定义!$W$1:$W$6</definedName>
    <definedName name="五级">区片价!$L$1:$L$35</definedName>
    <definedName name="项目类型" localSheetId="41">'[1]数据-汇总表'!$C$17:$C$26</definedName>
    <definedName name="项目类型">'数据-汇总表'!$C$17:$C$26</definedName>
    <definedName name="写字楼等级" localSheetId="41">'[1]比较法-办公'!$B$113:$M$113</definedName>
    <definedName name="写字楼等级">'比较法-办公'!$B$113:$M$113</definedName>
    <definedName name="一级">区片价!$H$1:$H$6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[1]定义!$F$1:$F$10</definedName>
    <definedName name="主用途">定义!$F$1:$F$10</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22" i="82" l="1"/>
  <c r="D15" i="82"/>
  <c r="N20" i="1" l="1"/>
  <c r="AD7" i="1" s="1"/>
  <c r="N19" i="1"/>
  <c r="AM7" i="1"/>
  <c r="AL7" i="1"/>
  <c r="AK7" i="1"/>
  <c r="AB7" i="1"/>
  <c r="AA7" i="1"/>
  <c r="F70" i="81"/>
  <c r="Q72" i="81" l="1"/>
  <c r="Q59" i="81"/>
  <c r="K59" i="81"/>
  <c r="P74" i="81" s="1"/>
  <c r="F59" i="81"/>
  <c r="Q58" i="81"/>
  <c r="Q51" i="81"/>
  <c r="J50" i="81"/>
  <c r="M47" i="81"/>
  <c r="D46" i="81"/>
  <c r="F33" i="81"/>
  <c r="F61" i="81" s="1"/>
  <c r="F31" i="81"/>
  <c r="F23" i="81"/>
  <c r="F21" i="81"/>
  <c r="F20" i="81"/>
  <c r="M19" i="81"/>
  <c r="F18" i="81"/>
  <c r="M17" i="81"/>
  <c r="F17" i="81"/>
  <c r="F15" i="81"/>
  <c r="D23" i="81" l="1"/>
  <c r="D22" i="81"/>
  <c r="D24" i="81"/>
  <c r="P61" i="81"/>
  <c r="F8" i="80"/>
  <c r="F11" i="80"/>
  <c r="F12" i="80"/>
  <c r="E13" i="80"/>
  <c r="D12" i="80"/>
  <c r="D11" i="80"/>
  <c r="D10" i="80"/>
  <c r="F10" i="80" s="1"/>
  <c r="D9" i="80"/>
  <c r="F9" i="80" s="1"/>
  <c r="D3" i="80"/>
  <c r="D8" i="80"/>
  <c r="D7" i="80"/>
  <c r="F7" i="80" s="1"/>
  <c r="D6" i="80"/>
  <c r="F6" i="80" s="1"/>
  <c r="D5" i="80"/>
  <c r="F5" i="80" s="1"/>
  <c r="D4" i="80"/>
  <c r="D13" i="80" l="1"/>
  <c r="F13" i="80" s="1"/>
  <c r="D14" i="80"/>
  <c r="F14" i="80" s="1"/>
  <c r="U7" i="1" s="1"/>
  <c r="F4" i="80"/>
  <c r="A120" i="79"/>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D35" i="79"/>
  <c r="D34" i="79"/>
  <c r="C18" i="79" l="1"/>
  <c r="D18" i="79" s="1"/>
  <c r="C92" i="79"/>
  <c r="C94" i="79"/>
  <c r="K120" i="79"/>
  <c r="D121" i="79"/>
  <c r="H109" i="79"/>
  <c r="D124" i="79" l="1"/>
  <c r="D125" i="79" s="1"/>
  <c r="H110" i="79"/>
  <c r="N36" i="33" l="1"/>
  <c r="D4" i="31"/>
  <c r="E4" i="31"/>
  <c r="F4" i="31"/>
  <c r="G4" i="31"/>
  <c r="C4" i="31"/>
  <c r="D3" i="31"/>
  <c r="E3" i="31"/>
  <c r="F3" i="31"/>
  <c r="G3" i="31"/>
  <c r="C3" i="31"/>
  <c r="Q7" i="1" l="1"/>
  <c r="N7" i="1"/>
  <c r="Y7" i="1" s="1"/>
  <c r="N6" i="1"/>
  <c r="Y6" i="1" s="1"/>
  <c r="C36" i="33" s="1"/>
  <c r="L7" i="1"/>
  <c r="J7" i="1" l="1"/>
  <c r="I7" i="1"/>
  <c r="H7" i="1"/>
  <c r="C20" i="6"/>
  <c r="C19" i="6"/>
  <c r="A3" i="3"/>
  <c r="J14" i="77"/>
  <c r="E14" i="77"/>
  <c r="J13" i="77"/>
  <c r="I13" i="3" s="1"/>
  <c r="E13" i="77"/>
  <c r="K12" i="77"/>
  <c r="E12" i="77"/>
  <c r="K11" i="77"/>
  <c r="E11" i="77"/>
  <c r="G10" i="77"/>
  <c r="F10" i="77" s="1"/>
  <c r="E10" i="77" s="1"/>
  <c r="G9" i="77"/>
  <c r="F9" i="77" s="1"/>
  <c r="E9" i="77" s="1"/>
  <c r="G8" i="77"/>
  <c r="F8" i="77"/>
  <c r="E8" i="77" s="1"/>
  <c r="G7" i="77"/>
  <c r="F7" i="77" s="1"/>
  <c r="E7" i="77" s="1"/>
  <c r="G6" i="77"/>
  <c r="F6" i="77" s="1"/>
  <c r="E6" i="77" s="1"/>
  <c r="G5" i="77"/>
  <c r="F5" i="77" s="1"/>
  <c r="E5" i="77" s="1"/>
  <c r="C33" i="33" l="1"/>
  <c r="B24" i="31"/>
  <c r="F19" i="6"/>
  <c r="K14" i="3"/>
  <c r="G20" i="6" s="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AB8" i="71" s="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B11" i="71" s="1"/>
  <c r="B10" i="71" s="1"/>
  <c r="B9" i="71" s="1"/>
  <c r="B8" i="71" s="1"/>
  <c r="B7" i="71" s="1"/>
  <c r="Q11" i="71"/>
  <c r="F11" i="71" s="1"/>
  <c r="F10" i="71" s="1"/>
  <c r="F9" i="71" s="1"/>
  <c r="P11" i="71"/>
  <c r="O11" i="71"/>
  <c r="Q12" i="71"/>
  <c r="P12" i="71"/>
  <c r="E11" i="71"/>
  <c r="O12" i="71"/>
  <c r="N12" i="71"/>
  <c r="X8" i="71" s="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3" i="71"/>
  <c r="P13" i="71"/>
  <c r="O13" i="71"/>
  <c r="Y8" i="71" s="1"/>
  <c r="Z8" i="71" s="1"/>
  <c r="N13" i="71"/>
  <c r="A15" i="51"/>
  <c r="B12" i="72" s="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AB13" i="71" s="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c r="B74" i="72"/>
  <c r="Y12" i="43"/>
  <c r="Y10" i="43"/>
  <c r="AJ9" i="43"/>
  <c r="AJ12" i="43"/>
  <c r="AI9" i="43"/>
  <c r="AI12" i="43" s="1"/>
  <c r="AH9" i="43"/>
  <c r="AH10" i="43" s="1"/>
  <c r="AG9" i="43"/>
  <c r="AG12" i="43" s="1"/>
  <c r="AF9" i="43"/>
  <c r="AF12" i="43"/>
  <c r="AE9" i="43"/>
  <c r="AE12" i="43" s="1"/>
  <c r="AD9" i="43"/>
  <c r="AD12" i="43" s="1"/>
  <c r="AC9" i="43"/>
  <c r="AB9" i="43"/>
  <c r="AB12" i="43"/>
  <c r="AA9" i="43"/>
  <c r="AA12" i="43" s="1"/>
  <c r="Z9" i="43"/>
  <c r="Z10" i="43" s="1"/>
  <c r="AA10" i="43"/>
  <c r="AG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A18" i="51"/>
  <c r="B13" i="72" s="1"/>
  <c r="C8" i="68"/>
  <c r="B49" i="48"/>
  <c r="B5" i="72" s="1"/>
  <c r="I19" i="43"/>
  <c r="D76" i="71"/>
  <c r="F75" i="71"/>
  <c r="F74" i="71" s="1"/>
  <c r="F73" i="71" s="1"/>
  <c r="E75" i="71"/>
  <c r="E74" i="71"/>
  <c r="E73" i="71" s="1"/>
  <c r="C75" i="71"/>
  <c r="D75" i="71" s="1"/>
  <c r="B75" i="71"/>
  <c r="B74" i="71" s="1"/>
  <c r="B73" i="71"/>
  <c r="D72" i="71"/>
  <c r="F71" i="71"/>
  <c r="E71" i="71"/>
  <c r="E70" i="71"/>
  <c r="E69" i="71" s="1"/>
  <c r="C71" i="71"/>
  <c r="D71" i="71" s="1"/>
  <c r="B71" i="71"/>
  <c r="B70" i="71" s="1"/>
  <c r="F70" i="71"/>
  <c r="F69" i="71" s="1"/>
  <c r="B69" i="71"/>
  <c r="D68" i="71"/>
  <c r="Q67" i="71"/>
  <c r="P67" i="71"/>
  <c r="O67" i="71"/>
  <c r="N67" i="71"/>
  <c r="F67" i="71"/>
  <c r="V67" i="71" s="1"/>
  <c r="E67" i="71"/>
  <c r="U67" i="71" s="1"/>
  <c r="C67" i="71"/>
  <c r="T67" i="71" s="1"/>
  <c r="B67" i="71"/>
  <c r="S67" i="71" s="1"/>
  <c r="Q66" i="71"/>
  <c r="P66" i="71"/>
  <c r="O66" i="71"/>
  <c r="N66" i="71"/>
  <c r="Q65" i="71"/>
  <c r="P65" i="71"/>
  <c r="O65" i="71"/>
  <c r="N65" i="71"/>
  <c r="Q64" i="71"/>
  <c r="P64" i="71"/>
  <c r="O64" i="71"/>
  <c r="N64" i="71"/>
  <c r="D64" i="71"/>
  <c r="Q63" i="71"/>
  <c r="P63" i="71"/>
  <c r="O63" i="71"/>
  <c r="N63" i="71"/>
  <c r="F63" i="71"/>
  <c r="V63" i="71"/>
  <c r="E63" i="71"/>
  <c r="U63" i="71" s="1"/>
  <c r="C63" i="71"/>
  <c r="T63" i="71"/>
  <c r="B63" i="71"/>
  <c r="S63" i="71" s="1"/>
  <c r="Q62" i="71"/>
  <c r="P62" i="71"/>
  <c r="O62" i="71"/>
  <c r="N62" i="71"/>
  <c r="F62" i="71"/>
  <c r="F61" i="71"/>
  <c r="B62" i="71"/>
  <c r="B61" i="71" s="1"/>
  <c r="Q61" i="71"/>
  <c r="P61" i="71"/>
  <c r="O61" i="71"/>
  <c r="N61" i="71"/>
  <c r="Q60" i="71"/>
  <c r="P60" i="71"/>
  <c r="O60" i="71"/>
  <c r="N60" i="71"/>
  <c r="D60" i="71"/>
  <c r="Q59" i="71"/>
  <c r="P59" i="71"/>
  <c r="O59" i="71"/>
  <c r="N59" i="71"/>
  <c r="F59" i="71"/>
  <c r="V59" i="71"/>
  <c r="E59" i="71"/>
  <c r="U59" i="71" s="1"/>
  <c r="C59" i="71"/>
  <c r="T59" i="71" s="1"/>
  <c r="B59" i="71"/>
  <c r="S59" i="71" s="1"/>
  <c r="Q58" i="71"/>
  <c r="P58" i="71"/>
  <c r="O58" i="71"/>
  <c r="N58" i="71"/>
  <c r="F58" i="71"/>
  <c r="F57" i="71" s="1"/>
  <c r="Q57" i="71"/>
  <c r="P57" i="71"/>
  <c r="O57" i="71"/>
  <c r="N57" i="71"/>
  <c r="Q56" i="71"/>
  <c r="P56" i="71"/>
  <c r="O56" i="71"/>
  <c r="N56" i="71"/>
  <c r="D56" i="71"/>
  <c r="F55" i="71"/>
  <c r="V55" i="71" s="1"/>
  <c r="E55" i="71"/>
  <c r="P55" i="71"/>
  <c r="C55" i="71"/>
  <c r="D55" i="71" s="1"/>
  <c r="B55" i="71"/>
  <c r="D52" i="71"/>
  <c r="Q51" i="71"/>
  <c r="P51" i="71"/>
  <c r="O51" i="71"/>
  <c r="N51" i="71"/>
  <c r="Q50" i="71"/>
  <c r="P50" i="71"/>
  <c r="O50" i="71"/>
  <c r="N50" i="71"/>
  <c r="Q49" i="71"/>
  <c r="P49" i="71"/>
  <c r="O49" i="71"/>
  <c r="N49" i="71"/>
  <c r="Q48" i="71"/>
  <c r="F49" i="71"/>
  <c r="F50" i="71" s="1"/>
  <c r="F51" i="71" s="1"/>
  <c r="V51" i="71" s="1"/>
  <c r="P48" i="71"/>
  <c r="E49" i="71" s="1"/>
  <c r="O48" i="71"/>
  <c r="C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c r="E46" i="71" s="1"/>
  <c r="E47" i="71" s="1"/>
  <c r="U47" i="71" s="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s="1"/>
  <c r="O26" i="71"/>
  <c r="Y26" i="71"/>
  <c r="Z26" i="71" s="1"/>
  <c r="N26" i="71"/>
  <c r="X26" i="71" s="1"/>
  <c r="Q25" i="71"/>
  <c r="AB25" i="71"/>
  <c r="P25" i="71"/>
  <c r="AA25" i="71" s="1"/>
  <c r="O25" i="71"/>
  <c r="Y25" i="71"/>
  <c r="Z25" i="71"/>
  <c r="N25" i="71"/>
  <c r="Q24" i="71"/>
  <c r="F25" i="71" s="1"/>
  <c r="F26" i="71" s="1"/>
  <c r="F27" i="71" s="1"/>
  <c r="V27" i="71" s="1"/>
  <c r="P24" i="71"/>
  <c r="O24" i="71"/>
  <c r="Y24" i="71" s="1"/>
  <c r="N24" i="71"/>
  <c r="X24" i="71" s="1"/>
  <c r="D24" i="71"/>
  <c r="Q23" i="71"/>
  <c r="AB23" i="71" s="1"/>
  <c r="P23" i="71"/>
  <c r="O23" i="71"/>
  <c r="Y23" i="71"/>
  <c r="Z23" i="71" s="1"/>
  <c r="N23" i="71"/>
  <c r="X22" i="71" s="1"/>
  <c r="Q22" i="71"/>
  <c r="P22" i="71"/>
  <c r="O22" i="71"/>
  <c r="Y22" i="71" s="1"/>
  <c r="Z22" i="71" s="1"/>
  <c r="N22" i="71"/>
  <c r="Q21" i="71"/>
  <c r="P21" i="71"/>
  <c r="AA21" i="71" s="1"/>
  <c r="O21" i="71"/>
  <c r="Y21" i="71" s="1"/>
  <c r="Z21" i="71" s="1"/>
  <c r="N21" i="71"/>
  <c r="F21" i="71"/>
  <c r="F22" i="71" s="1"/>
  <c r="F23" i="71" s="1"/>
  <c r="V23" i="71" s="1"/>
  <c r="Q20" i="71"/>
  <c r="P20" i="71"/>
  <c r="AA18" i="71" s="1"/>
  <c r="O20" i="71"/>
  <c r="N20" i="71"/>
  <c r="D20" i="71"/>
  <c r="Q19" i="71"/>
  <c r="AB19" i="71" s="1"/>
  <c r="P19" i="71"/>
  <c r="AA19" i="71" s="1"/>
  <c r="O19" i="71"/>
  <c r="Y19" i="71" s="1"/>
  <c r="Z19" i="71" s="1"/>
  <c r="N19" i="71"/>
  <c r="X18" i="71" s="1"/>
  <c r="Q18" i="71"/>
  <c r="AB18" i="71" s="1"/>
  <c r="P18" i="71"/>
  <c r="O18" i="71"/>
  <c r="Y18" i="71" s="1"/>
  <c r="Z18" i="71" s="1"/>
  <c r="N18" i="71"/>
  <c r="Q17" i="71"/>
  <c r="AB17" i="71" s="1"/>
  <c r="P17" i="71"/>
  <c r="O17" i="71"/>
  <c r="Y17" i="71"/>
  <c r="Z17" i="71" s="1"/>
  <c r="N17" i="71"/>
  <c r="X17" i="71" s="1"/>
  <c r="Q16" i="71"/>
  <c r="F17" i="71" s="1"/>
  <c r="F18" i="71" s="1"/>
  <c r="F19" i="71" s="1"/>
  <c r="V19" i="71" s="1"/>
  <c r="P16" i="71"/>
  <c r="O16" i="71"/>
  <c r="Y16" i="71" s="1"/>
  <c r="Z16" i="71" s="1"/>
  <c r="N16" i="71"/>
  <c r="D16" i="71"/>
  <c r="O15" i="71"/>
  <c r="C15" i="71" s="1"/>
  <c r="N15" i="71"/>
  <c r="X12" i="71" s="1"/>
  <c r="B17" i="71"/>
  <c r="B18" i="71" s="1"/>
  <c r="B19" i="71" s="1"/>
  <c r="S19" i="71" s="1"/>
  <c r="X16" i="71"/>
  <c r="B21" i="71"/>
  <c r="B22" i="71" s="1"/>
  <c r="B23" i="71" s="1"/>
  <c r="S23" i="71" s="1"/>
  <c r="B25" i="71"/>
  <c r="B26" i="71" s="1"/>
  <c r="B27" i="71" s="1"/>
  <c r="S27" i="71" s="1"/>
  <c r="E25" i="71"/>
  <c r="E26" i="71" s="1"/>
  <c r="E27" i="71" s="1"/>
  <c r="U27" i="71" s="1"/>
  <c r="E21" i="71"/>
  <c r="E22" i="71" s="1"/>
  <c r="E23" i="71" s="1"/>
  <c r="U23" i="71" s="1"/>
  <c r="C17" i="71"/>
  <c r="C18" i="71" s="1"/>
  <c r="AA17" i="71"/>
  <c r="C21" i="71"/>
  <c r="C22" i="71"/>
  <c r="D22" i="71" s="1"/>
  <c r="X21" i="71"/>
  <c r="AA23" i="71"/>
  <c r="C25" i="71"/>
  <c r="Z24" i="71"/>
  <c r="X25" i="71"/>
  <c r="Y3" i="71"/>
  <c r="Z3" i="71" s="1"/>
  <c r="Y13" i="71"/>
  <c r="Z13" i="71" s="1"/>
  <c r="Y15" i="71"/>
  <c r="Z15" i="71" s="1"/>
  <c r="X15" i="71"/>
  <c r="D21" i="71"/>
  <c r="C26" i="71"/>
  <c r="C27" i="71" s="1"/>
  <c r="D25" i="71"/>
  <c r="C30" i="71"/>
  <c r="D29" i="71"/>
  <c r="P15" i="71"/>
  <c r="AA13" i="71" s="1"/>
  <c r="E50" i="71"/>
  <c r="E51" i="71" s="1"/>
  <c r="U51" i="71" s="1"/>
  <c r="U55" i="71"/>
  <c r="E54" i="71"/>
  <c r="E53" i="71" s="1"/>
  <c r="Q15" i="71"/>
  <c r="C42" i="71"/>
  <c r="D41" i="71"/>
  <c r="C46" i="71"/>
  <c r="D46" i="71" s="1"/>
  <c r="D45" i="71"/>
  <c r="T55" i="71"/>
  <c r="O55" i="71"/>
  <c r="Q55" i="71"/>
  <c r="C58" i="71"/>
  <c r="D58" i="71" s="1"/>
  <c r="D59" i="71"/>
  <c r="C62" i="71"/>
  <c r="D62" i="71" s="1"/>
  <c r="D63" i="71"/>
  <c r="C66" i="71"/>
  <c r="D66" i="71" s="1"/>
  <c r="D67" i="71"/>
  <c r="C70" i="71"/>
  <c r="T15" i="71"/>
  <c r="C14" i="71"/>
  <c r="C13" i="71" s="1"/>
  <c r="D13" i="71" s="1"/>
  <c r="F15" i="71"/>
  <c r="AB15" i="71"/>
  <c r="E15" i="71"/>
  <c r="E14" i="71" s="1"/>
  <c r="E13" i="71" s="1"/>
  <c r="AA3" i="71"/>
  <c r="AA15" i="71"/>
  <c r="D15" i="71"/>
  <c r="U15" i="71" s="1"/>
  <c r="D70" i="71"/>
  <c r="C69" i="71"/>
  <c r="D69" i="71" s="1"/>
  <c r="C61" i="71"/>
  <c r="D61" i="71" s="1"/>
  <c r="C65" i="71"/>
  <c r="D65" i="71" s="1"/>
  <c r="C47" i="71"/>
  <c r="T47" i="71" s="1"/>
  <c r="C43" i="71"/>
  <c r="D42" i="71"/>
  <c r="P54" i="71"/>
  <c r="C31" i="71"/>
  <c r="D30" i="71"/>
  <c r="D26" i="71"/>
  <c r="V15" i="71"/>
  <c r="T31" i="71"/>
  <c r="D31"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s="1"/>
  <c r="F94" i="40" s="1"/>
  <c r="F25" i="40"/>
  <c r="AA25" i="40"/>
  <c r="Z29" i="39"/>
  <c r="Q29" i="39"/>
  <c r="D103" i="39"/>
  <c r="E103" i="39"/>
  <c r="F103" i="39" s="1"/>
  <c r="F29" i="39"/>
  <c r="AA29" i="39" s="1"/>
  <c r="Q18" i="36"/>
  <c r="Z18" i="36"/>
  <c r="D66" i="36"/>
  <c r="E66" i="36" s="1"/>
  <c r="F66" i="36" s="1"/>
  <c r="G66" i="36" s="1"/>
  <c r="H18" i="36"/>
  <c r="AB18" i="36" s="1"/>
  <c r="F18" i="36"/>
  <c r="AA18" i="36"/>
  <c r="C18" i="36"/>
  <c r="Z18" i="35"/>
  <c r="Q18" i="35"/>
  <c r="D68" i="35"/>
  <c r="E68" i="35"/>
  <c r="F18" i="35"/>
  <c r="AA18" i="35" s="1"/>
  <c r="C18" i="35"/>
  <c r="Q21" i="37"/>
  <c r="Z21" i="37" s="1"/>
  <c r="D77" i="37"/>
  <c r="E77" i="37"/>
  <c r="C21" i="37"/>
  <c r="Z21" i="34"/>
  <c r="Q21" i="34"/>
  <c r="D84" i="34"/>
  <c r="E84" i="34"/>
  <c r="F21" i="34"/>
  <c r="C21" i="34"/>
  <c r="Z21" i="33"/>
  <c r="Q21" i="33"/>
  <c r="D83" i="33"/>
  <c r="E83" i="33"/>
  <c r="C21" i="33"/>
  <c r="C21" i="21"/>
  <c r="Q21" i="21"/>
  <c r="Z21" i="21"/>
  <c r="H19" i="21"/>
  <c r="D83" i="21"/>
  <c r="F21" i="21"/>
  <c r="AA21" i="21" s="1"/>
  <c r="D81" i="21"/>
  <c r="G20" i="20"/>
  <c r="B86" i="43" s="1"/>
  <c r="C22" i="20"/>
  <c r="B75" i="43" s="1"/>
  <c r="B55" i="43"/>
  <c r="S25" i="40"/>
  <c r="S18" i="36"/>
  <c r="U18" i="36"/>
  <c r="H25" i="40"/>
  <c r="AB25" i="40" s="1"/>
  <c r="G94" i="40"/>
  <c r="J25" i="40"/>
  <c r="H29" i="39"/>
  <c r="G103" i="39"/>
  <c r="J29" i="39"/>
  <c r="AC29" i="39" s="1"/>
  <c r="J18" i="36"/>
  <c r="F68" i="35"/>
  <c r="H18" i="35"/>
  <c r="G68" i="35"/>
  <c r="J18" i="35"/>
  <c r="W18" i="35" s="1"/>
  <c r="F77" i="37"/>
  <c r="H21" i="37"/>
  <c r="F21" i="37"/>
  <c r="AA21" i="37" s="1"/>
  <c r="F84" i="34"/>
  <c r="H21" i="34"/>
  <c r="AB21" i="34" s="1"/>
  <c r="F83" i="33"/>
  <c r="H21" i="33"/>
  <c r="U21" i="33" s="1"/>
  <c r="F21" i="33"/>
  <c r="S21" i="33" s="1"/>
  <c r="E83" i="21"/>
  <c r="S21" i="21"/>
  <c r="H1" i="69"/>
  <c r="AC25" i="40"/>
  <c r="W25" i="40"/>
  <c r="U25" i="40"/>
  <c r="AB29" i="39"/>
  <c r="U29" i="39"/>
  <c r="W29" i="39"/>
  <c r="AC18" i="36"/>
  <c r="W18" i="36"/>
  <c r="AB21" i="37"/>
  <c r="U21" i="37"/>
  <c r="S21" i="37"/>
  <c r="AB18" i="35"/>
  <c r="U18" i="35"/>
  <c r="AC18" i="35"/>
  <c r="G77" i="37"/>
  <c r="J21" i="37"/>
  <c r="AC21" i="37" s="1"/>
  <c r="G84" i="34"/>
  <c r="J21" i="34"/>
  <c r="G83" i="33"/>
  <c r="J21" i="33"/>
  <c r="AC21" i="33" s="1"/>
  <c r="F83" i="21"/>
  <c r="H21" i="21"/>
  <c r="AB21" i="21" s="1"/>
  <c r="F38" i="69"/>
  <c r="E37" i="69"/>
  <c r="F36" i="69"/>
  <c r="F35" i="69"/>
  <c r="F21" i="69"/>
  <c r="C40" i="69" s="1"/>
  <c r="C21" i="69"/>
  <c r="F20" i="69"/>
  <c r="E10" i="69"/>
  <c r="E9" i="69"/>
  <c r="C7" i="69"/>
  <c r="W21" i="37"/>
  <c r="AC21" i="34"/>
  <c r="W21" i="34"/>
  <c r="U21" i="21"/>
  <c r="G83" i="21"/>
  <c r="J21" i="21"/>
  <c r="W21" i="21" s="1"/>
  <c r="F38" i="68"/>
  <c r="E37" i="68"/>
  <c r="F36" i="68"/>
  <c r="F35" i="68"/>
  <c r="F21" i="68"/>
  <c r="C21" i="68" s="1"/>
  <c r="F20" i="68"/>
  <c r="E10" i="68"/>
  <c r="E9" i="68"/>
  <c r="C7" i="68"/>
  <c r="C5" i="68" s="1"/>
  <c r="AC21" i="21"/>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81"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AZ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2" i="31"/>
  <c r="R33" i="31"/>
  <c r="S33" i="31" s="1"/>
  <c r="R34" i="31"/>
  <c r="R35" i="31"/>
  <c r="S35" i="31" s="1"/>
  <c r="R36" i="3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E59" i="9"/>
  <c r="N55" i="9" s="1"/>
  <c r="K55" i="9"/>
  <c r="F59" i="9"/>
  <c r="N54" i="9"/>
  <c r="N53" i="9"/>
  <c r="E48" i="9"/>
  <c r="N52" i="9"/>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84" i="31"/>
  <c r="S376" i="31"/>
  <c r="S368" i="31"/>
  <c r="S360" i="31"/>
  <c r="S352" i="31"/>
  <c r="S344" i="31"/>
  <c r="S336" i="31"/>
  <c r="S328" i="31"/>
  <c r="S424" i="31"/>
  <c r="S314" i="31"/>
  <c r="S306" i="31"/>
  <c r="S298" i="31"/>
  <c r="S290" i="31"/>
  <c r="S282" i="31"/>
  <c r="S274" i="31"/>
  <c r="S266" i="31"/>
  <c r="S258" i="31"/>
  <c r="S251" i="31"/>
  <c r="S247" i="31"/>
  <c r="S243" i="31"/>
  <c r="S239" i="31"/>
  <c r="S235" i="31"/>
  <c r="S231" i="31"/>
  <c r="S227" i="31"/>
  <c r="S223" i="31"/>
  <c r="S427" i="31"/>
  <c r="S221" i="31"/>
  <c r="S213" i="31"/>
  <c r="S205" i="31"/>
  <c r="S197" i="31"/>
  <c r="S189" i="31"/>
  <c r="S181" i="31"/>
  <c r="S173" i="31"/>
  <c r="S165" i="31"/>
  <c r="S157" i="31"/>
  <c r="S149" i="31"/>
  <c r="S141" i="31"/>
  <c r="S133" i="31"/>
  <c r="S125" i="31"/>
  <c r="S495" i="31"/>
  <c r="S491" i="31"/>
  <c r="S487" i="31"/>
  <c r="S483" i="31"/>
  <c r="S479" i="31"/>
  <c r="S475" i="31"/>
  <c r="S471" i="31"/>
  <c r="S443" i="31"/>
  <c r="S439" i="31"/>
  <c r="S435" i="31"/>
  <c r="S431" i="31"/>
  <c r="S119" i="31"/>
  <c r="S115" i="31"/>
  <c r="S504" i="31"/>
  <c r="S465" i="31"/>
  <c r="S461" i="31"/>
  <c r="S457" i="31"/>
  <c r="S453" i="31"/>
  <c r="S54" i="31"/>
  <c r="S50" i="31"/>
  <c r="S46" i="31"/>
  <c r="S42" i="31"/>
  <c r="S38" i="31"/>
  <c r="S36" i="31"/>
  <c r="S34" i="31"/>
  <c r="S32" i="31"/>
  <c r="S76" i="31"/>
  <c r="S74" i="31"/>
  <c r="S72" i="31"/>
  <c r="S70" i="31"/>
  <c r="S68" i="31"/>
  <c r="S66" i="31"/>
  <c r="S64" i="31"/>
  <c r="S62" i="31"/>
  <c r="S60" i="31"/>
  <c r="S58" i="31"/>
  <c r="S56" i="31"/>
  <c r="S97" i="31"/>
  <c r="S93" i="31"/>
  <c r="S89" i="31"/>
  <c r="S85" i="31"/>
  <c r="S81" i="31"/>
  <c r="S98" i="31"/>
  <c r="S100" i="31"/>
  <c r="S102" i="31"/>
  <c r="S104" i="31"/>
  <c r="S106" i="31"/>
  <c r="S108" i="31"/>
  <c r="S110" i="31"/>
  <c r="S445" i="31"/>
  <c r="S449" i="31"/>
  <c r="S508" i="31"/>
  <c r="S510" i="31"/>
  <c r="S512"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c r="G112" i="34" s="1"/>
  <c r="H112" i="34" s="1"/>
  <c r="I112" i="34"/>
  <c r="J112" i="34" s="1"/>
  <c r="K112" i="34" s="1"/>
  <c r="L112" i="34" s="1"/>
  <c r="M112" i="34" s="1"/>
  <c r="F40" i="33"/>
  <c r="J41" i="33"/>
  <c r="D113" i="33"/>
  <c r="F37" i="33"/>
  <c r="D111" i="33"/>
  <c r="E111" i="33" s="1"/>
  <c r="F111" i="33" s="1"/>
  <c r="G111" i="33" s="1"/>
  <c r="S515" i="31"/>
  <c r="S519" i="31"/>
  <c r="S523" i="31"/>
  <c r="F41" i="21"/>
  <c r="J41" i="21"/>
  <c r="AC41" i="21"/>
  <c r="H41" i="21"/>
  <c r="U41" i="21"/>
  <c r="D81" i="39"/>
  <c r="E81" i="39"/>
  <c r="F81" i="39" s="1"/>
  <c r="G81" i="39" s="1"/>
  <c r="H81" i="39"/>
  <c r="I81" i="39" s="1"/>
  <c r="J81" i="39" s="1"/>
  <c r="K81" i="39" s="1"/>
  <c r="L81" i="39" s="1"/>
  <c r="M81" i="39" s="1"/>
  <c r="D76" i="40"/>
  <c r="E76" i="40"/>
  <c r="F76" i="40"/>
  <c r="G76" i="40"/>
  <c r="H76" i="40" s="1"/>
  <c r="I76" i="40" s="1"/>
  <c r="J76" i="40"/>
  <c r="K76" i="40" s="1"/>
  <c r="L76" i="40" s="1"/>
  <c r="M76" i="40" s="1"/>
  <c r="B120" i="40"/>
  <c r="H40" i="40" s="1"/>
  <c r="AB40" i="40" s="1"/>
  <c r="B118" i="40"/>
  <c r="J39" i="40" s="1"/>
  <c r="B116" i="40"/>
  <c r="H38" i="40" s="1"/>
  <c r="AB38" i="40" s="1"/>
  <c r="F38" i="40"/>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c r="J100" i="40" s="1"/>
  <c r="K100" i="40" s="1"/>
  <c r="L100" i="40" s="1"/>
  <c r="M100" i="40" s="1"/>
  <c r="D98" i="40"/>
  <c r="J28" i="40"/>
  <c r="AC28" i="40"/>
  <c r="D96" i="40"/>
  <c r="E96" i="40"/>
  <c r="F96" i="40" s="1"/>
  <c r="G96" i="40" s="1"/>
  <c r="H96" i="40"/>
  <c r="I96" i="40" s="1"/>
  <c r="J96" i="40" s="1"/>
  <c r="K96" i="40" s="1"/>
  <c r="L96" i="40" s="1"/>
  <c r="M96" i="40" s="1"/>
  <c r="B95" i="40"/>
  <c r="D92" i="40"/>
  <c r="E92" i="40"/>
  <c r="F92" i="40"/>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F40" i="40"/>
  <c r="AA40" i="40"/>
  <c r="Q39" i="40"/>
  <c r="Z39" i="40"/>
  <c r="Q38" i="40"/>
  <c r="Z38" i="40"/>
  <c r="J38" i="40"/>
  <c r="AC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s="1"/>
  <c r="H8" i="40"/>
  <c r="AB8" i="40"/>
  <c r="F8" i="40"/>
  <c r="AA8" i="40" s="1"/>
  <c r="J38" i="39"/>
  <c r="W38" i="39"/>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c r="D105" i="39"/>
  <c r="E105" i="39" s="1"/>
  <c r="F105" i="39" s="1"/>
  <c r="G105" i="39"/>
  <c r="H105" i="39" s="1"/>
  <c r="I105" i="39" s="1"/>
  <c r="J105" i="39" s="1"/>
  <c r="K105" i="39" s="1"/>
  <c r="L105" i="39" s="1"/>
  <c r="M105" i="39" s="1"/>
  <c r="D101" i="39"/>
  <c r="D99" i="39"/>
  <c r="E99" i="39" s="1"/>
  <c r="F99" i="39" s="1"/>
  <c r="G99" i="39" s="1"/>
  <c r="Q39" i="39"/>
  <c r="Z39" i="39"/>
  <c r="Q40" i="39"/>
  <c r="Z40" i="39" s="1"/>
  <c r="Q41" i="39"/>
  <c r="Z41" i="39"/>
  <c r="Q42" i="39"/>
  <c r="Z42" i="39" s="1"/>
  <c r="Q43" i="39"/>
  <c r="Z43" i="39" s="1"/>
  <c r="Q44" i="39"/>
  <c r="Z44" i="39" s="1"/>
  <c r="Q45" i="39"/>
  <c r="Z45" i="39" s="1"/>
  <c r="Q38" i="39"/>
  <c r="Z38" i="39" s="1"/>
  <c r="Q36" i="39"/>
  <c r="Z36" i="39"/>
  <c r="Q37" i="39"/>
  <c r="Z37" i="39" s="1"/>
  <c r="B131" i="39"/>
  <c r="H45" i="39"/>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c r="F95" i="39" s="1"/>
  <c r="D93" i="39"/>
  <c r="E93" i="39"/>
  <c r="F93" i="39" s="1"/>
  <c r="G93" i="39" s="1"/>
  <c r="D91" i="39"/>
  <c r="E91" i="39"/>
  <c r="F91" i="39" s="1"/>
  <c r="G91" i="39" s="1"/>
  <c r="D89" i="39"/>
  <c r="E89" i="39"/>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c r="Q32" i="39"/>
  <c r="Z32" i="39" s="1"/>
  <c r="Q31" i="39"/>
  <c r="Z31" i="39"/>
  <c r="Q27" i="39"/>
  <c r="Z27" i="39" s="1"/>
  <c r="Q25" i="39"/>
  <c r="Z25" i="39" s="1"/>
  <c r="Q23" i="39"/>
  <c r="Z23" i="39" s="1"/>
  <c r="Q21" i="39"/>
  <c r="Z21" i="39" s="1"/>
  <c r="Q19" i="39"/>
  <c r="Z19" i="39" s="1"/>
  <c r="Q17" i="39"/>
  <c r="Z17" i="39"/>
  <c r="Q15" i="39"/>
  <c r="Z15" i="39" s="1"/>
  <c r="Q14" i="39"/>
  <c r="Z14" i="39"/>
  <c r="Q13" i="39"/>
  <c r="Z13" i="39" s="1"/>
  <c r="Q12" i="39"/>
  <c r="Z12" i="39" s="1"/>
  <c r="Q11" i="39"/>
  <c r="Z11" i="39" s="1"/>
  <c r="Q10" i="39"/>
  <c r="Z10" i="39" s="1"/>
  <c r="Q9" i="39"/>
  <c r="Z9" i="39" s="1"/>
  <c r="J9" i="39"/>
  <c r="AC9" i="39"/>
  <c r="H9" i="39"/>
  <c r="AB9" i="39" s="1"/>
  <c r="F9" i="39"/>
  <c r="AA9" i="39"/>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c r="Q27" i="37"/>
  <c r="Z27" i="37" s="1"/>
  <c r="Q26" i="37"/>
  <c r="Z26" i="37" s="1"/>
  <c r="H26" i="37"/>
  <c r="AB26" i="37" s="1"/>
  <c r="Q25" i="37"/>
  <c r="Z25" i="37"/>
  <c r="J25" i="37"/>
  <c r="AC25" i="37" s="1"/>
  <c r="F25" i="37"/>
  <c r="AA25" i="37"/>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c r="F64" i="36" s="1"/>
  <c r="G64" i="36" s="1"/>
  <c r="J16" i="36"/>
  <c r="W16" i="36" s="1"/>
  <c r="D62" i="36"/>
  <c r="E62" i="36" s="1"/>
  <c r="F62" i="36" s="1"/>
  <c r="G62" i="36" s="1"/>
  <c r="B59" i="36"/>
  <c r="B57" i="36"/>
  <c r="J12" i="36"/>
  <c r="B55" i="36"/>
  <c r="F54" i="36"/>
  <c r="G54" i="36" s="1"/>
  <c r="H54" i="36"/>
  <c r="I54" i="36" s="1"/>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H34" i="35" s="1"/>
  <c r="AB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AC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s="1"/>
  <c r="J39" i="33"/>
  <c r="AC39" i="33" s="1"/>
  <c r="Q38" i="33"/>
  <c r="Z38" i="33"/>
  <c r="J38" i="33"/>
  <c r="AC38" i="33" s="1"/>
  <c r="H38" i="33"/>
  <c r="AB38" i="33" s="1"/>
  <c r="F38" i="33"/>
  <c r="S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s="1"/>
  <c r="G15" i="20"/>
  <c r="B81" i="43" s="1"/>
  <c r="C24" i="20"/>
  <c r="B73" i="43"/>
  <c r="C21" i="20"/>
  <c r="B74" i="43" s="1"/>
  <c r="C20" i="20"/>
  <c r="B77" i="43"/>
  <c r="C18" i="20"/>
  <c r="B71" i="43" s="1"/>
  <c r="C17" i="20"/>
  <c r="B59" i="43" s="1"/>
  <c r="C16" i="20"/>
  <c r="C17" i="39" s="1"/>
  <c r="C15" i="20"/>
  <c r="B70" i="43" s="1"/>
  <c r="E54" i="21"/>
  <c r="F54" i="21" s="1"/>
  <c r="I54" i="21"/>
  <c r="J54" i="21"/>
  <c r="G54" i="21"/>
  <c r="H54" i="21" s="1"/>
  <c r="D125" i="21"/>
  <c r="E125" i="21"/>
  <c r="F125" i="21"/>
  <c r="G125" i="21" s="1"/>
  <c r="D123" i="21"/>
  <c r="E123" i="21"/>
  <c r="F123" i="2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s="1"/>
  <c r="B96" i="21"/>
  <c r="B94" i="21"/>
  <c r="J29" i="21"/>
  <c r="AC29" i="21" s="1"/>
  <c r="B92" i="21"/>
  <c r="B90" i="21"/>
  <c r="J27" i="21"/>
  <c r="W27" i="21" s="1"/>
  <c r="B74" i="21"/>
  <c r="B72" i="21"/>
  <c r="H13" i="21"/>
  <c r="B70" i="21"/>
  <c r="F12" i="21" s="1"/>
  <c r="S12"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12" i="21"/>
  <c r="AC12" i="21"/>
  <c r="H12" i="21"/>
  <c r="AB12" i="21" s="1"/>
  <c r="J26" i="21"/>
  <c r="W26" i="21"/>
  <c r="F26" i="21"/>
  <c r="S26" i="21" s="1"/>
  <c r="AB41" i="21"/>
  <c r="S41" i="21"/>
  <c r="AA41" i="21"/>
  <c r="F45" i="39"/>
  <c r="S45" i="39" s="1"/>
  <c r="J45" i="39"/>
  <c r="W45" i="39"/>
  <c r="J44" i="39"/>
  <c r="AC44" i="39" s="1"/>
  <c r="F36" i="39"/>
  <c r="S36" i="39"/>
  <c r="H36" i="39"/>
  <c r="AB36" i="39" s="1"/>
  <c r="J35" i="39"/>
  <c r="AC35" i="39"/>
  <c r="F35" i="39"/>
  <c r="AA35" i="39" s="1"/>
  <c r="J36" i="39"/>
  <c r="AC36" i="39"/>
  <c r="U9" i="39"/>
  <c r="W40" i="39"/>
  <c r="W25" i="37"/>
  <c r="U30" i="37"/>
  <c r="W31" i="37"/>
  <c r="E103" i="37"/>
  <c r="F103" i="37"/>
  <c r="G103" i="37"/>
  <c r="H103" i="37" s="1"/>
  <c r="I103" i="37" s="1"/>
  <c r="J103" i="37" s="1"/>
  <c r="K103" i="37" s="1"/>
  <c r="L103" i="37" s="1"/>
  <c r="M103" i="37" s="1"/>
  <c r="F39" i="37"/>
  <c r="S39" i="37"/>
  <c r="U14" i="37"/>
  <c r="F29" i="36"/>
  <c r="AA29" i="36"/>
  <c r="W8" i="36"/>
  <c r="F16" i="36"/>
  <c r="AA16" i="36" s="1"/>
  <c r="U9" i="36"/>
  <c r="W28" i="36"/>
  <c r="S30" i="36"/>
  <c r="AA31" i="36"/>
  <c r="AC31" i="36"/>
  <c r="W31" i="36"/>
  <c r="U31" i="36"/>
  <c r="J33" i="36"/>
  <c r="W33" i="36"/>
  <c r="H22" i="35"/>
  <c r="AB22" i="35"/>
  <c r="AC27" i="35"/>
  <c r="W28" i="35"/>
  <c r="U31" i="35"/>
  <c r="S34" i="35"/>
  <c r="W34" i="35"/>
  <c r="W22" i="35"/>
  <c r="S31" i="35"/>
  <c r="U34" i="35"/>
  <c r="F36" i="34"/>
  <c r="J35" i="34"/>
  <c r="W9" i="34"/>
  <c r="S34" i="34"/>
  <c r="U34" i="34"/>
  <c r="H39" i="33"/>
  <c r="AB39" i="33" s="1"/>
  <c r="F26" i="33"/>
  <c r="AA26" i="33" s="1"/>
  <c r="U33" i="33"/>
  <c r="U35" i="33"/>
  <c r="S40" i="33"/>
  <c r="W33" i="33"/>
  <c r="H39" i="37"/>
  <c r="AB39" i="37"/>
  <c r="S27" i="35"/>
  <c r="F11" i="40"/>
  <c r="AA11" i="40"/>
  <c r="H11" i="40"/>
  <c r="AB11" i="40"/>
  <c r="W8" i="40"/>
  <c r="AC40" i="40"/>
  <c r="AA9" i="40"/>
  <c r="AC9" i="40"/>
  <c r="U9" i="40"/>
  <c r="S34" i="40"/>
  <c r="U38" i="40"/>
  <c r="S40" i="40"/>
  <c r="W31" i="40"/>
  <c r="U34" i="40"/>
  <c r="S38" i="40"/>
  <c r="U40" i="40"/>
  <c r="F42" i="39"/>
  <c r="AA42" i="39"/>
  <c r="F41" i="39"/>
  <c r="S41" i="39" s="1"/>
  <c r="H40" i="39"/>
  <c r="AB40" i="39"/>
  <c r="H39" i="39"/>
  <c r="U39" i="39" s="1"/>
  <c r="S38" i="39"/>
  <c r="S34" i="39"/>
  <c r="H34" i="39"/>
  <c r="U34" i="39" s="1"/>
  <c r="E109" i="39"/>
  <c r="H31" i="39"/>
  <c r="AB31" i="39" s="1"/>
  <c r="F31" i="39"/>
  <c r="AA31" i="39"/>
  <c r="E101" i="39"/>
  <c r="H19" i="39"/>
  <c r="AB19" i="39" s="1"/>
  <c r="F19" i="39"/>
  <c r="AA19" i="39"/>
  <c r="H17" i="39"/>
  <c r="AB17" i="39" s="1"/>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s="1"/>
  <c r="J101" i="37" s="1"/>
  <c r="K101" i="37" s="1"/>
  <c r="L101" i="37" s="1"/>
  <c r="M101" i="37" s="1"/>
  <c r="J34" i="37"/>
  <c r="W34" i="37"/>
  <c r="S10" i="37"/>
  <c r="AA39" i="37"/>
  <c r="AB34" i="37"/>
  <c r="J33" i="37"/>
  <c r="W33" i="37" s="1"/>
  <c r="AC33" i="37"/>
  <c r="U42" i="34"/>
  <c r="H40" i="34"/>
  <c r="U40" i="34"/>
  <c r="E114" i="34"/>
  <c r="H36" i="34"/>
  <c r="U36" i="34"/>
  <c r="F37" i="34"/>
  <c r="AA37" i="34"/>
  <c r="S35" i="34"/>
  <c r="F28" i="34"/>
  <c r="AA28" i="34"/>
  <c r="F27" i="34"/>
  <c r="AA27" i="34" s="1"/>
  <c r="F25" i="34"/>
  <c r="S25" i="34"/>
  <c r="H23" i="34"/>
  <c r="U23" i="34" s="1"/>
  <c r="J23" i="34"/>
  <c r="F19" i="34"/>
  <c r="H17" i="34"/>
  <c r="AB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A12" i="36"/>
  <c r="AB30" i="36"/>
  <c r="U30" i="35"/>
  <c r="U33" i="35"/>
  <c r="F29" i="35"/>
  <c r="S29" i="35" s="1"/>
  <c r="H29" i="35"/>
  <c r="AB29" i="35"/>
  <c r="H33" i="37"/>
  <c r="AB33" i="37" s="1"/>
  <c r="F33" i="37"/>
  <c r="AA33" i="37"/>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F23" i="34"/>
  <c r="AA23" i="34"/>
  <c r="J19" i="34"/>
  <c r="AC19" i="34" s="1"/>
  <c r="F17" i="34"/>
  <c r="AA17" i="34"/>
  <c r="J17" i="34"/>
  <c r="W17" i="34" s="1"/>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G123" i="21"/>
  <c r="H123" i="21"/>
  <c r="I123" i="21"/>
  <c r="J123" i="21" s="1"/>
  <c r="K123" i="21" s="1"/>
  <c r="L123" i="21" s="1"/>
  <c r="M123" i="21" s="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S45" i="33" s="1"/>
  <c r="J14" i="34"/>
  <c r="W14" i="34" s="1"/>
  <c r="F14" i="34"/>
  <c r="AA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AB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AA14" i="33" s="1"/>
  <c r="J14" i="33"/>
  <c r="H30" i="33"/>
  <c r="AB30" i="33"/>
  <c r="F30" i="33"/>
  <c r="J30" i="33"/>
  <c r="H44" i="33"/>
  <c r="J44" i="33"/>
  <c r="AC44" i="33" s="1"/>
  <c r="F44" i="33"/>
  <c r="S44" i="33" s="1"/>
  <c r="J46" i="33"/>
  <c r="AC46" i="33" s="1"/>
  <c r="F46" i="33"/>
  <c r="AA46" i="33" s="1"/>
  <c r="H46" i="33"/>
  <c r="U46" i="33" s="1"/>
  <c r="H13" i="34"/>
  <c r="U13" i="34" s="1"/>
  <c r="J13" i="34"/>
  <c r="W13" i="34" s="1"/>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W14" i="37" s="1"/>
  <c r="AC14" i="37"/>
  <c r="J27" i="37"/>
  <c r="AC27" i="37"/>
  <c r="AA13" i="35"/>
  <c r="J36" i="37"/>
  <c r="AC36" i="37" s="1"/>
  <c r="G105" i="37"/>
  <c r="AB11" i="35"/>
  <c r="J10" i="36"/>
  <c r="AC10" i="36"/>
  <c r="AB26" i="33"/>
  <c r="AB30" i="21"/>
  <c r="AA14" i="37"/>
  <c r="W31" i="34"/>
  <c r="W13" i="36"/>
  <c r="W11" i="36"/>
  <c r="W11" i="35"/>
  <c r="AB46" i="34"/>
  <c r="AB45"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AZ541" i="3" s="1"/>
  <c r="BA539" i="3"/>
  <c r="BA537" i="3"/>
  <c r="BA535" i="3"/>
  <c r="BA533" i="3"/>
  <c r="AZ533" i="3" s="1"/>
  <c r="BA531" i="3"/>
  <c r="BA529" i="3"/>
  <c r="BA527" i="3"/>
  <c r="BA525" i="3"/>
  <c r="AZ525" i="3" s="1"/>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BQ539" i="3"/>
  <c r="BL539" i="3"/>
  <c r="AZ539" i="3" s="1"/>
  <c r="BQ537" i="3"/>
  <c r="BL537" i="3" s="1"/>
  <c r="AZ537" i="3" s="1"/>
  <c r="BQ535" i="3"/>
  <c r="BL535" i="3"/>
  <c r="AZ535" i="3" s="1"/>
  <c r="BQ533" i="3"/>
  <c r="BL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U14" i="40"/>
  <c r="AC32" i="36"/>
  <c r="AC33" i="36"/>
  <c r="U35" i="35"/>
  <c r="AA12" i="35"/>
  <c r="W23" i="35"/>
  <c r="AB28" i="37"/>
  <c r="U33" i="37"/>
  <c r="U39" i="37"/>
  <c r="W26" i="37"/>
  <c r="AC8" i="37"/>
  <c r="U26" i="37"/>
  <c r="W47" i="34"/>
  <c r="W37" i="34"/>
  <c r="AB37" i="34"/>
  <c r="AC36" i="34"/>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s="1"/>
  <c r="F11" i="39"/>
  <c r="AA11" i="39"/>
  <c r="S11" i="39"/>
  <c r="G4" i="4"/>
  <c r="I4" i="4"/>
  <c r="K5" i="4"/>
  <c r="B47" i="48" s="1"/>
  <c r="A2" i="9"/>
  <c r="F59" i="43"/>
  <c r="H62" i="43"/>
  <c r="AZ20" i="3"/>
  <c r="AZ24" i="3"/>
  <c r="AZ32" i="3"/>
  <c r="BL549" i="3"/>
  <c r="AZ494" i="3"/>
  <c r="AZ502" i="3"/>
  <c r="AZ514" i="3"/>
  <c r="AZ522" i="3"/>
  <c r="AZ546" i="3"/>
  <c r="G546" i="3"/>
  <c r="G524" i="3"/>
  <c r="G303" i="3"/>
  <c r="BL304" i="3"/>
  <c r="G305" i="3"/>
  <c r="BL306" i="3"/>
  <c r="BA308" i="3"/>
  <c r="AZ308" i="3"/>
  <c r="BA309" i="3"/>
  <c r="BL309" i="3"/>
  <c r="AZ309" i="3" s="1"/>
  <c r="G310" i="3"/>
  <c r="BA311" i="3"/>
  <c r="G319" i="3"/>
  <c r="BL320" i="3"/>
  <c r="G321" i="3"/>
  <c r="BL322" i="3"/>
  <c r="BA324" i="3"/>
  <c r="AZ324" i="3"/>
  <c r="BA325" i="3"/>
  <c r="BL325" i="3"/>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AZ152" i="3" s="1"/>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BL204" i="3"/>
  <c r="AZ204" i="3"/>
  <c r="AZ39" i="3"/>
  <c r="AZ43" i="3"/>
  <c r="AZ47" i="3"/>
  <c r="AZ55" i="3"/>
  <c r="AZ63" i="3"/>
  <c r="AZ67" i="3"/>
  <c r="AZ71" i="3"/>
  <c r="AZ75" i="3"/>
  <c r="AZ79" i="3"/>
  <c r="AZ83" i="3"/>
  <c r="AZ136" i="3"/>
  <c r="AZ144" i="3"/>
  <c r="AZ168" i="3"/>
  <c r="AZ176"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AZ352" i="3" s="1"/>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25" i="3"/>
  <c r="AZ333" i="3"/>
  <c r="BQ5" i="3"/>
  <c r="AC5" i="3"/>
  <c r="AZ506" i="3"/>
  <c r="AZ496" i="3"/>
  <c r="G548" i="3"/>
  <c r="G538" i="3"/>
  <c r="G520" i="3"/>
  <c r="G502" i="3"/>
  <c r="BS5" i="3"/>
  <c r="BP5" i="3"/>
  <c r="BN5" i="3"/>
  <c r="AZ343" i="3"/>
  <c r="BK5" i="3"/>
  <c r="BI5" i="3"/>
  <c r="BG5" i="3"/>
  <c r="BE5" i="3"/>
  <c r="BC5" i="3"/>
  <c r="G17" i="3"/>
  <c r="BA17" i="3"/>
  <c r="BT5" i="3"/>
  <c r="G28" i="6" s="1"/>
  <c r="AZ350" i="3"/>
  <c r="AZ356" i="3"/>
  <c r="AZ364" i="3"/>
  <c r="AZ368" i="3"/>
  <c r="BA15" i="3"/>
  <c r="AZ15" i="3"/>
  <c r="BB5" i="3"/>
  <c r="E8" i="6" s="1"/>
  <c r="BR5" i="3"/>
  <c r="AZ380" i="3"/>
  <c r="AZ384" i="3"/>
  <c r="AZ388" i="3"/>
  <c r="AZ392" i="3"/>
  <c r="AZ396" i="3"/>
  <c r="AZ394" i="3"/>
  <c r="G509" i="3"/>
  <c r="BL493" i="3"/>
  <c r="AZ493" i="3" s="1"/>
  <c r="AZ491" i="3"/>
  <c r="AZ382" i="3"/>
  <c r="U36" i="40"/>
  <c r="F36" i="43"/>
  <c r="F81" i="43"/>
  <c r="H87" i="43" s="1"/>
  <c r="H113" i="43"/>
  <c r="F48" i="43"/>
  <c r="H50" i="43" s="1"/>
  <c r="H52" i="43"/>
  <c r="F70" i="43"/>
  <c r="H73" i="43"/>
  <c r="M11" i="43"/>
  <c r="D17" i="43"/>
  <c r="F39" i="43"/>
  <c r="I17" i="43"/>
  <c r="F35" i="43"/>
  <c r="J17" i="43"/>
  <c r="F6" i="1"/>
  <c r="G6" i="1" s="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c r="F20" i="35"/>
  <c r="AA20" i="35"/>
  <c r="AB23" i="35"/>
  <c r="AB29" i="36"/>
  <c r="U29" i="36"/>
  <c r="H32" i="37"/>
  <c r="AB32" i="37" s="1"/>
  <c r="F96" i="37"/>
  <c r="G96" i="37" s="1"/>
  <c r="H96" i="37" s="1"/>
  <c r="I96" i="37" s="1"/>
  <c r="J96" i="37" s="1"/>
  <c r="K96" i="37" s="1"/>
  <c r="L96" i="37" s="1"/>
  <c r="M96" i="37" s="1"/>
  <c r="H27" i="40"/>
  <c r="AB27" i="40" s="1"/>
  <c r="U27" i="40"/>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s="1"/>
  <c r="F40" i="34"/>
  <c r="S40" i="34"/>
  <c r="F43" i="34"/>
  <c r="AA43" i="34" s="1"/>
  <c r="H44" i="34"/>
  <c r="AB44" i="34"/>
  <c r="AC38" i="39"/>
  <c r="F39" i="39"/>
  <c r="S39" i="39" s="1"/>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7" i="3"/>
  <c r="AZ42" i="3"/>
  <c r="AZ50" i="3"/>
  <c r="AZ58" i="3"/>
  <c r="AZ61" i="3"/>
  <c r="AZ66" i="3"/>
  <c r="AZ69" i="3"/>
  <c r="AZ72" i="3"/>
  <c r="AZ74" i="3"/>
  <c r="AZ77" i="3"/>
  <c r="AZ82" i="3"/>
  <c r="AZ86" i="3"/>
  <c r="AZ94" i="3"/>
  <c r="AZ102" i="3"/>
  <c r="AZ110" i="3"/>
  <c r="H75" i="43"/>
  <c r="I20" i="43"/>
  <c r="F23" i="39"/>
  <c r="AA23" i="39" s="1"/>
  <c r="H27" i="36"/>
  <c r="U27" i="36"/>
  <c r="F27" i="36"/>
  <c r="S27" i="36" s="1"/>
  <c r="H33" i="34"/>
  <c r="U33" i="34"/>
  <c r="F32" i="37"/>
  <c r="AA32" i="37" s="1"/>
  <c r="F20" i="36"/>
  <c r="AA20" i="36" s="1"/>
  <c r="J33" i="34"/>
  <c r="AC33" i="34"/>
  <c r="H23" i="39"/>
  <c r="U23" i="39" s="1"/>
  <c r="D48" i="9"/>
  <c r="M52" i="9"/>
  <c r="H86" i="43"/>
  <c r="K9" i="1"/>
  <c r="M9" i="1" s="1"/>
  <c r="AE9" i="1"/>
  <c r="D93" i="9"/>
  <c r="E15" i="6"/>
  <c r="E60" i="40" s="1"/>
  <c r="K6" i="1"/>
  <c r="G29" i="6"/>
  <c r="AC26" i="33"/>
  <c r="W26" i="33"/>
  <c r="W27" i="34"/>
  <c r="AC27" i="34"/>
  <c r="AB34" i="36"/>
  <c r="U34" i="36"/>
  <c r="AB33" i="36"/>
  <c r="U33" i="36"/>
  <c r="AC12" i="39"/>
  <c r="W12" i="39"/>
  <c r="AC39" i="40"/>
  <c r="W39" i="40"/>
  <c r="AZ401" i="3"/>
  <c r="AZ412" i="3"/>
  <c r="AZ417" i="3"/>
  <c r="AZ428"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97" i="3"/>
  <c r="AZ149" i="3"/>
  <c r="AZ157" i="3"/>
  <c r="AZ165" i="3"/>
  <c r="AZ173" i="3"/>
  <c r="AZ181" i="3"/>
  <c r="AZ189" i="3"/>
  <c r="AZ197" i="3"/>
  <c r="AZ35" i="3"/>
  <c r="AZ41" i="3"/>
  <c r="S12" i="1"/>
  <c r="AR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B41" i="1"/>
  <c r="J100" i="43"/>
  <c r="AB37" i="40"/>
  <c r="S35" i="40"/>
  <c r="U35" i="40"/>
  <c r="AC36" i="40"/>
  <c r="W38" i="40"/>
  <c r="AA32" i="40"/>
  <c r="S17" i="40"/>
  <c r="S23" i="40"/>
  <c r="AC17" i="40"/>
  <c r="AC15" i="40"/>
  <c r="AA19" i="40"/>
  <c r="S28" i="40"/>
  <c r="U21" i="40"/>
  <c r="AB19" i="40"/>
  <c r="W42" i="39"/>
  <c r="U37" i="39"/>
  <c r="W39" i="39"/>
  <c r="S43" i="39"/>
  <c r="S37" i="39"/>
  <c r="U35" i="39"/>
  <c r="F32" i="39"/>
  <c r="F107" i="39"/>
  <c r="G107" i="39"/>
  <c r="AB27" i="39"/>
  <c r="U31" i="39"/>
  <c r="S25" i="39"/>
  <c r="J21" i="39"/>
  <c r="F21" i="39"/>
  <c r="G95" i="39"/>
  <c r="H21" i="39"/>
  <c r="U21" i="39" s="1"/>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c r="J26" i="35"/>
  <c r="H26" i="35"/>
  <c r="AB26" i="35" s="1"/>
  <c r="AB40" i="37"/>
  <c r="S25" i="37"/>
  <c r="W27" i="37"/>
  <c r="AC9"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I60" i="37" s="1"/>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AA29" i="33"/>
  <c r="AB29" i="33"/>
  <c r="H41" i="33"/>
  <c r="F36" i="33"/>
  <c r="S36" i="33" s="1"/>
  <c r="J35" i="33"/>
  <c r="W35" i="33" s="1"/>
  <c r="S37" i="33"/>
  <c r="AA37" i="33"/>
  <c r="S39" i="33"/>
  <c r="J32" i="33"/>
  <c r="AC32" i="33" s="1"/>
  <c r="S46" i="33"/>
  <c r="W43" i="33"/>
  <c r="H27" i="33"/>
  <c r="AB27" i="33" s="1"/>
  <c r="H25" i="33"/>
  <c r="AB25" i="33" s="1"/>
  <c r="F25" i="33"/>
  <c r="S25" i="33" s="1"/>
  <c r="J23" i="33"/>
  <c r="W23" i="33" s="1"/>
  <c r="H23" i="33"/>
  <c r="U23" i="33" s="1"/>
  <c r="F19" i="33"/>
  <c r="S19" i="33" s="1"/>
  <c r="J17" i="33"/>
  <c r="AC17" i="33" s="1"/>
  <c r="W15" i="33"/>
  <c r="U9" i="33"/>
  <c r="J10" i="33"/>
  <c r="W10" i="33" s="1"/>
  <c r="H10" i="33"/>
  <c r="AB10" i="33" s="1"/>
  <c r="AA10" i="33"/>
  <c r="AC11" i="33"/>
  <c r="AB14" i="33"/>
  <c r="W43" i="21"/>
  <c r="W36" i="21"/>
  <c r="W41" i="21"/>
  <c r="AB39" i="21"/>
  <c r="AA43" i="21"/>
  <c r="S39" i="21"/>
  <c r="AA38" i="21"/>
  <c r="AA36" i="21"/>
  <c r="AC40" i="21"/>
  <c r="J15" i="21"/>
  <c r="W15" i="21"/>
  <c r="F77" i="21"/>
  <c r="G77" i="21"/>
  <c r="F23" i="21"/>
  <c r="S23" i="21" s="1"/>
  <c r="E85" i="21"/>
  <c r="AC11" i="21"/>
  <c r="AA14" i="21"/>
  <c r="AB8" i="21"/>
  <c r="S8" i="21"/>
  <c r="M3" i="43"/>
  <c r="M1" i="43"/>
  <c r="N8" i="43"/>
  <c r="D120" i="9"/>
  <c r="C18" i="9"/>
  <c r="D18" i="9" s="1"/>
  <c r="F34" i="67"/>
  <c r="F62" i="67" s="1"/>
  <c r="M20" i="67"/>
  <c r="F34" i="15"/>
  <c r="F62" i="15" s="1"/>
  <c r="G13" i="3"/>
  <c r="BA13" i="3"/>
  <c r="E10" i="6"/>
  <c r="E11" i="6"/>
  <c r="E56" i="40" s="1"/>
  <c r="BL17" i="3"/>
  <c r="AZ17" i="3" s="1"/>
  <c r="BL13" i="3"/>
  <c r="E65" i="39"/>
  <c r="G30" i="6"/>
  <c r="G31" i="6" s="1"/>
  <c r="J56" i="9"/>
  <c r="J57" i="9"/>
  <c r="A24" i="51"/>
  <c r="B18" i="72" s="1"/>
  <c r="U29" i="34"/>
  <c r="E14" i="6"/>
  <c r="E64" i="39" s="1"/>
  <c r="E5" i="6"/>
  <c r="D9" i="11" s="1"/>
  <c r="C9" i="11" s="1"/>
  <c r="E32" i="6"/>
  <c r="L19" i="6"/>
  <c r="G1" i="68"/>
  <c r="K1" i="12"/>
  <c r="F30" i="6"/>
  <c r="AQ12" i="1"/>
  <c r="AR10"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C7" i="33"/>
  <c r="C7" i="21"/>
  <c r="C58" i="21" s="1"/>
  <c r="C7" i="40"/>
  <c r="C63" i="40" s="1"/>
  <c r="C65" i="40" s="1"/>
  <c r="M47" i="9"/>
  <c r="G19" i="43"/>
  <c r="O19" i="43" s="1"/>
  <c r="C19" i="43" s="1"/>
  <c r="C46" i="36"/>
  <c r="C59" i="34"/>
  <c r="D59" i="34" s="1"/>
  <c r="E59" i="34" s="1"/>
  <c r="C52" i="37"/>
  <c r="A4" i="51"/>
  <c r="B6" i="72" s="1"/>
  <c r="C4" i="12"/>
  <c r="H66" i="43"/>
  <c r="H65" i="43"/>
  <c r="H64" i="43"/>
  <c r="H63" i="43"/>
  <c r="H55" i="43"/>
  <c r="H56" i="43"/>
  <c r="H72" i="43"/>
  <c r="L20" i="6"/>
  <c r="B6" i="1"/>
  <c r="E6" i="1" s="1"/>
  <c r="S8" i="1"/>
  <c r="AR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AC33" i="21" s="1"/>
  <c r="H33" i="21"/>
  <c r="AB33" i="21"/>
  <c r="F37" i="21"/>
  <c r="AA37" i="21"/>
  <c r="AA26" i="21"/>
  <c r="AB14" i="21"/>
  <c r="AB46" i="21"/>
  <c r="U40" i="21"/>
  <c r="AC15" i="21"/>
  <c r="U13" i="21"/>
  <c r="AB13" i="21"/>
  <c r="W8" i="21"/>
  <c r="S35" i="21"/>
  <c r="AB37" i="21"/>
  <c r="J37" i="21"/>
  <c r="W37" i="21"/>
  <c r="H15" i="21"/>
  <c r="U15" i="21" s="1"/>
  <c r="J17" i="21"/>
  <c r="AC17" i="21"/>
  <c r="AC19" i="21"/>
  <c r="W39" i="21"/>
  <c r="AC14" i="21"/>
  <c r="W30" i="21"/>
  <c r="S46" i="21"/>
  <c r="H45" i="21"/>
  <c r="U45" i="21" s="1"/>
  <c r="F29" i="21"/>
  <c r="S29" i="21"/>
  <c r="F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0" i="43"/>
  <c r="B63" i="43"/>
  <c r="B67" i="43"/>
  <c r="D23" i="15"/>
  <c r="D22" i="15"/>
  <c r="AQ13" i="1"/>
  <c r="M6" i="1"/>
  <c r="O6" i="1" s="1"/>
  <c r="P6" i="1" s="1"/>
  <c r="F30" i="11"/>
  <c r="C48" i="11" s="1"/>
  <c r="T9" i="1"/>
  <c r="D9" i="68"/>
  <c r="C9" i="68" s="1"/>
  <c r="AA39" i="40"/>
  <c r="S39" i="40"/>
  <c r="S12" i="33"/>
  <c r="AA12" i="33"/>
  <c r="J32" i="39"/>
  <c r="H107" i="39"/>
  <c r="I107" i="39"/>
  <c r="J107" i="39" s="1"/>
  <c r="K107" i="39" s="1"/>
  <c r="L107" i="39" s="1"/>
  <c r="M107" i="39" s="1"/>
  <c r="H32" i="39"/>
  <c r="AA32" i="39"/>
  <c r="S32" i="39"/>
  <c r="AB21" i="39"/>
  <c r="AA21" i="39"/>
  <c r="S21" i="39"/>
  <c r="AC21" i="39"/>
  <c r="W21" i="39"/>
  <c r="S26" i="35"/>
  <c r="U9" i="35"/>
  <c r="AB9" i="35"/>
  <c r="S9" i="35"/>
  <c r="AC26" i="35"/>
  <c r="W26" i="35"/>
  <c r="U26" i="35"/>
  <c r="AC17" i="37"/>
  <c r="S17" i="37"/>
  <c r="J19" i="37"/>
  <c r="G75" i="37"/>
  <c r="S19" i="37"/>
  <c r="AA19" i="37"/>
  <c r="AA23" i="37"/>
  <c r="J23" i="37"/>
  <c r="G79" i="37"/>
  <c r="J10" i="37"/>
  <c r="G63" i="37"/>
  <c r="H63" i="37" s="1"/>
  <c r="I63" i="37" s="1"/>
  <c r="J63" i="37" s="1"/>
  <c r="K63" i="37" s="1"/>
  <c r="L63" i="37" s="1"/>
  <c r="M63" i="37" s="1"/>
  <c r="H11" i="37"/>
  <c r="AB10" i="37"/>
  <c r="U10" i="37"/>
  <c r="G70" i="34"/>
  <c r="H70" i="34" s="1"/>
  <c r="I70" i="34" s="1"/>
  <c r="J70" i="34" s="1"/>
  <c r="K70" i="34" s="1"/>
  <c r="L70" i="34" s="1"/>
  <c r="M70" i="34" s="1"/>
  <c r="H11" i="34"/>
  <c r="U11" i="34" s="1"/>
  <c r="AB10" i="34"/>
  <c r="J10" i="34"/>
  <c r="I67" i="34"/>
  <c r="AB41" i="33"/>
  <c r="U41" i="33"/>
  <c r="H36" i="33"/>
  <c r="U36" i="33" s="1"/>
  <c r="AA36" i="33"/>
  <c r="J27" i="33"/>
  <c r="W27" i="33" s="1"/>
  <c r="J25" i="33"/>
  <c r="W25" i="33" s="1"/>
  <c r="F23" i="33"/>
  <c r="S23" i="33" s="1"/>
  <c r="H19" i="33"/>
  <c r="U19" i="33" s="1"/>
  <c r="H17" i="33"/>
  <c r="U17" i="33" s="1"/>
  <c r="F17" i="33"/>
  <c r="S17" i="33" s="1"/>
  <c r="AC10" i="33"/>
  <c r="AC37" i="21"/>
  <c r="U33" i="21"/>
  <c r="S37" i="21"/>
  <c r="AA23" i="21"/>
  <c r="AB15" i="21"/>
  <c r="J23" i="21"/>
  <c r="F85" i="21"/>
  <c r="G85" i="21"/>
  <c r="H23" i="21"/>
  <c r="D6" i="52"/>
  <c r="D121" i="9"/>
  <c r="D7" i="52"/>
  <c r="K120" i="9"/>
  <c r="A18" i="62" s="1"/>
  <c r="B64" i="72" s="1"/>
  <c r="J59" i="9"/>
  <c r="J61" i="9" s="1"/>
  <c r="AQ8" i="1"/>
  <c r="L27" i="6"/>
  <c r="AP7" i="1"/>
  <c r="Q16" i="1"/>
  <c r="F27" i="69" s="1"/>
  <c r="AB45" i="21"/>
  <c r="W33" i="21"/>
  <c r="S33" i="21"/>
  <c r="AA33" i="21"/>
  <c r="W32" i="21"/>
  <c r="AC32" i="21"/>
  <c r="AB9" i="21"/>
  <c r="U9" i="21"/>
  <c r="S32" i="21"/>
  <c r="W9" i="21"/>
  <c r="AC9" i="21"/>
  <c r="U32" i="21"/>
  <c r="AA10" i="21"/>
  <c r="U32" i="39"/>
  <c r="AB32" i="39"/>
  <c r="AC32" i="39"/>
  <c r="W32" i="39"/>
  <c r="W19" i="37"/>
  <c r="AC19" i="37"/>
  <c r="W23" i="37"/>
  <c r="AC23" i="37"/>
  <c r="AB11" i="37"/>
  <c r="U11" i="37"/>
  <c r="J11" i="37"/>
  <c r="W10" i="37"/>
  <c r="AC10" i="37"/>
  <c r="AB11" i="34"/>
  <c r="AC10" i="34"/>
  <c r="W10" i="34"/>
  <c r="J11" i="34"/>
  <c r="W11" i="34" s="1"/>
  <c r="AB36" i="33"/>
  <c r="U23" i="21"/>
  <c r="AB23" i="21"/>
  <c r="AC23" i="21"/>
  <c r="W23" i="21"/>
  <c r="AC11" i="37"/>
  <c r="W11" i="37"/>
  <c r="F34" i="11"/>
  <c r="F11" i="12"/>
  <c r="C23" i="12" s="1"/>
  <c r="F34" i="68"/>
  <c r="R8" i="1"/>
  <c r="AE8" i="1"/>
  <c r="AG6" i="1"/>
  <c r="H109" i="9"/>
  <c r="H110" i="9"/>
  <c r="D18" i="53" s="1"/>
  <c r="B35" i="72" s="1"/>
  <c r="D124" i="9"/>
  <c r="H14" i="74" s="1"/>
  <c r="B7" i="74" s="1"/>
  <c r="D16" i="53"/>
  <c r="B34" i="72" s="1"/>
  <c r="D17" i="53"/>
  <c r="B36" i="72"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S11" i="71"/>
  <c r="AB9" i="71"/>
  <c r="X7" i="71"/>
  <c r="X6" i="71"/>
  <c r="AA7" i="71"/>
  <c r="AA6" i="71"/>
  <c r="X10" i="71"/>
  <c r="Y6" i="71"/>
  <c r="Z6" i="71" s="1"/>
  <c r="AB7" i="71"/>
  <c r="AB6" i="71"/>
  <c r="B6" i="71"/>
  <c r="B5" i="71" s="1"/>
  <c r="S7" i="71"/>
  <c r="F8" i="71"/>
  <c r="F7" i="71"/>
  <c r="F6" i="71" s="1"/>
  <c r="F5" i="71" s="1"/>
  <c r="Y7" i="71"/>
  <c r="Z7" i="71" s="1"/>
  <c r="AB3" i="71"/>
  <c r="X3" i="71"/>
  <c r="AF3" i="71"/>
  <c r="G20" i="43"/>
  <c r="E41" i="43"/>
  <c r="C41" i="43" s="1"/>
  <c r="F31" i="15"/>
  <c r="F31" i="67"/>
  <c r="M27" i="15"/>
  <c r="M26" i="67"/>
  <c r="F38" i="67"/>
  <c r="F7" i="67"/>
  <c r="F6" i="15"/>
  <c r="B9" i="76"/>
  <c r="F16" i="67"/>
  <c r="M9" i="67"/>
  <c r="M26" i="15"/>
  <c r="F43" i="67"/>
  <c r="F13" i="67"/>
  <c r="D5" i="73"/>
  <c r="E2" i="68"/>
  <c r="F9" i="15"/>
  <c r="F38" i="15"/>
  <c r="F16" i="15"/>
  <c r="J15" i="15"/>
  <c r="M6" i="67"/>
  <c r="L47" i="15"/>
  <c r="M8" i="67"/>
  <c r="F8" i="15"/>
  <c r="AO9" i="1"/>
  <c r="F9" i="67"/>
  <c r="F41" i="67"/>
  <c r="M8" i="15"/>
  <c r="F5" i="73"/>
  <c r="AO13" i="1"/>
  <c r="M21" i="67"/>
  <c r="D2" i="35"/>
  <c r="M23" i="67"/>
  <c r="E11" i="76"/>
  <c r="D6" i="73"/>
  <c r="AO12" i="1"/>
  <c r="M29" i="67"/>
  <c r="J15" i="67"/>
  <c r="D2" i="21"/>
  <c r="F36" i="15"/>
  <c r="M28" i="15"/>
  <c r="E8" i="76"/>
  <c r="B12" i="76"/>
  <c r="F26" i="15"/>
  <c r="E10" i="76"/>
  <c r="F36" i="67"/>
  <c r="M29" i="15"/>
  <c r="F26" i="67"/>
  <c r="D2" i="34"/>
  <c r="E7" i="76"/>
  <c r="F35" i="67"/>
  <c r="M9" i="15"/>
  <c r="AO8" i="1"/>
  <c r="M22" i="15"/>
  <c r="M24" i="15"/>
  <c r="B13" i="76"/>
  <c r="F7" i="15"/>
  <c r="D2" i="37"/>
  <c r="L48" i="81"/>
  <c r="F4" i="73"/>
  <c r="F42" i="15"/>
  <c r="D7" i="73"/>
  <c r="F42" i="67"/>
  <c r="F37" i="15"/>
  <c r="D2" i="33"/>
  <c r="B8" i="76"/>
  <c r="F43" i="15"/>
  <c r="F13" i="15"/>
  <c r="E12" i="76"/>
  <c r="F6" i="67"/>
  <c r="L47" i="67"/>
  <c r="C76" i="15"/>
  <c r="F7" i="73"/>
  <c r="M24" i="67"/>
  <c r="C76" i="67"/>
  <c r="M22" i="67"/>
  <c r="F8" i="67"/>
  <c r="F40" i="15"/>
  <c r="L48" i="67"/>
  <c r="M23" i="15"/>
  <c r="B10" i="76"/>
  <c r="M6" i="15"/>
  <c r="F6" i="73"/>
  <c r="E9" i="76"/>
  <c r="E13" i="76"/>
  <c r="F40" i="67"/>
  <c r="M28" i="67"/>
  <c r="B11" i="76"/>
  <c r="B7" i="76"/>
  <c r="F37" i="67"/>
  <c r="D2" i="36"/>
  <c r="AO11" i="1"/>
  <c r="L48" i="15"/>
  <c r="M27" i="67"/>
  <c r="F3" i="73"/>
  <c r="AO10" i="1"/>
  <c r="E2" i="69"/>
  <c r="AB23" i="33" l="1"/>
  <c r="D10" i="52"/>
  <c r="AC11" i="34"/>
  <c r="F27" i="68"/>
  <c r="AB19" i="33"/>
  <c r="U31" i="21"/>
  <c r="AB31" i="21"/>
  <c r="D125" i="9"/>
  <c r="D11" i="52" s="1"/>
  <c r="AA13" i="21"/>
  <c r="S13" i="21"/>
  <c r="C7" i="43"/>
  <c r="AZ13" i="3"/>
  <c r="T11" i="1"/>
  <c r="AC39" i="34"/>
  <c r="U32" i="37"/>
  <c r="U25" i="39"/>
  <c r="AA27" i="40"/>
  <c r="F53" i="9"/>
  <c r="F28" i="81"/>
  <c r="F32" i="81"/>
  <c r="F60" i="81" s="1"/>
  <c r="M18" i="81"/>
  <c r="D68" i="79"/>
  <c r="F53" i="79"/>
  <c r="F52" i="79"/>
  <c r="F54" i="79"/>
  <c r="E13" i="6"/>
  <c r="H82" i="43"/>
  <c r="H83" i="43"/>
  <c r="AA25" i="21"/>
  <c r="AA13" i="33"/>
  <c r="AB13" i="34"/>
  <c r="H42" i="33"/>
  <c r="AC30" i="34"/>
  <c r="S11" i="36"/>
  <c r="AB46" i="33"/>
  <c r="S14" i="33"/>
  <c r="U11" i="36"/>
  <c r="S14" i="34"/>
  <c r="AA45" i="33"/>
  <c r="U23" i="40"/>
  <c r="S41" i="33"/>
  <c r="AB23" i="34"/>
  <c r="AC34" i="36"/>
  <c r="AC11" i="40"/>
  <c r="U17" i="34"/>
  <c r="AA27" i="36"/>
  <c r="AA30" i="40"/>
  <c r="AA44" i="33"/>
  <c r="E29" i="6"/>
  <c r="K15" i="1" s="1"/>
  <c r="E12" i="6"/>
  <c r="C20" i="43"/>
  <c r="F26" i="37"/>
  <c r="H39" i="40"/>
  <c r="H9" i="34"/>
  <c r="BA551" i="3"/>
  <c r="AZ551" i="3" s="1"/>
  <c r="AZ407" i="3"/>
  <c r="AZ410" i="3"/>
  <c r="AZ411" i="3"/>
  <c r="J36" i="35"/>
  <c r="G558" i="3"/>
  <c r="AZ421" i="3"/>
  <c r="M18" i="79"/>
  <c r="B118" i="79" s="1"/>
  <c r="A15" i="62"/>
  <c r="B61" i="72" s="1"/>
  <c r="AZ439" i="3"/>
  <c r="AZ448" i="3"/>
  <c r="AZ452" i="3"/>
  <c r="AZ460" i="3"/>
  <c r="AZ461" i="3"/>
  <c r="AZ464" i="3"/>
  <c r="AZ467" i="3"/>
  <c r="AZ468" i="3"/>
  <c r="AZ471" i="3"/>
  <c r="AZ472" i="3"/>
  <c r="AZ489" i="3"/>
  <c r="AZ385" i="3"/>
  <c r="AZ397" i="3"/>
  <c r="AZ210" i="3"/>
  <c r="AZ216" i="3"/>
  <c r="AZ217" i="3"/>
  <c r="AZ225" i="3"/>
  <c r="AZ228" i="3"/>
  <c r="AZ231" i="3"/>
  <c r="AZ267" i="3"/>
  <c r="AZ270" i="3"/>
  <c r="AZ277" i="3"/>
  <c r="M20" i="15"/>
  <c r="M20" i="81"/>
  <c r="F34" i="81"/>
  <c r="F62" i="81" s="1"/>
  <c r="D93" i="79"/>
  <c r="D78" i="79"/>
  <c r="BL415" i="3"/>
  <c r="AZ415" i="3" s="1"/>
  <c r="BA430" i="3"/>
  <c r="AZ430" i="3" s="1"/>
  <c r="AZ431" i="3"/>
  <c r="BA433" i="3"/>
  <c r="AZ433" i="3" s="1"/>
  <c r="AZ434" i="3"/>
  <c r="AZ436" i="3"/>
  <c r="AZ438" i="3"/>
  <c r="AZ442" i="3"/>
  <c r="AZ446" i="3"/>
  <c r="AZ477" i="3"/>
  <c r="AZ487" i="3"/>
  <c r="BA423" i="3"/>
  <c r="AZ423" i="3" s="1"/>
  <c r="BA427" i="3"/>
  <c r="AZ427" i="3" s="1"/>
  <c r="AZ429" i="3"/>
  <c r="AZ432" i="3"/>
  <c r="AZ435" i="3"/>
  <c r="BL436" i="3"/>
  <c r="AZ445" i="3"/>
  <c r="AZ486" i="3"/>
  <c r="AZ332" i="3"/>
  <c r="AZ226" i="3"/>
  <c r="AZ247" i="3"/>
  <c r="AZ260" i="3"/>
  <c r="BL418" i="3"/>
  <c r="AZ418" i="3" s="1"/>
  <c r="BL422" i="3"/>
  <c r="AZ422" i="3" s="1"/>
  <c r="AZ426" i="3"/>
  <c r="BL281" i="3"/>
  <c r="AZ281" i="3" s="1"/>
  <c r="G286" i="3"/>
  <c r="BL286" i="3"/>
  <c r="AZ286" i="3" s="1"/>
  <c r="G291" i="3"/>
  <c r="AZ302" i="3"/>
  <c r="AZ113" i="3"/>
  <c r="AZ145" i="3"/>
  <c r="AZ153" i="3"/>
  <c r="AZ284" i="3"/>
  <c r="BA290" i="3"/>
  <c r="AZ290" i="3" s="1"/>
  <c r="AZ129" i="3"/>
  <c r="AZ177" i="3"/>
  <c r="AZ22" i="3"/>
  <c r="BA282" i="3"/>
  <c r="AZ282" i="3" s="1"/>
  <c r="BL284" i="3"/>
  <c r="AZ289" i="3"/>
  <c r="AZ161" i="3"/>
  <c r="BA33" i="3"/>
  <c r="AZ33" i="3" s="1"/>
  <c r="AZ34" i="3"/>
  <c r="AZ40" i="3"/>
  <c r="BL53" i="3"/>
  <c r="AZ53" i="3" s="1"/>
  <c r="BA59" i="3"/>
  <c r="AZ59" i="3" s="1"/>
  <c r="AZ60" i="3"/>
  <c r="BA65" i="3"/>
  <c r="AZ65" i="3" s="1"/>
  <c r="BA70" i="3"/>
  <c r="AZ70" i="3" s="1"/>
  <c r="AZ76" i="3"/>
  <c r="BL203" i="3"/>
  <c r="AZ203" i="3" s="1"/>
  <c r="BL18" i="3"/>
  <c r="AZ18" i="3" s="1"/>
  <c r="BL27" i="3"/>
  <c r="AZ27" i="3" s="1"/>
  <c r="BA31" i="3"/>
  <c r="AZ31" i="3" s="1"/>
  <c r="BA36" i="3"/>
  <c r="AZ36" i="3" s="1"/>
  <c r="AZ38" i="3"/>
  <c r="BL45" i="3"/>
  <c r="AZ45" i="3" s="1"/>
  <c r="BA51" i="3"/>
  <c r="AZ51" i="3" s="1"/>
  <c r="AZ52" i="3"/>
  <c r="BA57" i="3"/>
  <c r="AZ57" i="3" s="1"/>
  <c r="BA62" i="3"/>
  <c r="AZ62" i="3" s="1"/>
  <c r="AZ64" i="3"/>
  <c r="AZ87" i="3"/>
  <c r="AZ112" i="3"/>
  <c r="BL205" i="3"/>
  <c r="BA207" i="3"/>
  <c r="AZ207" i="3" s="1"/>
  <c r="BL19" i="3"/>
  <c r="AZ19" i="3" s="1"/>
  <c r="BL23" i="3"/>
  <c r="AZ23" i="3" s="1"/>
  <c r="BA25" i="3"/>
  <c r="AZ25" i="3" s="1"/>
  <c r="BA26" i="3"/>
  <c r="AZ26" i="3" s="1"/>
  <c r="BL28" i="3"/>
  <c r="AZ28" i="3" s="1"/>
  <c r="BA30" i="3"/>
  <c r="AZ30" i="3" s="1"/>
  <c r="BA49" i="3"/>
  <c r="AZ49" i="3" s="1"/>
  <c r="AZ56" i="3"/>
  <c r="AZ205" i="3"/>
  <c r="BL206" i="3"/>
  <c r="AZ206" i="3" s="1"/>
  <c r="AZ95" i="3"/>
  <c r="AZ98" i="3"/>
  <c r="C51" i="10"/>
  <c r="A118" i="79"/>
  <c r="A2" i="79"/>
  <c r="U21" i="34"/>
  <c r="T27" i="71"/>
  <c r="D27" i="71"/>
  <c r="F3" i="35"/>
  <c r="D23" i="67"/>
  <c r="P52" i="71"/>
  <c r="P53" i="71"/>
  <c r="AA21" i="33"/>
  <c r="C25" i="40"/>
  <c r="C19" i="71"/>
  <c r="D18" i="71"/>
  <c r="AB21" i="33"/>
  <c r="AA21" i="34"/>
  <c r="S21" i="34"/>
  <c r="D33" i="71"/>
  <c r="C34" i="71"/>
  <c r="D34" i="71" s="1"/>
  <c r="C38" i="71"/>
  <c r="D37" i="71"/>
  <c r="C50" i="71"/>
  <c r="D49" i="71"/>
  <c r="AC12" i="43"/>
  <c r="AC10" i="43"/>
  <c r="Y11" i="71"/>
  <c r="Z11" i="71" s="1"/>
  <c r="E10" i="71"/>
  <c r="E9" i="71" s="1"/>
  <c r="E8" i="71" s="1"/>
  <c r="E7" i="71" s="1"/>
  <c r="V11" i="71"/>
  <c r="Y9" i="71"/>
  <c r="Z9" i="71" s="1"/>
  <c r="AA5" i="71"/>
  <c r="S18" i="35"/>
  <c r="S29" i="39"/>
  <c r="D47" i="71"/>
  <c r="D14" i="71"/>
  <c r="C57" i="71"/>
  <c r="D57" i="71" s="1"/>
  <c r="AA14" i="71"/>
  <c r="AB14" i="71"/>
  <c r="F14" i="71"/>
  <c r="F13" i="71" s="1"/>
  <c r="C54" i="71"/>
  <c r="X14" i="71"/>
  <c r="AB24" i="71"/>
  <c r="X23" i="71"/>
  <c r="AA20" i="71"/>
  <c r="AA24" i="71"/>
  <c r="X20" i="71"/>
  <c r="E17" i="71"/>
  <c r="E18" i="71" s="1"/>
  <c r="E19" i="71" s="1"/>
  <c r="U19" i="71" s="1"/>
  <c r="AA16" i="71"/>
  <c r="AB20" i="71"/>
  <c r="AB21" i="71"/>
  <c r="AA22" i="71"/>
  <c r="F54" i="71"/>
  <c r="B58" i="71"/>
  <c r="B57" i="71" s="1"/>
  <c r="B66" i="71"/>
  <c r="B65" i="71" s="1"/>
  <c r="AD10" i="43"/>
  <c r="AE10" i="43"/>
  <c r="C11" i="71"/>
  <c r="Y10" i="71"/>
  <c r="Z10" i="71" s="1"/>
  <c r="AB5" i="71"/>
  <c r="C74" i="71"/>
  <c r="E66" i="71"/>
  <c r="E65" i="71" s="1"/>
  <c r="E62" i="71"/>
  <c r="E61" i="71" s="1"/>
  <c r="E58" i="71"/>
  <c r="E57" i="71" s="1"/>
  <c r="D17" i="71"/>
  <c r="X13" i="71"/>
  <c r="B15" i="71"/>
  <c r="Y14" i="71"/>
  <c r="Z14" i="71" s="1"/>
  <c r="Y12" i="71"/>
  <c r="Z12" i="71" s="1"/>
  <c r="Y20" i="71"/>
  <c r="Z20" i="71" s="1"/>
  <c r="X19" i="71"/>
  <c r="AB16" i="71"/>
  <c r="AB22" i="71"/>
  <c r="S55" i="71"/>
  <c r="B54" i="71"/>
  <c r="N55" i="71"/>
  <c r="F66" i="71"/>
  <c r="F65" i="71" s="1"/>
  <c r="X11" i="71"/>
  <c r="AA9" i="71"/>
  <c r="AA8" i="71"/>
  <c r="X5" i="71"/>
  <c r="C23" i="71"/>
  <c r="AA12" i="71"/>
  <c r="AB12" i="71"/>
  <c r="Z12" i="43"/>
  <c r="AH12" i="43"/>
  <c r="AB11" i="71"/>
  <c r="AB10" i="71"/>
  <c r="Y5" i="71"/>
  <c r="Z5" i="71" s="1"/>
  <c r="AA11" i="71"/>
  <c r="AA10" i="71"/>
  <c r="X9" i="71"/>
  <c r="M56" i="9"/>
  <c r="J56" i="79"/>
  <c r="J57" i="79" s="1"/>
  <c r="J59" i="79" s="1"/>
  <c r="J61" i="79" s="1"/>
  <c r="N56" i="79"/>
  <c r="M56" i="79"/>
  <c r="K56" i="79"/>
  <c r="P23" i="43"/>
  <c r="B71" i="39" s="1"/>
  <c r="P22" i="43"/>
  <c r="P24" i="43"/>
  <c r="B66" i="40" s="1"/>
  <c r="J51" i="15"/>
  <c r="P25" i="43"/>
  <c r="P21" i="43"/>
  <c r="D63" i="40"/>
  <c r="D65" i="40" s="1"/>
  <c r="C70" i="39"/>
  <c r="D68" i="39"/>
  <c r="C28" i="81"/>
  <c r="C77" i="79"/>
  <c r="C74" i="79" s="1"/>
  <c r="E63" i="40"/>
  <c r="C77" i="9"/>
  <c r="C58" i="33"/>
  <c r="D58" i="33" s="1"/>
  <c r="E58" i="33" s="1"/>
  <c r="F58" i="33" s="1"/>
  <c r="G58" i="33" s="1"/>
  <c r="H58" i="33" s="1"/>
  <c r="I58" i="33" s="1"/>
  <c r="J58" i="33" s="1"/>
  <c r="K58" i="33" s="1"/>
  <c r="L58" i="33" s="1"/>
  <c r="M58" i="33" s="1"/>
  <c r="N58" i="33" s="1"/>
  <c r="O58" i="33" s="1"/>
  <c r="E7" i="33"/>
  <c r="G7" i="1"/>
  <c r="J51" i="81"/>
  <c r="M47" i="79"/>
  <c r="F49" i="81"/>
  <c r="G17" i="43"/>
  <c r="C16" i="43" s="1"/>
  <c r="J42" i="33"/>
  <c r="F42" i="33"/>
  <c r="B10" i="49"/>
  <c r="S32" i="33"/>
  <c r="H32" i="33"/>
  <c r="U43" i="33"/>
  <c r="S43" i="33"/>
  <c r="AC37" i="33"/>
  <c r="AC35" i="33"/>
  <c r="AA34" i="33"/>
  <c r="W39" i="33"/>
  <c r="AC23" i="33"/>
  <c r="B11" i="49"/>
  <c r="B6" i="49"/>
  <c r="E7" i="49"/>
  <c r="W21" i="33"/>
  <c r="W19" i="33"/>
  <c r="W17" i="33"/>
  <c r="AB17" i="33"/>
  <c r="H111" i="33"/>
  <c r="I111" i="33" s="1"/>
  <c r="J111" i="33" s="1"/>
  <c r="K111" i="33" s="1"/>
  <c r="L111" i="33" s="1"/>
  <c r="M111" i="33" s="1"/>
  <c r="J36" i="33"/>
  <c r="U27" i="33"/>
  <c r="AC25" i="33"/>
  <c r="U25" i="33"/>
  <c r="AA23" i="33"/>
  <c r="AA19" i="33"/>
  <c r="AA17" i="33"/>
  <c r="S15" i="33"/>
  <c r="U10" i="33"/>
  <c r="S9" i="33"/>
  <c r="W38" i="33"/>
  <c r="AA38" i="33"/>
  <c r="E15" i="49"/>
  <c r="B8" i="49"/>
  <c r="B9" i="49"/>
  <c r="C4" i="4" s="1"/>
  <c r="B4" i="62" s="1"/>
  <c r="B71" i="72" s="1"/>
  <c r="AA35" i="33"/>
  <c r="AC27" i="33"/>
  <c r="S27" i="33"/>
  <c r="W32" i="33"/>
  <c r="AA25" i="33"/>
  <c r="B22" i="49"/>
  <c r="B16" i="49"/>
  <c r="E21" i="49"/>
  <c r="E8" i="49"/>
  <c r="E16" i="49"/>
  <c r="B13" i="49"/>
  <c r="E4" i="4" s="1"/>
  <c r="B5" i="62" s="1"/>
  <c r="B73" i="72" s="1"/>
  <c r="C29" i="39"/>
  <c r="B66" i="43"/>
  <c r="B65" i="43"/>
  <c r="C15" i="39"/>
  <c r="C92" i="9"/>
  <c r="C94" i="9"/>
  <c r="F30" i="69"/>
  <c r="C30" i="69" s="1"/>
  <c r="C30" i="11"/>
  <c r="F54" i="9"/>
  <c r="F52" i="9"/>
  <c r="F28" i="15"/>
  <c r="C28" i="15" s="1"/>
  <c r="F32" i="67"/>
  <c r="F60" i="67" s="1"/>
  <c r="F28" i="67"/>
  <c r="C28" i="67" s="1"/>
  <c r="C24" i="12"/>
  <c r="C74" i="9"/>
  <c r="C36" i="11"/>
  <c r="D68" i="9"/>
  <c r="M18" i="15"/>
  <c r="F32" i="15"/>
  <c r="F60" i="15" s="1"/>
  <c r="M18" i="67"/>
  <c r="F31" i="12"/>
  <c r="C31" i="12" s="1"/>
  <c r="F30" i="68"/>
  <c r="C29" i="68"/>
  <c r="D27" i="68" s="1"/>
  <c r="C40" i="68"/>
  <c r="E9" i="49"/>
  <c r="E13" i="49"/>
  <c r="B14" i="49"/>
  <c r="E4" i="49"/>
  <c r="B5" i="49"/>
  <c r="E5" i="49"/>
  <c r="E6" i="49"/>
  <c r="E11" i="49"/>
  <c r="E22" i="49"/>
  <c r="B4" i="49"/>
  <c r="E14" i="49"/>
  <c r="E10" i="49"/>
  <c r="B15" i="49"/>
  <c r="B7" i="49"/>
  <c r="P61" i="15"/>
  <c r="F27" i="11"/>
  <c r="F27" i="6"/>
  <c r="E51" i="40"/>
  <c r="E56" i="39"/>
  <c r="AQ9" i="1"/>
  <c r="H16" i="1"/>
  <c r="D9" i="69"/>
  <c r="C9" i="69" s="1"/>
  <c r="F28" i="12"/>
  <c r="C29" i="12" s="1"/>
  <c r="D28" i="12" s="1"/>
  <c r="T13" i="1"/>
  <c r="AR11" i="1"/>
  <c r="T10" i="1"/>
  <c r="T12" i="1"/>
  <c r="E61" i="39"/>
  <c r="T8" i="1"/>
  <c r="E59" i="40"/>
  <c r="P7" i="1"/>
  <c r="C36" i="69"/>
  <c r="E16" i="6"/>
  <c r="O9" i="1"/>
  <c r="P9" i="1" s="1"/>
  <c r="O11" i="1"/>
  <c r="P11" i="1" s="1"/>
  <c r="O12" i="1"/>
  <c r="P12" i="1" s="1"/>
  <c r="O8" i="1"/>
  <c r="P8" i="1" s="1"/>
  <c r="K14" i="1"/>
  <c r="K16" i="1" s="1"/>
  <c r="D19" i="12"/>
  <c r="C19" i="12"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T35" i="4"/>
  <c r="A19" i="51" s="1"/>
  <c r="B14" i="72" s="1"/>
  <c r="G16" i="1"/>
  <c r="F10" i="39" s="1"/>
  <c r="G58" i="21"/>
  <c r="H58" i="21" s="1"/>
  <c r="I58" i="21" s="1"/>
  <c r="J58" i="21" s="1"/>
  <c r="K58" i="21" s="1"/>
  <c r="L58" i="21" s="1"/>
  <c r="M58" i="21" s="1"/>
  <c r="N58" i="21" s="1"/>
  <c r="O58" i="21" s="1"/>
  <c r="F59" i="34"/>
  <c r="C47" i="69"/>
  <c r="D45" i="69" s="1"/>
  <c r="C29" i="69"/>
  <c r="D27" i="69" s="1"/>
  <c r="D48" i="35"/>
  <c r="D52" i="37"/>
  <c r="C36" i="68"/>
  <c r="D46" i="36"/>
  <c r="C5" i="43"/>
  <c r="D5" i="43"/>
  <c r="K1" i="73"/>
  <c r="F66" i="15"/>
  <c r="F50" i="15"/>
  <c r="M7" i="15"/>
  <c r="J6" i="15" s="1"/>
  <c r="Q71" i="67"/>
  <c r="B13" i="70"/>
  <c r="M7" i="67"/>
  <c r="J6" i="67" s="1"/>
  <c r="F50" i="67"/>
  <c r="Q71" i="15"/>
  <c r="F64" i="15"/>
  <c r="C34" i="67"/>
  <c r="F63" i="67"/>
  <c r="C62" i="67" s="1"/>
  <c r="J20" i="67"/>
  <c r="F70" i="67"/>
  <c r="F68" i="67"/>
  <c r="F51" i="15"/>
  <c r="C6" i="67"/>
  <c r="B12" i="70"/>
  <c r="F64" i="67"/>
  <c r="F71" i="15"/>
  <c r="F68" i="15"/>
  <c r="C27" i="67"/>
  <c r="B11" i="70"/>
  <c r="F66" i="67"/>
  <c r="F65" i="15"/>
  <c r="C27" i="15"/>
  <c r="F65" i="67"/>
  <c r="C6" i="15"/>
  <c r="B9" i="70"/>
  <c r="N59" i="15"/>
  <c r="M59" i="15"/>
  <c r="L59" i="15"/>
  <c r="L58" i="15"/>
  <c r="I1" i="73"/>
  <c r="B39" i="1" s="1"/>
  <c r="B10" i="70"/>
  <c r="M59" i="67"/>
  <c r="L58" i="67"/>
  <c r="N59" i="67"/>
  <c r="L59" i="67"/>
  <c r="F69" i="67"/>
  <c r="B8" i="70"/>
  <c r="F51" i="67"/>
  <c r="F71" i="67"/>
  <c r="J53" i="15"/>
  <c r="L56" i="15" s="1"/>
  <c r="J57" i="15"/>
  <c r="J55" i="15" s="1"/>
  <c r="J58" i="15" s="1"/>
  <c r="Q50" i="15" s="1"/>
  <c r="I54" i="15"/>
  <c r="J53" i="67"/>
  <c r="J57" i="67"/>
  <c r="J55" i="67" s="1"/>
  <c r="J58" i="67" s="1"/>
  <c r="Q50" i="67" s="1"/>
  <c r="L56" i="67"/>
  <c r="I54" i="67"/>
  <c r="M17" i="15"/>
  <c r="M17" i="67"/>
  <c r="F59" i="15"/>
  <c r="F59" i="67"/>
  <c r="J15" i="81"/>
  <c r="G1" i="73"/>
  <c r="F8" i="81"/>
  <c r="F43" i="81"/>
  <c r="F26" i="81"/>
  <c r="F9" i="81"/>
  <c r="M8" i="81"/>
  <c r="F7" i="81"/>
  <c r="F38" i="81"/>
  <c r="C16" i="67"/>
  <c r="M28" i="81"/>
  <c r="M29" i="81"/>
  <c r="F13" i="81"/>
  <c r="C76" i="81"/>
  <c r="M23" i="81"/>
  <c r="C14" i="67"/>
  <c r="M26" i="81"/>
  <c r="F36" i="81"/>
  <c r="C17" i="67"/>
  <c r="M24" i="81"/>
  <c r="D3" i="73"/>
  <c r="C16" i="15"/>
  <c r="M9" i="81"/>
  <c r="D4" i="73"/>
  <c r="M22" i="81"/>
  <c r="F42" i="81"/>
  <c r="F40" i="81"/>
  <c r="F16" i="81"/>
  <c r="L47" i="81"/>
  <c r="F6" i="81"/>
  <c r="F37" i="81"/>
  <c r="C47" i="68" l="1"/>
  <c r="D45" i="68" s="1"/>
  <c r="F65" i="81"/>
  <c r="F68" i="81"/>
  <c r="F66" i="81"/>
  <c r="C27" i="81"/>
  <c r="E20" i="43"/>
  <c r="M28" i="43" s="1"/>
  <c r="F50" i="81"/>
  <c r="M7" i="81"/>
  <c r="C6" i="81"/>
  <c r="F51" i="81"/>
  <c r="Q71" i="81"/>
  <c r="L58" i="81"/>
  <c r="Q60" i="81" s="1"/>
  <c r="F64" i="81"/>
  <c r="F71" i="81"/>
  <c r="AZ5" i="3"/>
  <c r="N54" i="71"/>
  <c r="B53" i="71"/>
  <c r="S15" i="71"/>
  <c r="B14" i="71"/>
  <c r="B13" i="71" s="1"/>
  <c r="T19" i="71"/>
  <c r="D19" i="71"/>
  <c r="AA26" i="37"/>
  <c r="S26" i="37"/>
  <c r="AB42" i="33"/>
  <c r="U42" i="33"/>
  <c r="E30" i="6"/>
  <c r="D23" i="71"/>
  <c r="T23" i="71"/>
  <c r="C10" i="71"/>
  <c r="D11" i="71"/>
  <c r="U11" i="71" s="1"/>
  <c r="T11" i="71"/>
  <c r="C39" i="71"/>
  <c r="D38" i="71"/>
  <c r="BA5" i="3"/>
  <c r="E27" i="6" s="1"/>
  <c r="BL5" i="3"/>
  <c r="C73" i="71"/>
  <c r="D73" i="71" s="1"/>
  <c r="D74" i="71"/>
  <c r="Q54" i="71"/>
  <c r="F53" i="71"/>
  <c r="D54" i="71"/>
  <c r="C53" i="71"/>
  <c r="O54" i="71"/>
  <c r="V7" i="71"/>
  <c r="E6" i="71"/>
  <c r="E5" i="71" s="1"/>
  <c r="G5" i="3"/>
  <c r="B3" i="3" s="1"/>
  <c r="E286" i="3" s="1"/>
  <c r="AB9" i="34"/>
  <c r="U9" i="34"/>
  <c r="E57" i="40"/>
  <c r="E62" i="39"/>
  <c r="E66" i="39" s="1"/>
  <c r="E58" i="40"/>
  <c r="E63" i="39"/>
  <c r="C51" i="71"/>
  <c r="D50" i="71"/>
  <c r="W36" i="35"/>
  <c r="AC36" i="35"/>
  <c r="U39" i="40"/>
  <c r="AB39" i="40"/>
  <c r="H7" i="21"/>
  <c r="AB7" i="21" s="1"/>
  <c r="T48" i="21" s="1"/>
  <c r="G48" i="21" s="1"/>
  <c r="J7" i="21"/>
  <c r="AC7" i="21" s="1"/>
  <c r="V48" i="21" s="1"/>
  <c r="I48" i="21" s="1"/>
  <c r="I54" i="81"/>
  <c r="J60" i="81"/>
  <c r="Q48" i="81" s="1"/>
  <c r="J57" i="81"/>
  <c r="J55" i="81" s="1"/>
  <c r="J58" i="81" s="1"/>
  <c r="Q50" i="81" s="1"/>
  <c r="N59" i="81"/>
  <c r="J53" i="81"/>
  <c r="J59" i="81"/>
  <c r="L59" i="81"/>
  <c r="M59" i="81"/>
  <c r="G7" i="33"/>
  <c r="F7" i="33"/>
  <c r="L60" i="81"/>
  <c r="E65" i="40"/>
  <c r="F63" i="40"/>
  <c r="D70" i="39"/>
  <c r="E68" i="39"/>
  <c r="L46" i="81"/>
  <c r="L56" i="81"/>
  <c r="L57" i="81"/>
  <c r="Z7" i="1"/>
  <c r="F11" i="81"/>
  <c r="M11" i="81"/>
  <c r="AA42" i="33"/>
  <c r="S42" i="33"/>
  <c r="AC42" i="33"/>
  <c r="W42" i="33"/>
  <c r="AB32" i="33"/>
  <c r="U32" i="33"/>
  <c r="AC36" i="33"/>
  <c r="W36" i="33"/>
  <c r="K4" i="4"/>
  <c r="B46" i="48" s="1"/>
  <c r="B4" i="72" s="1"/>
  <c r="C48" i="69"/>
  <c r="C30" i="68"/>
  <c r="C48" i="68"/>
  <c r="C47" i="11"/>
  <c r="D45" i="11" s="1"/>
  <c r="C29" i="11"/>
  <c r="D27" i="11" s="1"/>
  <c r="AY6" i="3"/>
  <c r="E3" i="6"/>
  <c r="F31" i="6"/>
  <c r="D22" i="43"/>
  <c r="M14" i="1"/>
  <c r="C34" i="69"/>
  <c r="L109" i="43"/>
  <c r="L106" i="43"/>
  <c r="L107" i="43"/>
  <c r="L103" i="43"/>
  <c r="L102" i="43"/>
  <c r="L105" i="43"/>
  <c r="L104" i="43"/>
  <c r="N102" i="43"/>
  <c r="N103" i="43"/>
  <c r="N106" i="43"/>
  <c r="N107" i="43"/>
  <c r="N105" i="43"/>
  <c r="N104" i="43"/>
  <c r="N109" i="43"/>
  <c r="K103" i="43"/>
  <c r="K107" i="43"/>
  <c r="K104" i="43"/>
  <c r="K106" i="43"/>
  <c r="K102" i="43"/>
  <c r="K105" i="43"/>
  <c r="K109" i="43"/>
  <c r="E102" i="43"/>
  <c r="E106" i="43"/>
  <c r="E103" i="43"/>
  <c r="E104" i="43"/>
  <c r="E107" i="43"/>
  <c r="E105" i="43"/>
  <c r="E109" i="43"/>
  <c r="M102" i="43"/>
  <c r="M106" i="43"/>
  <c r="M103" i="43"/>
  <c r="M109" i="43"/>
  <c r="M104" i="43"/>
  <c r="M105" i="43"/>
  <c r="M107" i="43"/>
  <c r="J105" i="43"/>
  <c r="J103" i="43"/>
  <c r="J106" i="43"/>
  <c r="J104" i="43"/>
  <c r="J107" i="43"/>
  <c r="J102" i="43"/>
  <c r="J109" i="43"/>
  <c r="G102" i="43"/>
  <c r="G103" i="43"/>
  <c r="G109" i="43"/>
  <c r="G105" i="43"/>
  <c r="G107" i="43"/>
  <c r="G104" i="43"/>
  <c r="G106" i="43"/>
  <c r="H102" i="43"/>
  <c r="H103" i="43"/>
  <c r="H104" i="43"/>
  <c r="H109" i="43"/>
  <c r="H106" i="43"/>
  <c r="H107" i="43"/>
  <c r="H105" i="43"/>
  <c r="F104" i="43"/>
  <c r="F107" i="43"/>
  <c r="F106" i="43"/>
  <c r="F103" i="43"/>
  <c r="F102" i="43"/>
  <c r="F105" i="43"/>
  <c r="F109" i="43"/>
  <c r="I104" i="43"/>
  <c r="I109" i="43"/>
  <c r="I102" i="43"/>
  <c r="I107" i="43"/>
  <c r="I105"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F10" i="40"/>
  <c r="S10" i="40" s="1"/>
  <c r="C49" i="67"/>
  <c r="H10" i="40"/>
  <c r="U10" i="40" s="1"/>
  <c r="J10" i="39"/>
  <c r="J10" i="40"/>
  <c r="H10" i="39"/>
  <c r="C49" i="15"/>
  <c r="S10" i="39"/>
  <c r="AA10" i="39"/>
  <c r="E48" i="35"/>
  <c r="G59" i="34"/>
  <c r="F7" i="21"/>
  <c r="U7" i="21"/>
  <c r="E46" i="36"/>
  <c r="F46" i="36" s="1"/>
  <c r="G46" i="36" s="1"/>
  <c r="H46" i="36" s="1"/>
  <c r="I46" i="36" s="1"/>
  <c r="J46" i="36" s="1"/>
  <c r="K46" i="36" s="1"/>
  <c r="L46" i="36" s="1"/>
  <c r="M46" i="36" s="1"/>
  <c r="N46" i="36" s="1"/>
  <c r="O46" i="36" s="1"/>
  <c r="E52" i="37"/>
  <c r="W7" i="21"/>
  <c r="C39" i="43"/>
  <c r="C38" i="43"/>
  <c r="C36" i="43"/>
  <c r="C35" i="43"/>
  <c r="C37" i="43"/>
  <c r="C33" i="43"/>
  <c r="C34" i="43"/>
  <c r="T14" i="43"/>
  <c r="V14" i="43" s="1"/>
  <c r="T8" i="43"/>
  <c r="V8" i="43" s="1"/>
  <c r="T13" i="43"/>
  <c r="V13" i="43" s="1"/>
  <c r="T16" i="43"/>
  <c r="V16" i="43" s="1"/>
  <c r="T15" i="43"/>
  <c r="V15" i="43" s="1"/>
  <c r="T9" i="43"/>
  <c r="V9" i="43" s="1"/>
  <c r="T12" i="43"/>
  <c r="V12" i="43" s="1"/>
  <c r="T10" i="43"/>
  <c r="V10" i="43" s="1"/>
  <c r="T11" i="43"/>
  <c r="V11" i="43" s="1"/>
  <c r="B40" i="1"/>
  <c r="F24" i="81" s="1"/>
  <c r="C15" i="67"/>
  <c r="C18" i="67"/>
  <c r="J18" i="67"/>
  <c r="Q61" i="67"/>
  <c r="Q74" i="67"/>
  <c r="Q60" i="67"/>
  <c r="Q73" i="67"/>
  <c r="F11" i="67"/>
  <c r="M11" i="67"/>
  <c r="J10" i="67" s="1"/>
  <c r="J5" i="67" s="1"/>
  <c r="M11" i="15"/>
  <c r="J10" i="15" s="1"/>
  <c r="J5" i="15" s="1"/>
  <c r="F11" i="15"/>
  <c r="Q74" i="15"/>
  <c r="Q61" i="15"/>
  <c r="C32" i="67"/>
  <c r="F1" i="67"/>
  <c r="Q52" i="67"/>
  <c r="F1" i="15"/>
  <c r="Q52" i="15"/>
  <c r="Q60" i="15"/>
  <c r="Q73" i="15"/>
  <c r="J18" i="15"/>
  <c r="C32" i="15"/>
  <c r="M6" i="81"/>
  <c r="AE6" i="1"/>
  <c r="C16" i="81"/>
  <c r="P28" i="43" l="1"/>
  <c r="N28" i="43"/>
  <c r="O28" i="43"/>
  <c r="C49" i="81"/>
  <c r="C53" i="81" s="1"/>
  <c r="C48" i="81" s="1"/>
  <c r="Q73" i="81"/>
  <c r="E31" i="6"/>
  <c r="K22" i="6"/>
  <c r="M22" i="6" s="1"/>
  <c r="I22" i="6" s="1"/>
  <c r="S22" i="6" s="1"/>
  <c r="K24" i="6"/>
  <c r="M24" i="6" s="1"/>
  <c r="I24" i="6" s="1"/>
  <c r="S24" i="6" s="1"/>
  <c r="K25" i="6"/>
  <c r="M25" i="6" s="1"/>
  <c r="I25" i="6" s="1"/>
  <c r="K26" i="6"/>
  <c r="M26" i="6" s="1"/>
  <c r="I26" i="6" s="1"/>
  <c r="K20" i="6"/>
  <c r="K23" i="6"/>
  <c r="M23" i="6" s="1"/>
  <c r="I23" i="6" s="1"/>
  <c r="K19" i="6"/>
  <c r="S6" i="1" s="1"/>
  <c r="K21" i="6"/>
  <c r="M21" i="6" s="1"/>
  <c r="I21" i="6" s="1"/>
  <c r="S21" i="6" s="1"/>
  <c r="C9" i="71"/>
  <c r="D10" i="71"/>
  <c r="E291" i="3"/>
  <c r="E558" i="3"/>
  <c r="Q53" i="71"/>
  <c r="Q52" i="71"/>
  <c r="T39" i="71"/>
  <c r="D39" i="71"/>
  <c r="N52" i="71"/>
  <c r="N53" i="71"/>
  <c r="D51" i="71"/>
  <c r="T51" i="71"/>
  <c r="E217" i="3"/>
  <c r="E526" i="3"/>
  <c r="E268" i="3"/>
  <c r="E322" i="3"/>
  <c r="AJ6" i="3"/>
  <c r="E175" i="3"/>
  <c r="E530" i="3"/>
  <c r="E343" i="3"/>
  <c r="E305" i="3"/>
  <c r="E508" i="3"/>
  <c r="O6" i="3"/>
  <c r="E574" i="3"/>
  <c r="E359" i="3"/>
  <c r="E285" i="3"/>
  <c r="E97" i="3"/>
  <c r="E270" i="3"/>
  <c r="E533" i="3"/>
  <c r="AR6" i="3"/>
  <c r="E561" i="3"/>
  <c r="E538" i="3"/>
  <c r="E439" i="3"/>
  <c r="E380" i="3"/>
  <c r="E231" i="3"/>
  <c r="E216"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319" i="3"/>
  <c r="E153" i="3"/>
  <c r="E328" i="3"/>
  <c r="E509" i="3"/>
  <c r="E569" i="3"/>
  <c r="E337" i="3"/>
  <c r="E201" i="3"/>
  <c r="E311" i="3"/>
  <c r="S6" i="3"/>
  <c r="E551" i="3"/>
  <c r="AB6" i="3"/>
  <c r="E338" i="3"/>
  <c r="E189" i="3"/>
  <c r="E236" i="3"/>
  <c r="E228" i="3"/>
  <c r="E161" i="3"/>
  <c r="E89" i="3"/>
  <c r="E77" i="3"/>
  <c r="E277" i="3"/>
  <c r="E204" i="3"/>
  <c r="E327" i="3"/>
  <c r="Z6" i="3"/>
  <c r="E560" i="3"/>
  <c r="E485" i="3"/>
  <c r="E400" i="3"/>
  <c r="E587" i="3"/>
  <c r="E577" i="3"/>
  <c r="E468" i="3"/>
  <c r="E454" i="3"/>
  <c r="E95" i="3"/>
  <c r="E132" i="3"/>
  <c r="E258" i="3"/>
  <c r="E292" i="3"/>
  <c r="E572" i="3"/>
  <c r="E109" i="3"/>
  <c r="E412" i="3"/>
  <c r="E129" i="3"/>
  <c r="E220" i="3"/>
  <c r="E324" i="3"/>
  <c r="E522" i="3"/>
  <c r="E49" i="3"/>
  <c r="E370" i="3"/>
  <c r="E113" i="3"/>
  <c r="E308" i="3"/>
  <c r="E83" i="3"/>
  <c r="E366" i="3"/>
  <c r="E282" i="3"/>
  <c r="E516" i="3"/>
  <c r="E410" i="3"/>
  <c r="E247" i="3"/>
  <c r="E151" i="3"/>
  <c r="E390" i="3"/>
  <c r="E559" i="3"/>
  <c r="M6" i="3"/>
  <c r="E418" i="3"/>
  <c r="E320" i="3"/>
  <c r="E215" i="3"/>
  <c r="E169" i="3"/>
  <c r="E156" i="3"/>
  <c r="E188" i="3"/>
  <c r="E290" i="3"/>
  <c r="E122" i="3"/>
  <c r="E149" i="3"/>
  <c r="E45" i="3"/>
  <c r="E271" i="3"/>
  <c r="E167" i="3"/>
  <c r="E193" i="3"/>
  <c r="E107" i="3"/>
  <c r="E312" i="3"/>
  <c r="E519" i="3"/>
  <c r="E585" i="3"/>
  <c r="E542" i="3"/>
  <c r="E573" i="3"/>
  <c r="E515" i="3"/>
  <c r="E421" i="3"/>
  <c r="E458" i="3"/>
  <c r="E478" i="3"/>
  <c r="E487" i="3"/>
  <c r="E527" i="3"/>
  <c r="E414" i="3"/>
  <c r="E416" i="3"/>
  <c r="E457" i="3"/>
  <c r="E477" i="3"/>
  <c r="E374" i="3"/>
  <c r="E562" i="3"/>
  <c r="E505" i="3"/>
  <c r="E500" i="3"/>
  <c r="E571" i="3"/>
  <c r="AS6" i="3"/>
  <c r="E413" i="3"/>
  <c r="E450" i="3"/>
  <c r="E476" i="3"/>
  <c r="E520" i="3"/>
  <c r="E433" i="3"/>
  <c r="E447" i="3"/>
  <c r="E39" i="3"/>
  <c r="E72" i="3"/>
  <c r="E27" i="3"/>
  <c r="E57" i="3"/>
  <c r="E111" i="3"/>
  <c r="E162" i="3"/>
  <c r="E187" i="3"/>
  <c r="E150" i="3"/>
  <c r="E186" i="3"/>
  <c r="E240" i="3"/>
  <c r="E279" i="3"/>
  <c r="E210" i="3"/>
  <c r="E259" i="3"/>
  <c r="E351" i="3"/>
  <c r="E331" i="3"/>
  <c r="E378" i="3"/>
  <c r="E318" i="3"/>
  <c r="E384" i="3"/>
  <c r="E504" i="3"/>
  <c r="E31" i="3"/>
  <c r="E44" i="3"/>
  <c r="E110" i="3"/>
  <c r="E75" i="3"/>
  <c r="E441"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501" i="3"/>
  <c r="E426" i="3"/>
  <c r="E239" i="3"/>
  <c r="E555" i="3"/>
  <c r="E431" i="3"/>
  <c r="E229" i="3"/>
  <c r="E358" i="3"/>
  <c r="E570" i="3"/>
  <c r="E506" i="3"/>
  <c r="E407" i="3"/>
  <c r="E335" i="3"/>
  <c r="E298" i="3"/>
  <c r="E136" i="3"/>
  <c r="E99" i="3"/>
  <c r="E135" i="3"/>
  <c r="E269" i="3"/>
  <c r="E157" i="3"/>
  <c r="E120" i="3"/>
  <c r="E252" i="3"/>
  <c r="E253" i="3"/>
  <c r="E177" i="3"/>
  <c r="E164" i="3"/>
  <c r="E330" i="3"/>
  <c r="E576" i="3"/>
  <c r="E499" i="3"/>
  <c r="Q6" i="3"/>
  <c r="AG6" i="3"/>
  <c r="E502" i="3"/>
  <c r="E437" i="3"/>
  <c r="E448" i="3"/>
  <c r="E466" i="3"/>
  <c r="E481" i="3"/>
  <c r="P6" i="3"/>
  <c r="E430" i="3"/>
  <c r="E424" i="3"/>
  <c r="E443" i="3"/>
  <c r="E255" i="3"/>
  <c r="E344" i="3"/>
  <c r="AP6" i="3"/>
  <c r="AE6" i="3"/>
  <c r="E581" i="3"/>
  <c r="E517" i="3"/>
  <c r="E429" i="3"/>
  <c r="E444" i="3"/>
  <c r="E491" i="3"/>
  <c r="E496" i="3"/>
  <c r="E404" i="3"/>
  <c r="E479" i="3"/>
  <c r="E55" i="3"/>
  <c r="E88" i="3"/>
  <c r="E37" i="3"/>
  <c r="E73" i="3"/>
  <c r="E121" i="3"/>
  <c r="E152" i="3"/>
  <c r="E203" i="3"/>
  <c r="E166" i="3"/>
  <c r="E192" i="3"/>
  <c r="E256" i="3"/>
  <c r="E295" i="3"/>
  <c r="E241" i="3"/>
  <c r="E274" i="3"/>
  <c r="E316" i="3"/>
  <c r="E363" i="3"/>
  <c r="E394" i="3"/>
  <c r="E334" i="3"/>
  <c r="E389" i="3"/>
  <c r="E580" i="3"/>
  <c r="E30" i="3"/>
  <c r="E76" i="3"/>
  <c r="E32" i="3"/>
  <c r="E480" i="3"/>
  <c r="E462"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88" i="3"/>
  <c r="E579" i="3"/>
  <c r="E396" i="3"/>
  <c r="E143" i="3"/>
  <c r="E514" i="3"/>
  <c r="E523" i="3"/>
  <c r="V6" i="3"/>
  <c r="E387" i="3"/>
  <c r="E321" i="3"/>
  <c r="E230" i="3"/>
  <c r="E191" i="3"/>
  <c r="E61" i="3"/>
  <c r="E148" i="3"/>
  <c r="E181" i="3"/>
  <c r="E117" i="3"/>
  <c r="E207" i="3"/>
  <c r="E212" i="3"/>
  <c r="E224" i="3"/>
  <c r="E145" i="3"/>
  <c r="E141" i="3"/>
  <c r="E313" i="3"/>
  <c r="E379" i="3"/>
  <c r="AD6" i="3"/>
  <c r="E532" i="3"/>
  <c r="U6" i="3"/>
  <c r="E552" i="3"/>
  <c r="E529" i="3"/>
  <c r="E411" i="3"/>
  <c r="E474" i="3"/>
  <c r="E548" i="3"/>
  <c r="E398" i="3"/>
  <c r="E432" i="3"/>
  <c r="E288" i="3"/>
  <c r="E566" i="3"/>
  <c r="E547" i="3"/>
  <c r="E403" i="3"/>
  <c r="E471" i="3"/>
  <c r="E436" i="3"/>
  <c r="E71" i="3"/>
  <c r="E54" i="3"/>
  <c r="E131" i="3"/>
  <c r="E126" i="3"/>
  <c r="E208" i="3"/>
  <c r="E297" i="3"/>
  <c r="E357" i="3"/>
  <c r="E375" i="3"/>
  <c r="AM6" i="3"/>
  <c r="E58" i="3"/>
  <c r="E29" i="3"/>
  <c r="E473" i="3"/>
  <c r="E467" i="3"/>
  <c r="E46" i="3"/>
  <c r="E160" i="3"/>
  <c r="E200" i="3"/>
  <c r="E300" i="3"/>
  <c r="E310" i="3"/>
  <c r="E23" i="3"/>
  <c r="E67" i="3"/>
  <c r="E144" i="3"/>
  <c r="E233" i="3"/>
  <c r="E381" i="3"/>
  <c r="E63" i="3"/>
  <c r="E118" i="3"/>
  <c r="E283" i="3"/>
  <c r="E513" i="3"/>
  <c r="E185" i="3"/>
  <c r="E199" i="3"/>
  <c r="E575" i="3"/>
  <c r="E442" i="3"/>
  <c r="E541" i="3"/>
  <c r="E449" i="3"/>
  <c r="I3" i="6"/>
  <c r="E557" i="3"/>
  <c r="E531" i="3"/>
  <c r="E489" i="3"/>
  <c r="E28" i="3"/>
  <c r="E70" i="3"/>
  <c r="E146" i="3"/>
  <c r="E171" i="3"/>
  <c r="E273" i="3"/>
  <c r="E377" i="3"/>
  <c r="E362" i="3"/>
  <c r="E74" i="3"/>
  <c r="E409" i="3"/>
  <c r="E18" i="3"/>
  <c r="E78" i="3"/>
  <c r="E174" i="3"/>
  <c r="E235" i="3"/>
  <c r="E342" i="3"/>
  <c r="E86" i="3"/>
  <c r="E206" i="3"/>
  <c r="E251" i="3"/>
  <c r="E102" i="3"/>
  <c r="E158" i="3"/>
  <c r="E326" i="3"/>
  <c r="E125" i="3"/>
  <c r="E553" i="3"/>
  <c r="N6" i="3"/>
  <c r="E464" i="3"/>
  <c r="E438" i="3"/>
  <c r="E459" i="3"/>
  <c r="E367" i="3"/>
  <c r="W6" i="3"/>
  <c r="E582" i="3"/>
  <c r="E537" i="3"/>
  <c r="E460" i="3"/>
  <c r="E546" i="3"/>
  <c r="E475" i="3"/>
  <c r="E90" i="3"/>
  <c r="E92" i="3"/>
  <c r="E168" i="3"/>
  <c r="E155" i="3"/>
  <c r="E272" i="3"/>
  <c r="E257" i="3"/>
  <c r="E348" i="3"/>
  <c r="E317" i="3"/>
  <c r="E14" i="3"/>
  <c r="E93" i="3"/>
  <c r="E540" i="3"/>
  <c r="E425" i="3"/>
  <c r="E64" i="3"/>
  <c r="E103" i="3"/>
  <c r="E142" i="3"/>
  <c r="E267" i="3"/>
  <c r="E249" i="3"/>
  <c r="E371" i="3"/>
  <c r="E492" i="3"/>
  <c r="E84" i="3"/>
  <c r="E33" i="3"/>
  <c r="E184" i="3"/>
  <c r="E355" i="3"/>
  <c r="E68" i="3"/>
  <c r="E81" i="3"/>
  <c r="E264" i="3"/>
  <c r="E309" i="3"/>
  <c r="E21" i="3"/>
  <c r="E294" i="3"/>
  <c r="E133" i="3"/>
  <c r="K6" i="3"/>
  <c r="R6" i="3"/>
  <c r="AO6" i="3"/>
  <c r="E472" i="3"/>
  <c r="E406" i="3"/>
  <c r="E465" i="3"/>
  <c r="E345" i="3"/>
  <c r="E554" i="3"/>
  <c r="E435" i="3"/>
  <c r="E417" i="3"/>
  <c r="E56" i="3"/>
  <c r="E106" i="3"/>
  <c r="E182" i="3"/>
  <c r="E211" i="3"/>
  <c r="E214" i="3"/>
  <c r="E315" i="3"/>
  <c r="E349" i="3"/>
  <c r="E544" i="3"/>
  <c r="E59" i="3"/>
  <c r="E484" i="3"/>
  <c r="E96" i="3"/>
  <c r="E190" i="3"/>
  <c r="E275" i="3"/>
  <c r="E383" i="3"/>
  <c r="E35" i="3"/>
  <c r="E34" i="3"/>
  <c r="E232" i="3"/>
  <c r="AF6" i="3"/>
  <c r="E80" i="3"/>
  <c r="E287" i="3"/>
  <c r="E22" i="3"/>
  <c r="E114" i="3"/>
  <c r="E415" i="3"/>
  <c r="E395" i="3"/>
  <c r="E260" i="3"/>
  <c r="E550" i="3"/>
  <c r="E329" i="3"/>
  <c r="E545" i="3"/>
  <c r="E510" i="3"/>
  <c r="E352" i="3"/>
  <c r="E205" i="3"/>
  <c r="E128" i="3"/>
  <c r="E385" i="3"/>
  <c r="E518" i="3"/>
  <c r="AI6" i="3"/>
  <c r="E578" i="3"/>
  <c r="E423" i="3"/>
  <c r="E382" i="3"/>
  <c r="E263" i="3"/>
  <c r="E245" i="3"/>
  <c r="E261" i="3"/>
  <c r="E528" i="3"/>
  <c r="E183" i="3"/>
  <c r="E361" i="3"/>
  <c r="E503" i="3"/>
  <c r="E347" i="3"/>
  <c r="AA6" i="3"/>
  <c r="E399" i="3"/>
  <c r="E280" i="3"/>
  <c r="E124" i="3"/>
  <c r="E397" i="3"/>
  <c r="E568" i="3"/>
  <c r="I6" i="3"/>
  <c r="H6" i="3" s="1"/>
  <c r="E536" i="3"/>
  <c r="E549" i="3"/>
  <c r="E453" i="3"/>
  <c r="E368" i="3"/>
  <c r="E244" i="3"/>
  <c r="E196" i="3"/>
  <c r="E69" i="3"/>
  <c r="E563" i="3"/>
  <c r="E445" i="3"/>
  <c r="E539" i="3"/>
  <c r="E461" i="3"/>
  <c r="E165" i="3"/>
  <c r="E495" i="3"/>
  <c r="E586" i="3"/>
  <c r="E350" i="3"/>
  <c r="E301" i="3"/>
  <c r="E278" i="3"/>
  <c r="E172" i="3"/>
  <c r="E535" i="3"/>
  <c r="E567" i="3"/>
  <c r="E227" i="3"/>
  <c r="E353" i="3"/>
  <c r="AN6" i="3"/>
  <c r="AC6" i="3" s="1"/>
  <c r="E402" i="3"/>
  <c r="E303" i="3"/>
  <c r="E159" i="3"/>
  <c r="E237" i="3"/>
  <c r="E304" i="3"/>
  <c r="E565" i="3"/>
  <c r="E213" i="3"/>
  <c r="E17" i="3"/>
  <c r="E302" i="3"/>
  <c r="E583" i="3"/>
  <c r="X6" i="3"/>
  <c r="E336" i="3"/>
  <c r="E246" i="3"/>
  <c r="E293" i="3"/>
  <c r="E314" i="3"/>
  <c r="E511" i="3"/>
  <c r="E16" i="3"/>
  <c r="AK6" i="3"/>
  <c r="E434" i="3"/>
  <c r="E306" i="3"/>
  <c r="E296" i="3"/>
  <c r="E262" i="3"/>
  <c r="O52" i="71"/>
  <c r="O53" i="71"/>
  <c r="D53" i="71"/>
  <c r="C32" i="81"/>
  <c r="C33" i="81"/>
  <c r="F7" i="36"/>
  <c r="J7" i="36"/>
  <c r="S7" i="33"/>
  <c r="AA7" i="33"/>
  <c r="R48" i="33" s="1"/>
  <c r="E48" i="33" s="1"/>
  <c r="E52" i="33" s="1"/>
  <c r="F52" i="33" s="1"/>
  <c r="E70" i="39"/>
  <c r="F68" i="39"/>
  <c r="G63" i="40"/>
  <c r="F65" i="40"/>
  <c r="Q66" i="81"/>
  <c r="Q57" i="81"/>
  <c r="I7" i="33"/>
  <c r="J7" i="33" s="1"/>
  <c r="H7" i="33"/>
  <c r="Q74" i="81"/>
  <c r="Q61" i="81"/>
  <c r="F1" i="81"/>
  <c r="Q52" i="81"/>
  <c r="J6" i="81"/>
  <c r="J18" i="81" s="1"/>
  <c r="C24" i="81"/>
  <c r="C10" i="81"/>
  <c r="C5" i="81" s="1"/>
  <c r="M20" i="6"/>
  <c r="I20" i="6" s="1"/>
  <c r="S20" i="6" s="1"/>
  <c r="S7" i="1"/>
  <c r="AQ6" i="1"/>
  <c r="S16" i="1"/>
  <c r="T6" i="1"/>
  <c r="AR6" i="1"/>
  <c r="C17" i="4"/>
  <c r="B4" i="52" s="1"/>
  <c r="B43" i="72" s="1"/>
  <c r="D19" i="11"/>
  <c r="C19" i="11" s="1"/>
  <c r="C20" i="11" s="1"/>
  <c r="C28" i="11" s="1"/>
  <c r="C27" i="11" s="1"/>
  <c r="D3" i="21"/>
  <c r="D3" i="37"/>
  <c r="D3" i="33"/>
  <c r="D37" i="11"/>
  <c r="C37" i="11" s="1"/>
  <c r="M18" i="9"/>
  <c r="B118" i="9" s="1"/>
  <c r="B14" i="74" s="1"/>
  <c r="B1" i="74" s="1"/>
  <c r="C7" i="74" s="1"/>
  <c r="L18" i="9"/>
  <c r="D3" i="34"/>
  <c r="E6" i="6"/>
  <c r="D14" i="12"/>
  <c r="AY103" i="3"/>
  <c r="AY82" i="3"/>
  <c r="AY191" i="3"/>
  <c r="AY132" i="3"/>
  <c r="AY31" i="3"/>
  <c r="AY292" i="3"/>
  <c r="AY147" i="3"/>
  <c r="AY220" i="3"/>
  <c r="AY350" i="3"/>
  <c r="AY473" i="3"/>
  <c r="AY460" i="3"/>
  <c r="AY441" i="3"/>
  <c r="AY529" i="3"/>
  <c r="AY26"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AY98" i="3"/>
  <c r="AY18" i="3"/>
  <c r="AY171" i="3"/>
  <c r="AY90" i="3"/>
  <c r="AY163" i="3"/>
  <c r="AY75" i="3"/>
  <c r="AY237" i="3"/>
  <c r="AY387" i="3"/>
  <c r="AY334" i="3"/>
  <c r="AY470" i="3"/>
  <c r="AY428" i="3"/>
  <c r="AY409" i="3"/>
  <c r="AY10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70" i="3"/>
  <c r="AY138" i="3"/>
  <c r="AY185" i="3"/>
  <c r="AY154" i="3"/>
  <c r="AY165" i="3"/>
  <c r="AY133" i="3"/>
  <c r="AY125" i="3"/>
  <c r="AY283" i="3"/>
  <c r="AY278" i="3"/>
  <c r="AY247" i="3"/>
  <c r="AY262" i="3"/>
  <c r="AY230" i="3"/>
  <c r="AY219" i="3"/>
  <c r="AY397" i="3"/>
  <c r="AY374" i="3"/>
  <c r="AY360" i="3"/>
  <c r="BH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8" i="3"/>
  <c r="AY294" i="3"/>
  <c r="AY231" i="3"/>
  <c r="AY214" i="3"/>
  <c r="AY381" i="3"/>
  <c r="AY554"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9" i="3"/>
  <c r="AY299" i="3"/>
  <c r="AY263" i="3"/>
  <c r="AY246" i="3"/>
  <c r="AY392" i="3"/>
  <c r="AY357"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3" i="3"/>
  <c r="AY497" i="3"/>
  <c r="AY412" i="3"/>
  <c r="AY455" i="3"/>
  <c r="AY489" i="3"/>
  <c r="AY363" i="3"/>
  <c r="AY252" i="3"/>
  <c r="AY204" i="3"/>
  <c r="AY123" i="3"/>
  <c r="AY74" i="3"/>
  <c r="AY139" i="3"/>
  <c r="AY196" i="3"/>
  <c r="AY67" i="3"/>
  <c r="AY83" i="3"/>
  <c r="AY66" i="3"/>
  <c r="AY23" i="3"/>
  <c r="AY176" i="3"/>
  <c r="AY155" i="3"/>
  <c r="AY115" i="3"/>
  <c r="AY59" i="3"/>
  <c r="AY188" i="3"/>
  <c r="AY131" i="3"/>
  <c r="AY276" i="3"/>
  <c r="AY58" i="3"/>
  <c r="AY297" i="3"/>
  <c r="AY268" i="3"/>
  <c r="AY225" i="3"/>
  <c r="AY371" i="3"/>
  <c r="AY335" i="3"/>
  <c r="AY318" i="3"/>
  <c r="AY199" i="3"/>
  <c r="AY526" i="3"/>
  <c r="AY425" i="3"/>
  <c r="AY444" i="3"/>
  <c r="AY486" i="3"/>
  <c r="AY319" i="3"/>
  <c r="AY209" i="3"/>
  <c r="AY284" i="3"/>
  <c r="AY261" i="3"/>
  <c r="AY183" i="3"/>
  <c r="AY289" i="3"/>
  <c r="AY160" i="3"/>
  <c r="AY50" i="3"/>
  <c r="AY87" i="3"/>
  <c r="AY51" i="3"/>
  <c r="AY34" i="3"/>
  <c r="AY207" i="3"/>
  <c r="AY144" i="3"/>
  <c r="AY124" i="3"/>
  <c r="AY95" i="3"/>
  <c r="AY42" i="3"/>
  <c r="AY152" i="3"/>
  <c r="AY281" i="3"/>
  <c r="AY111" i="3"/>
  <c r="AY168" i="3"/>
  <c r="AY253" i="3"/>
  <c r="AY236" i="3"/>
  <c r="AY382" i="3"/>
  <c r="AY366" i="3"/>
  <c r="AY303" i="3"/>
  <c r="H25" i="6"/>
  <c r="S25" i="6"/>
  <c r="H26" i="6"/>
  <c r="S26" i="6"/>
  <c r="M19" i="6"/>
  <c r="K27" i="6"/>
  <c r="H23" i="6"/>
  <c r="S23" i="6"/>
  <c r="AA10" i="40"/>
  <c r="AB10" i="40"/>
  <c r="C38" i="69"/>
  <c r="C35" i="69"/>
  <c r="O14" i="1"/>
  <c r="O16" i="1" s="1"/>
  <c r="M16" i="1"/>
  <c r="C115" i="43"/>
  <c r="D113" i="43" s="1"/>
  <c r="S4" i="43"/>
  <c r="T4" i="43" s="1"/>
  <c r="V4" i="43" s="1"/>
  <c r="S2" i="43"/>
  <c r="T2" i="43" s="1"/>
  <c r="V2" i="43" s="1"/>
  <c r="S6" i="43"/>
  <c r="T6" i="43" s="1"/>
  <c r="V6" i="43" s="1"/>
  <c r="C23" i="43"/>
  <c r="C21" i="43" s="1"/>
  <c r="C29" i="43" s="1"/>
  <c r="E29" i="43" s="1"/>
  <c r="S7" i="43"/>
  <c r="T7" i="43" s="1"/>
  <c r="V7" i="43" s="1"/>
  <c r="S5" i="43"/>
  <c r="T5" i="43" s="1"/>
  <c r="V5" i="43" s="1"/>
  <c r="S3" i="43"/>
  <c r="T3" i="43" s="1"/>
  <c r="V3" i="43" s="1"/>
  <c r="W10" i="40"/>
  <c r="AC10" i="40"/>
  <c r="U10" i="39"/>
  <c r="AB10" i="39"/>
  <c r="W10" i="39"/>
  <c r="AC10" i="39"/>
  <c r="S7" i="36"/>
  <c r="AA7" i="36"/>
  <c r="R36" i="36" s="1"/>
  <c r="I52" i="21"/>
  <c r="J52" i="21" s="1"/>
  <c r="F52" i="37"/>
  <c r="G52" i="37" s="1"/>
  <c r="H52" i="37" s="1"/>
  <c r="I52" i="37" s="1"/>
  <c r="J52" i="37" s="1"/>
  <c r="K52" i="37" s="1"/>
  <c r="L52" i="37" s="1"/>
  <c r="M52" i="37" s="1"/>
  <c r="N52" i="37" s="1"/>
  <c r="O52" i="37" s="1"/>
  <c r="AC7" i="36"/>
  <c r="V36" i="36" s="1"/>
  <c r="I36" i="36" s="1"/>
  <c r="W7" i="36"/>
  <c r="G52" i="21"/>
  <c r="H52" i="21" s="1"/>
  <c r="G53" i="21"/>
  <c r="H53" i="21" s="1"/>
  <c r="AA7" i="21"/>
  <c r="R48" i="21" s="1"/>
  <c r="S7" i="21"/>
  <c r="H59" i="34"/>
  <c r="I59" i="34" s="1"/>
  <c r="J59" i="34" s="1"/>
  <c r="K59" i="34" s="1"/>
  <c r="L59" i="34" s="1"/>
  <c r="M59" i="34" s="1"/>
  <c r="N59" i="34" s="1"/>
  <c r="O59" i="34" s="1"/>
  <c r="F48" i="35"/>
  <c r="G48" i="35" s="1"/>
  <c r="H48" i="35" s="1"/>
  <c r="I48" i="35" s="1"/>
  <c r="J48" i="35" s="1"/>
  <c r="K48" i="35" s="1"/>
  <c r="L48" i="35" s="1"/>
  <c r="M48" i="35" s="1"/>
  <c r="N48" i="35" s="1"/>
  <c r="O48" i="35" s="1"/>
  <c r="H7" i="36"/>
  <c r="E33" i="43"/>
  <c r="G33" i="43"/>
  <c r="I33" i="43" s="1"/>
  <c r="E35" i="43"/>
  <c r="G35" i="43"/>
  <c r="I35" i="43" s="1"/>
  <c r="G38" i="43"/>
  <c r="I38" i="43" s="1"/>
  <c r="E38" i="43"/>
  <c r="E34" i="43"/>
  <c r="G34" i="43"/>
  <c r="I34" i="43" s="1"/>
  <c r="E37" i="43"/>
  <c r="G37" i="43"/>
  <c r="I37" i="43" s="1"/>
  <c r="E36" i="43"/>
  <c r="G36" i="43"/>
  <c r="I36" i="43" s="1"/>
  <c r="E39" i="43"/>
  <c r="G39" i="43"/>
  <c r="I39" i="43" s="1"/>
  <c r="C19" i="67"/>
  <c r="C20" i="67" s="1"/>
  <c r="C26" i="67" s="1"/>
  <c r="J26" i="67"/>
  <c r="J29" i="67" s="1"/>
  <c r="J24" i="67"/>
  <c r="J26" i="15"/>
  <c r="J24" i="15"/>
  <c r="C53" i="67"/>
  <c r="C48" i="67" s="1"/>
  <c r="C10" i="67"/>
  <c r="C5" i="67" s="1"/>
  <c r="C53" i="15"/>
  <c r="C48" i="15" s="1"/>
  <c r="C10" i="15"/>
  <c r="C5" i="15" s="1"/>
  <c r="F22" i="68"/>
  <c r="F24" i="67"/>
  <c r="C24" i="67" s="1"/>
  <c r="F25" i="12"/>
  <c r="F24" i="15"/>
  <c r="C24" i="15" s="1"/>
  <c r="F22" i="69"/>
  <c r="F22" i="11"/>
  <c r="F41" i="81"/>
  <c r="F41" i="15"/>
  <c r="C17" i="81"/>
  <c r="C14" i="15"/>
  <c r="C17" i="15"/>
  <c r="AE7" i="1"/>
  <c r="C15" i="15" l="1"/>
  <c r="C18" i="15"/>
  <c r="E6" i="70"/>
  <c r="E2" i="70" s="1"/>
  <c r="E7" i="70"/>
  <c r="C8" i="71"/>
  <c r="D9" i="71"/>
  <c r="P14" i="1"/>
  <c r="P16" i="1" s="1"/>
  <c r="C11" i="12" s="1"/>
  <c r="C12" i="12" s="1"/>
  <c r="E6" i="3"/>
  <c r="F7" i="35"/>
  <c r="H7" i="34"/>
  <c r="AG7" i="1"/>
  <c r="F7" i="34"/>
  <c r="H7" i="37"/>
  <c r="W7" i="33"/>
  <c r="AC7" i="33"/>
  <c r="V48" i="33" s="1"/>
  <c r="I48" i="33" s="1"/>
  <c r="G65" i="40"/>
  <c r="H63" i="40"/>
  <c r="F7" i="37"/>
  <c r="U7" i="33"/>
  <c r="AB7" i="33"/>
  <c r="T48" i="33" s="1"/>
  <c r="G48" i="33" s="1"/>
  <c r="F70" i="39"/>
  <c r="G68" i="39"/>
  <c r="F69" i="81"/>
  <c r="J10" i="81"/>
  <c r="C38" i="81"/>
  <c r="C66" i="81"/>
  <c r="C60" i="81"/>
  <c r="F69" i="15"/>
  <c r="J29" i="15"/>
  <c r="T7" i="1"/>
  <c r="AR7" i="1"/>
  <c r="AQ7" i="1"/>
  <c r="C14" i="12"/>
  <c r="D17" i="12"/>
  <c r="C17" i="12" s="1"/>
  <c r="R25" i="6"/>
  <c r="D25" i="6"/>
  <c r="D22" i="6"/>
  <c r="D24" i="6"/>
  <c r="D9" i="6"/>
  <c r="D13" i="6"/>
  <c r="D28" i="6"/>
  <c r="E61" i="40"/>
  <c r="D15" i="6"/>
  <c r="D21" i="6"/>
  <c r="D20" i="6"/>
  <c r="D12" i="6"/>
  <c r="D11" i="6"/>
  <c r="L19" i="9"/>
  <c r="D29" i="6"/>
  <c r="D10" i="6"/>
  <c r="D14" i="6"/>
  <c r="D8" i="6"/>
  <c r="D26" i="6"/>
  <c r="R26" i="6" s="1"/>
  <c r="M19" i="9"/>
  <c r="C118" i="9" s="1"/>
  <c r="C14" i="74" s="1"/>
  <c r="B2" i="74" s="1"/>
  <c r="D7" i="74" s="1"/>
  <c r="D5" i="6"/>
  <c r="D23" i="6"/>
  <c r="R23" i="6" s="1"/>
  <c r="C18" i="4"/>
  <c r="D19" i="6"/>
  <c r="H24" i="6"/>
  <c r="R24" i="6" s="1"/>
  <c r="H21" i="6"/>
  <c r="R21" i="6" s="1"/>
  <c r="H20" i="6"/>
  <c r="R20" i="6" s="1"/>
  <c r="R7" i="1" s="1"/>
  <c r="D6" i="6"/>
  <c r="H22" i="6"/>
  <c r="R22" i="6" s="1"/>
  <c r="D20" i="12"/>
  <c r="C20" i="12" s="1"/>
  <c r="C18" i="12" s="1"/>
  <c r="D10" i="68"/>
  <c r="D10" i="11"/>
  <c r="C10" i="11" s="1"/>
  <c r="D10" i="69"/>
  <c r="C30" i="43"/>
  <c r="E30" i="43" s="1"/>
  <c r="C27" i="43" s="1"/>
  <c r="M27" i="6"/>
  <c r="I19" i="6"/>
  <c r="L18" i="79" s="1"/>
  <c r="L16" i="1"/>
  <c r="N16" i="1"/>
  <c r="C34" i="11"/>
  <c r="C34" i="68"/>
  <c r="C15" i="12"/>
  <c r="AB7" i="36"/>
  <c r="T36" i="36" s="1"/>
  <c r="G36" i="36" s="1"/>
  <c r="U7" i="36"/>
  <c r="J7" i="35"/>
  <c r="AB7" i="34"/>
  <c r="T49" i="34" s="1"/>
  <c r="G49" i="34" s="1"/>
  <c r="U7" i="34"/>
  <c r="R49" i="21"/>
  <c r="E48" i="21"/>
  <c r="I40" i="36"/>
  <c r="J40" i="36" s="1"/>
  <c r="E36" i="36"/>
  <c r="R37" i="36"/>
  <c r="J7" i="37"/>
  <c r="J7" i="34"/>
  <c r="S7" i="35"/>
  <c r="AA7" i="35"/>
  <c r="R38" i="35" s="1"/>
  <c r="AA7" i="34"/>
  <c r="R49" i="34" s="1"/>
  <c r="S7" i="34"/>
  <c r="AB7" i="37"/>
  <c r="T42" i="37" s="1"/>
  <c r="G42" i="37" s="1"/>
  <c r="U7" i="37"/>
  <c r="AA7" i="37"/>
  <c r="R42" i="37" s="1"/>
  <c r="S7" i="37"/>
  <c r="H7" i="35"/>
  <c r="C26" i="43"/>
  <c r="C23" i="67"/>
  <c r="C29" i="67" s="1"/>
  <c r="C26" i="12"/>
  <c r="D25" i="12" s="1"/>
  <c r="C60" i="15"/>
  <c r="C66" i="15"/>
  <c r="C44" i="11"/>
  <c r="D41" i="11" s="1"/>
  <c r="C25" i="11"/>
  <c r="C24" i="11"/>
  <c r="C23" i="11"/>
  <c r="C26" i="11"/>
  <c r="D22" i="11" s="1"/>
  <c r="C38" i="15"/>
  <c r="C38" i="67"/>
  <c r="C44" i="69"/>
  <c r="D41" i="69" s="1"/>
  <c r="C26" i="69"/>
  <c r="D22" i="69" s="1"/>
  <c r="C23" i="68"/>
  <c r="C44" i="68"/>
  <c r="D41" i="68" s="1"/>
  <c r="C26" i="68"/>
  <c r="D22" i="68" s="1"/>
  <c r="C66" i="67"/>
  <c r="C60" i="67"/>
  <c r="M27" i="81"/>
  <c r="C14" i="81"/>
  <c r="E6" i="76"/>
  <c r="C19" i="15" l="1"/>
  <c r="C20" i="15" s="1"/>
  <c r="C26" i="15" s="1"/>
  <c r="C18" i="81"/>
  <c r="C15" i="81"/>
  <c r="T16" i="1"/>
  <c r="C7" i="71"/>
  <c r="D8" i="71"/>
  <c r="M19" i="79"/>
  <c r="C118" i="79" s="1"/>
  <c r="H68" i="39"/>
  <c r="G70" i="39"/>
  <c r="G52" i="33"/>
  <c r="H52" i="33" s="1"/>
  <c r="G53" i="33"/>
  <c r="H53" i="33" s="1"/>
  <c r="E53" i="33"/>
  <c r="F53" i="33" s="1"/>
  <c r="H65" i="40"/>
  <c r="I63" i="40"/>
  <c r="I52" i="33"/>
  <c r="J52" i="33" s="1"/>
  <c r="I53" i="33"/>
  <c r="J53" i="33" s="1"/>
  <c r="R49" i="33"/>
  <c r="J19" i="81"/>
  <c r="C61" i="81"/>
  <c r="C16" i="12"/>
  <c r="C21" i="12" s="1"/>
  <c r="C22" i="12" s="1"/>
  <c r="C30" i="12" s="1"/>
  <c r="C28" i="12" s="1"/>
  <c r="D27" i="6"/>
  <c r="D16" i="6"/>
  <c r="C10" i="69"/>
  <c r="C8" i="69" s="1"/>
  <c r="C5" i="69" s="1"/>
  <c r="C23" i="69" s="1"/>
  <c r="D19" i="69"/>
  <c r="C10" i="68"/>
  <c r="D19" i="68"/>
  <c r="C4" i="52"/>
  <c r="B45" i="72" s="1"/>
  <c r="A10" i="51"/>
  <c r="B9" i="72" s="1"/>
  <c r="A7" i="51"/>
  <c r="B7" i="72" s="1"/>
  <c r="D30" i="6"/>
  <c r="I27" i="6"/>
  <c r="S19" i="6"/>
  <c r="S27" i="6" s="1"/>
  <c r="H19" i="6"/>
  <c r="L19" i="79" s="1"/>
  <c r="C35" i="68"/>
  <c r="C38" i="68"/>
  <c r="F50" i="69"/>
  <c r="F50" i="11"/>
  <c r="F50" i="68"/>
  <c r="C38" i="11"/>
  <c r="C35" i="11"/>
  <c r="U7" i="35"/>
  <c r="AB7" i="35"/>
  <c r="T38" i="35" s="1"/>
  <c r="G38" i="35" s="1"/>
  <c r="E42" i="37"/>
  <c r="R43" i="37"/>
  <c r="G46" i="37"/>
  <c r="H46" i="37" s="1"/>
  <c r="E49" i="34"/>
  <c r="R50" i="34"/>
  <c r="R39" i="35"/>
  <c r="E38" i="35"/>
  <c r="AC7" i="34"/>
  <c r="V49" i="34" s="1"/>
  <c r="I49" i="34" s="1"/>
  <c r="G54" i="34" s="1"/>
  <c r="H54" i="34" s="1"/>
  <c r="W7" i="34"/>
  <c r="C36" i="36"/>
  <c r="C37" i="36"/>
  <c r="B2" i="36" s="1"/>
  <c r="B3" i="36" s="1"/>
  <c r="C49" i="21"/>
  <c r="B2" i="21" s="1"/>
  <c r="B3" i="21" s="1"/>
  <c r="C48" i="21"/>
  <c r="G53" i="34"/>
  <c r="H53" i="34" s="1"/>
  <c r="AC7" i="37"/>
  <c r="V42" i="37" s="1"/>
  <c r="I42" i="37" s="1"/>
  <c r="W7" i="37"/>
  <c r="E40" i="36"/>
  <c r="F40" i="36" s="1"/>
  <c r="E41" i="36"/>
  <c r="F41" i="36" s="1"/>
  <c r="I41" i="36"/>
  <c r="J41" i="36" s="1"/>
  <c r="E52" i="21"/>
  <c r="F52" i="21" s="1"/>
  <c r="E53" i="21"/>
  <c r="F53" i="21" s="1"/>
  <c r="I53" i="21"/>
  <c r="J53" i="21" s="1"/>
  <c r="W7" i="35"/>
  <c r="AC7" i="35"/>
  <c r="V38" i="35" s="1"/>
  <c r="I38" i="35" s="1"/>
  <c r="G40" i="36"/>
  <c r="H40" i="36" s="1"/>
  <c r="G41" i="36"/>
  <c r="H41" i="36" s="1"/>
  <c r="E2" i="76"/>
  <c r="B2" i="43"/>
  <c r="C22" i="11"/>
  <c r="C31" i="11" s="1"/>
  <c r="J59" i="15"/>
  <c r="J60" i="15" s="1"/>
  <c r="C57" i="67"/>
  <c r="C36" i="67"/>
  <c r="J14" i="67"/>
  <c r="Q49" i="67"/>
  <c r="J19" i="67"/>
  <c r="J17" i="67" s="1"/>
  <c r="C33" i="67"/>
  <c r="C31" i="67" s="1"/>
  <c r="C13" i="67"/>
  <c r="J59" i="67"/>
  <c r="J60" i="67" s="1"/>
  <c r="B6" i="76"/>
  <c r="C19" i="81" l="1"/>
  <c r="C20" i="81" s="1"/>
  <c r="C26" i="81" s="1"/>
  <c r="T7" i="71"/>
  <c r="C6" i="71"/>
  <c r="D7" i="71"/>
  <c r="U7" i="71" s="1"/>
  <c r="C23" i="15"/>
  <c r="C29" i="15" s="1"/>
  <c r="J63" i="40"/>
  <c r="I65" i="40"/>
  <c r="H70" i="39"/>
  <c r="I68" i="39"/>
  <c r="C49" i="33"/>
  <c r="C48" i="33"/>
  <c r="C27" i="12"/>
  <c r="C25" i="12" s="1"/>
  <c r="C32" i="12" s="1"/>
  <c r="B2" i="12" s="1"/>
  <c r="B3" i="12" s="1"/>
  <c r="D37" i="68"/>
  <c r="C37" i="68" s="1"/>
  <c r="C33" i="68" s="1"/>
  <c r="C39" i="68" s="1"/>
  <c r="C19" i="68"/>
  <c r="C19" i="69"/>
  <c r="D37" i="69"/>
  <c r="C37" i="69" s="1"/>
  <c r="C33" i="69" s="1"/>
  <c r="D31" i="6"/>
  <c r="Q48" i="15"/>
  <c r="H27" i="6"/>
  <c r="R19" i="6"/>
  <c r="C33" i="11"/>
  <c r="C39" i="11" s="1"/>
  <c r="C43" i="11" s="1"/>
  <c r="I46" i="37"/>
  <c r="J46" i="37" s="1"/>
  <c r="I47" i="37"/>
  <c r="J47" i="37" s="1"/>
  <c r="I53" i="34"/>
  <c r="J53" i="34" s="1"/>
  <c r="I54" i="34"/>
  <c r="J54" i="34" s="1"/>
  <c r="C39" i="35"/>
  <c r="B2" i="35" s="1"/>
  <c r="B3" i="35" s="1"/>
  <c r="C38" i="35"/>
  <c r="C49" i="34"/>
  <c r="C50" i="34"/>
  <c r="B2" i="34" s="1"/>
  <c r="B3" i="34" s="1"/>
  <c r="G47" i="37"/>
  <c r="H47" i="37" s="1"/>
  <c r="C42" i="37"/>
  <c r="C43" i="37"/>
  <c r="B2" i="37" s="1"/>
  <c r="B3" i="37" s="1"/>
  <c r="G42" i="35"/>
  <c r="H42" i="35" s="1"/>
  <c r="G43" i="35"/>
  <c r="H43" i="35" s="1"/>
  <c r="I42" i="35"/>
  <c r="J42" i="35" s="1"/>
  <c r="I43" i="35"/>
  <c r="J43" i="35" s="1"/>
  <c r="E43" i="35"/>
  <c r="F43" i="35" s="1"/>
  <c r="E42" i="35"/>
  <c r="F42" i="35" s="1"/>
  <c r="E54" i="34"/>
  <c r="F54" i="34" s="1"/>
  <c r="E53" i="34"/>
  <c r="F53" i="34" s="1"/>
  <c r="E47" i="37"/>
  <c r="F47" i="37" s="1"/>
  <c r="E46" i="37"/>
  <c r="F46" i="37" s="1"/>
  <c r="B2" i="76"/>
  <c r="B3" i="76" s="1"/>
  <c r="B3" i="43"/>
  <c r="C37" i="67"/>
  <c r="C30" i="67" s="1"/>
  <c r="C39" i="67" s="1"/>
  <c r="C75" i="67"/>
  <c r="Q70" i="67"/>
  <c r="C56" i="67"/>
  <c r="C65" i="67" s="1"/>
  <c r="J22" i="67"/>
  <c r="J13" i="67"/>
  <c r="J23" i="67" s="1"/>
  <c r="C61" i="67"/>
  <c r="C59" i="67" s="1"/>
  <c r="C64" i="67"/>
  <c r="Q48" i="67"/>
  <c r="L46" i="67"/>
  <c r="C23" i="81" l="1"/>
  <c r="C29" i="81" s="1"/>
  <c r="C57" i="81" s="1"/>
  <c r="C64" i="81" s="1"/>
  <c r="C33" i="15"/>
  <c r="Q49" i="15"/>
  <c r="C13" i="15"/>
  <c r="J14" i="15"/>
  <c r="C57" i="15"/>
  <c r="C36" i="15"/>
  <c r="J19" i="15"/>
  <c r="D6" i="71"/>
  <c r="C5" i="71"/>
  <c r="I70" i="39"/>
  <c r="J68" i="39"/>
  <c r="B2" i="33"/>
  <c r="B3" i="33"/>
  <c r="K63" i="40"/>
  <c r="J65" i="40"/>
  <c r="C42" i="11"/>
  <c r="C41" i="11" s="1"/>
  <c r="C42" i="68"/>
  <c r="R27" i="6"/>
  <c r="R6" i="1"/>
  <c r="C39" i="69"/>
  <c r="C42" i="69"/>
  <c r="C20" i="68"/>
  <c r="C24" i="68"/>
  <c r="I5" i="6"/>
  <c r="I6" i="6"/>
  <c r="C20" i="69"/>
  <c r="C24" i="69"/>
  <c r="C46" i="11"/>
  <c r="C45" i="11" s="1"/>
  <c r="C46" i="68"/>
  <c r="C45" i="68" s="1"/>
  <c r="C43" i="68"/>
  <c r="C58" i="67"/>
  <c r="C67" i="67" s="1"/>
  <c r="C68" i="67" s="1"/>
  <c r="C71" i="67" s="1"/>
  <c r="J16" i="67"/>
  <c r="J25" i="67" s="1"/>
  <c r="Q69" i="67"/>
  <c r="Q68" i="67" s="1"/>
  <c r="C40" i="67"/>
  <c r="C80" i="67"/>
  <c r="C79" i="67" s="1"/>
  <c r="D19" i="79"/>
  <c r="F35" i="15"/>
  <c r="L51" i="67"/>
  <c r="D20" i="79"/>
  <c r="M21" i="81"/>
  <c r="F35" i="81"/>
  <c r="M21" i="15"/>
  <c r="C36" i="81" l="1"/>
  <c r="Q49" i="81"/>
  <c r="J14" i="81"/>
  <c r="J22" i="81" s="1"/>
  <c r="C13" i="81"/>
  <c r="C37" i="81" s="1"/>
  <c r="C75" i="15"/>
  <c r="C56" i="15"/>
  <c r="C65" i="15" s="1"/>
  <c r="Q70" i="15"/>
  <c r="C37" i="15"/>
  <c r="D5" i="71"/>
  <c r="M20" i="43"/>
  <c r="C64" i="15"/>
  <c r="C61" i="15"/>
  <c r="J13" i="81"/>
  <c r="J23" i="81" s="1"/>
  <c r="J22" i="15"/>
  <c r="J13" i="15"/>
  <c r="J23" i="15" s="1"/>
  <c r="C56" i="81"/>
  <c r="C65" i="81" s="1"/>
  <c r="D103" i="79"/>
  <c r="D21" i="79"/>
  <c r="D102" i="79"/>
  <c r="R24" i="31"/>
  <c r="J70" i="39"/>
  <c r="K68" i="39"/>
  <c r="K65" i="40"/>
  <c r="L63" i="40"/>
  <c r="F63" i="81"/>
  <c r="C62" i="81" s="1"/>
  <c r="C59" i="81" s="1"/>
  <c r="C34" i="81"/>
  <c r="C31" i="81" s="1"/>
  <c r="J20" i="81"/>
  <c r="J17" i="81" s="1"/>
  <c r="C49" i="11"/>
  <c r="C51" i="11" s="1"/>
  <c r="C52" i="11" s="1"/>
  <c r="B2" i="11" s="1"/>
  <c r="B3" i="11" s="1"/>
  <c r="C41" i="68"/>
  <c r="C49" i="68" s="1"/>
  <c r="C51" i="68" s="1"/>
  <c r="J20" i="15"/>
  <c r="J17" i="15" s="1"/>
  <c r="C34" i="15"/>
  <c r="C31" i="15" s="1"/>
  <c r="F63" i="15"/>
  <c r="C62" i="15" s="1"/>
  <c r="R16" i="1"/>
  <c r="C28" i="69"/>
  <c r="C27" i="69" s="1"/>
  <c r="C25" i="69"/>
  <c r="C22" i="69" s="1"/>
  <c r="C28" i="68"/>
  <c r="C27" i="68" s="1"/>
  <c r="C25" i="68"/>
  <c r="C22" i="68" s="1"/>
  <c r="C46" i="69"/>
  <c r="C45" i="69" s="1"/>
  <c r="C43" i="69"/>
  <c r="C41" i="69" s="1"/>
  <c r="C45" i="67"/>
  <c r="C46" i="67" s="1"/>
  <c r="Q67" i="67"/>
  <c r="L57" i="67"/>
  <c r="L60" i="67" s="1"/>
  <c r="Q56" i="67"/>
  <c r="C43" i="67"/>
  <c r="Q47" i="67"/>
  <c r="Q53" i="67" s="1"/>
  <c r="Q65" i="67"/>
  <c r="D2" i="67"/>
  <c r="C83" i="67"/>
  <c r="C82" i="67" s="1"/>
  <c r="C59" i="15" l="1"/>
  <c r="C75" i="81"/>
  <c r="C58" i="15"/>
  <c r="C67" i="15" s="1"/>
  <c r="C68" i="15" s="1"/>
  <c r="C71" i="15" s="1"/>
  <c r="C56" i="11"/>
  <c r="C57" i="11" s="1"/>
  <c r="J16" i="15"/>
  <c r="J25" i="15" s="1"/>
  <c r="Q70" i="81"/>
  <c r="C30" i="15"/>
  <c r="C39" i="15" s="1"/>
  <c r="C40" i="15" s="1"/>
  <c r="C30" i="81"/>
  <c r="C39" i="81" s="1"/>
  <c r="Q69" i="81" s="1"/>
  <c r="Q68" i="81" s="1"/>
  <c r="C58" i="81"/>
  <c r="C67" i="81" s="1"/>
  <c r="C68" i="81" s="1"/>
  <c r="C71" i="81" s="1"/>
  <c r="L65" i="40"/>
  <c r="M63" i="40"/>
  <c r="K70" i="39"/>
  <c r="L68" i="39"/>
  <c r="C49" i="69"/>
  <c r="C51" i="69" s="1"/>
  <c r="C31" i="68"/>
  <c r="C52" i="68" s="1"/>
  <c r="B2" i="68" s="1"/>
  <c r="B3" i="68" s="1"/>
  <c r="C31" i="69"/>
  <c r="L57" i="15"/>
  <c r="L60" i="15" s="1"/>
  <c r="B2" i="67"/>
  <c r="B3" i="67"/>
  <c r="Q66" i="67"/>
  <c r="Q75" i="67" s="1"/>
  <c r="Q57" i="67"/>
  <c r="Q62" i="67" s="1"/>
  <c r="L51" i="81"/>
  <c r="C40" i="81" l="1"/>
  <c r="C80" i="15"/>
  <c r="C79" i="15" s="1"/>
  <c r="C46" i="81"/>
  <c r="C80" i="81"/>
  <c r="C79" i="81" s="1"/>
  <c r="Q69" i="15"/>
  <c r="Q68" i="15" s="1"/>
  <c r="L70" i="39"/>
  <c r="M68" i="39"/>
  <c r="M65" i="40"/>
  <c r="N63" i="40"/>
  <c r="Q67" i="81"/>
  <c r="C52" i="69"/>
  <c r="B2" i="69" s="1"/>
  <c r="B3" i="69" s="1"/>
  <c r="C57" i="68"/>
  <c r="C56" i="68" s="1"/>
  <c r="Q65" i="15"/>
  <c r="Q56" i="15"/>
  <c r="C43" i="15"/>
  <c r="Q47" i="15"/>
  <c r="Q53" i="15" s="1"/>
  <c r="C83" i="15"/>
  <c r="C82" i="15" s="1"/>
  <c r="C46" i="15"/>
  <c r="L46" i="15"/>
  <c r="B2" i="15" s="1"/>
  <c r="Q57" i="15"/>
  <c r="Q66" i="15"/>
  <c r="C19" i="79"/>
  <c r="AO6" i="1"/>
  <c r="L51" i="15"/>
  <c r="F20" i="31"/>
  <c r="C43" i="81" l="1"/>
  <c r="C83" i="81"/>
  <c r="C82" i="81" s="1"/>
  <c r="Q67" i="15"/>
  <c r="N65" i="40"/>
  <c r="O63" i="40"/>
  <c r="O65" i="40" s="1"/>
  <c r="M70" i="39"/>
  <c r="N68" i="39"/>
  <c r="C57" i="69"/>
  <c r="C56" i="69" s="1"/>
  <c r="C102" i="79"/>
  <c r="C21" i="79"/>
  <c r="G19" i="79"/>
  <c r="D22" i="79"/>
  <c r="B6" i="70"/>
  <c r="B3" i="15"/>
  <c r="Q75" i="15"/>
  <c r="Q62" i="15"/>
  <c r="C20" i="79"/>
  <c r="O68" i="39" l="1"/>
  <c r="O70" i="39" s="1"/>
  <c r="N70" i="39"/>
  <c r="F7" i="39" s="1"/>
  <c r="H7" i="40"/>
  <c r="J7" i="40"/>
  <c r="F7" i="40"/>
  <c r="C103" i="79"/>
  <c r="G20" i="79"/>
  <c r="G21" i="79"/>
  <c r="C32" i="79"/>
  <c r="AC7" i="40" l="1"/>
  <c r="V42" i="40" s="1"/>
  <c r="I42" i="40" s="1"/>
  <c r="W7" i="40"/>
  <c r="S7" i="39"/>
  <c r="AA7" i="39"/>
  <c r="R47" i="39" s="1"/>
  <c r="AA7" i="40"/>
  <c r="R42" i="40" s="1"/>
  <c r="S7" i="40"/>
  <c r="U7" i="40"/>
  <c r="AB7" i="40"/>
  <c r="T42" i="40" s="1"/>
  <c r="G42" i="40" s="1"/>
  <c r="H7" i="39"/>
  <c r="J7" i="39"/>
  <c r="H118" i="79"/>
  <c r="C35" i="79"/>
  <c r="F118" i="79" s="1"/>
  <c r="AC7" i="39" l="1"/>
  <c r="V47" i="39" s="1"/>
  <c r="I47" i="39" s="1"/>
  <c r="W7" i="39"/>
  <c r="G46" i="40"/>
  <c r="H46" i="40" s="1"/>
  <c r="G47" i="40"/>
  <c r="H47" i="40" s="1"/>
  <c r="E47" i="39"/>
  <c r="R48" i="39"/>
  <c r="AB7" i="39"/>
  <c r="T47" i="39" s="1"/>
  <c r="G47" i="39" s="1"/>
  <c r="U7" i="39"/>
  <c r="R43" i="40"/>
  <c r="E42" i="40"/>
  <c r="I46" i="40"/>
  <c r="J46" i="40" s="1"/>
  <c r="I47" i="40"/>
  <c r="J47" i="40" s="1"/>
  <c r="C34" i="79"/>
  <c r="D118" i="79" s="1"/>
  <c r="D119" i="79" s="1"/>
  <c r="I118" i="79"/>
  <c r="C104" i="79"/>
  <c r="H119" i="79"/>
  <c r="H101" i="79"/>
  <c r="F119" i="79"/>
  <c r="G118" i="79"/>
  <c r="C42" i="40" l="1"/>
  <c r="C43" i="40"/>
  <c r="G51" i="39"/>
  <c r="H51" i="39" s="1"/>
  <c r="G52" i="39"/>
  <c r="H52" i="39" s="1"/>
  <c r="E52" i="39"/>
  <c r="F52" i="39" s="1"/>
  <c r="E51" i="39"/>
  <c r="F51" i="39" s="1"/>
  <c r="I52" i="39"/>
  <c r="J52" i="39" s="1"/>
  <c r="I51" i="39"/>
  <c r="J51" i="39" s="1"/>
  <c r="E46" i="40"/>
  <c r="F46" i="40" s="1"/>
  <c r="E47" i="40"/>
  <c r="F47" i="40" s="1"/>
  <c r="C47" i="39"/>
  <c r="C48" i="39"/>
  <c r="H107" i="79"/>
  <c r="M48" i="79"/>
  <c r="D45" i="79"/>
  <c r="E118" i="79"/>
  <c r="C105" i="79"/>
  <c r="H102" i="79"/>
  <c r="B61" i="39" l="1"/>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78" i="79"/>
  <c r="C73" i="79" s="1"/>
  <c r="C93" i="79"/>
  <c r="C86" i="79" s="1"/>
  <c r="C85" i="79"/>
  <c r="C72" i="79"/>
  <c r="C64" i="79"/>
  <c r="C63" i="79" s="1"/>
  <c r="C67" i="79" s="1"/>
  <c r="C68" i="79" s="1"/>
  <c r="D54" i="79" s="1"/>
  <c r="D55" i="79"/>
  <c r="M53" i="79" s="1"/>
  <c r="D53" i="79"/>
  <c r="D52" i="79"/>
  <c r="D122" i="79"/>
  <c r="D123" i="79" s="1"/>
  <c r="H108" i="79"/>
  <c r="M49" i="79"/>
  <c r="C95" i="79" l="1"/>
  <c r="C96" i="79" s="1"/>
  <c r="E96" i="79" s="1"/>
  <c r="E97" i="79" s="1"/>
  <c r="L66" i="79"/>
  <c r="M66" i="79" s="1"/>
  <c r="L65" i="79"/>
  <c r="M65" i="79" s="1"/>
  <c r="L64" i="79"/>
  <c r="M64" i="79" s="1"/>
  <c r="L68" i="79"/>
  <c r="M68" i="79" s="1"/>
  <c r="L67" i="79"/>
  <c r="M67" i="79" s="1"/>
  <c r="L63" i="79"/>
  <c r="M63" i="79" s="1"/>
  <c r="C79" i="79"/>
  <c r="M69" i="79" l="1"/>
  <c r="N69" i="79" s="1"/>
  <c r="C97" i="79"/>
  <c r="D58" i="79" s="1"/>
  <c r="D56" i="79" s="1"/>
  <c r="M54" i="79" s="1"/>
  <c r="N57" i="79" s="1"/>
  <c r="C80" i="79"/>
  <c r="E80" i="79" s="1"/>
  <c r="E81" i="79" s="1"/>
  <c r="C81" i="79" l="1"/>
  <c r="N58" i="79"/>
  <c r="P57" i="79"/>
  <c r="N59" i="79"/>
  <c r="H111" i="79" l="1"/>
  <c r="D126" i="79" s="1"/>
  <c r="D127" i="79" s="1"/>
  <c r="N61" i="79"/>
  <c r="H112" i="79" s="1"/>
  <c r="N60" i="79"/>
  <c r="R29" i="31"/>
  <c r="S29" i="31" s="1"/>
  <c r="R26" i="31"/>
  <c r="S26" i="31" s="1"/>
  <c r="R25" i="31"/>
  <c r="S25" i="31" s="1"/>
  <c r="R31" i="31"/>
  <c r="S31" i="31" s="1"/>
  <c r="R30" i="31"/>
  <c r="S30" i="31" s="1"/>
  <c r="R28" i="31"/>
  <c r="S28" i="31" s="1"/>
  <c r="R27" i="31"/>
  <c r="S27" i="31" s="1"/>
  <c r="S24" i="31"/>
  <c r="S22" i="31" l="1"/>
  <c r="R22" i="31" s="1"/>
  <c r="B21" i="31" s="1"/>
  <c r="D20" i="9"/>
  <c r="D103" i="9" l="1"/>
  <c r="B20" i="31"/>
  <c r="D19" i="9"/>
  <c r="J24" i="9" l="1"/>
  <c r="D102" i="9"/>
  <c r="D21" i="9"/>
  <c r="J5" i="81"/>
  <c r="J24" i="81" l="1"/>
  <c r="J16" i="81" s="1"/>
  <c r="J25" i="81" s="1"/>
  <c r="J26" i="81" s="1"/>
  <c r="J29" i="81" s="1"/>
  <c r="Q47" i="81" l="1"/>
  <c r="Q53" i="81" s="1"/>
  <c r="Q65" i="81"/>
  <c r="Q75" i="81" s="1"/>
  <c r="Q56" i="81"/>
  <c r="Q62" i="81" s="1"/>
  <c r="B2" i="81"/>
  <c r="AO7" i="1"/>
  <c r="B7" i="70" l="1"/>
  <c r="B2" i="70" s="1"/>
  <c r="B3" i="81"/>
  <c r="C19" i="9"/>
  <c r="C21" i="9" l="1"/>
  <c r="C102" i="9"/>
  <c r="D22" i="9"/>
  <c r="G19" i="9"/>
  <c r="B3" i="70"/>
  <c r="D35" i="9"/>
  <c r="D34" i="9"/>
  <c r="C20" i="9"/>
  <c r="C103" i="9" l="1"/>
  <c r="G20" i="9"/>
  <c r="G21" i="9"/>
  <c r="J23" i="9"/>
  <c r="C32" i="9"/>
  <c r="C35" i="9" l="1"/>
  <c r="F118" i="9" s="1"/>
  <c r="H118" i="9"/>
  <c r="H4" i="52" l="1"/>
  <c r="H119" i="9"/>
  <c r="H5" i="52" s="1"/>
  <c r="C104" i="9"/>
  <c r="D14" i="74"/>
  <c r="I118" i="9"/>
  <c r="H101" i="9"/>
  <c r="F119" i="9"/>
  <c r="F5" i="52" s="1"/>
  <c r="B53" i="72" s="1"/>
  <c r="F4" i="52"/>
  <c r="B51" i="72" s="1"/>
  <c r="G118" i="9"/>
  <c r="G4" i="52" s="1"/>
  <c r="B52" i="72" s="1"/>
  <c r="C34" i="9"/>
  <c r="D118" i="9" s="1"/>
  <c r="I4" i="52" l="1"/>
  <c r="H102" i="9"/>
  <c r="D7" i="53" s="1"/>
  <c r="B21" i="72" s="1"/>
  <c r="E118" i="9"/>
  <c r="E4" i="52" s="1"/>
  <c r="B48" i="72" s="1"/>
  <c r="C105" i="9"/>
  <c r="D4" i="52"/>
  <c r="B47" i="72" s="1"/>
  <c r="D119" i="9"/>
  <c r="D5" i="52" s="1"/>
  <c r="B49" i="72" s="1"/>
  <c r="M48" i="9"/>
  <c r="D45" i="9"/>
  <c r="D5" i="53"/>
  <c r="H107" i="9"/>
  <c r="F14" i="74"/>
  <c r="B5" i="74"/>
  <c r="E14" i="74"/>
  <c r="D6" i="53" l="1"/>
  <c r="B22" i="72" s="1"/>
  <c r="B20" i="72"/>
  <c r="D5" i="74"/>
  <c r="C5" i="74"/>
  <c r="D13" i="53"/>
  <c r="H108" i="9"/>
  <c r="D15" i="53" s="1"/>
  <c r="B31" i="72" s="1"/>
  <c r="D122" i="9"/>
  <c r="M49" i="9"/>
  <c r="D53" i="9"/>
  <c r="C64" i="9"/>
  <c r="C63" i="9" s="1"/>
  <c r="C67" i="9" s="1"/>
  <c r="C68" i="9" s="1"/>
  <c r="D54" i="9" s="1"/>
  <c r="C78" i="9"/>
  <c r="C73" i="9" s="1"/>
  <c r="D52" i="9"/>
  <c r="C93" i="9"/>
  <c r="C86" i="9" s="1"/>
  <c r="C72" i="9"/>
  <c r="C85" i="9"/>
  <c r="C95" i="9" s="1"/>
  <c r="D55" i="9"/>
  <c r="M53" i="9" s="1"/>
  <c r="C96" i="9" l="1"/>
  <c r="E96" i="9" s="1"/>
  <c r="E97" i="9" s="1"/>
  <c r="D123" i="9"/>
  <c r="D9" i="52" s="1"/>
  <c r="G14" i="74"/>
  <c r="B6" i="74" s="1"/>
  <c r="D8" i="52"/>
  <c r="D14" i="53"/>
  <c r="B32" i="72" s="1"/>
  <c r="B30" i="72"/>
  <c r="C79" i="9"/>
  <c r="L68" i="9"/>
  <c r="M68" i="9" s="1"/>
  <c r="L64" i="9"/>
  <c r="M64" i="9" s="1"/>
  <c r="L63" i="9"/>
  <c r="M63" i="9" s="1"/>
  <c r="L66" i="9"/>
  <c r="M66" i="9" s="1"/>
  <c r="L65" i="9"/>
  <c r="M65" i="9" s="1"/>
  <c r="L67" i="9"/>
  <c r="M67" i="9" s="1"/>
  <c r="C97" i="9" l="1"/>
  <c r="D58" i="9" s="1"/>
  <c r="D56" i="9" s="1"/>
  <c r="M54" i="9" s="1"/>
  <c r="N57" i="9" s="1"/>
  <c r="N58" i="9" s="1"/>
  <c r="C80" i="9"/>
  <c r="E80" i="9" s="1"/>
  <c r="E81" i="9" s="1"/>
  <c r="M69" i="9"/>
  <c r="N69" i="9" s="1"/>
  <c r="C6" i="74"/>
  <c r="D6" i="74"/>
  <c r="P57" i="9" l="1"/>
  <c r="N59" i="9"/>
  <c r="N60" i="9" s="1"/>
  <c r="C81" i="9"/>
  <c r="N61" i="9" l="1"/>
  <c r="H112" i="9" s="1"/>
  <c r="D21" i="53" s="1"/>
  <c r="B39" i="72" s="1"/>
  <c r="H111" i="9"/>
  <c r="D19" i="53" s="1"/>
  <c r="D126" i="9" l="1"/>
  <c r="D12" i="52" s="1"/>
  <c r="D20" i="53"/>
  <c r="B40" i="72" s="1"/>
  <c r="B38" i="72"/>
  <c r="D127" i="9" l="1"/>
  <c r="D13" i="52" s="1"/>
  <c r="I14" i="74"/>
  <c r="B8" i="74" s="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<sst xmlns="http://schemas.openxmlformats.org/spreadsheetml/2006/main" count="8238" uniqueCount="3211">
  <si>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</si>
  <si>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</si>
  <si>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</si>
  <si>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</si>
  <si>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</si>
  <si>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</si>
  <si>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</si>
  <si>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</si>
  <si>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</si>
  <si>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</si>
  <si>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</si>
  <si>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</si>
  <si>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</si>
  <si>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</si>
  <si>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</si>
  <si>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</si>
  <si>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</si>
  <si>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</si>
  <si>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</si>
  <si>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</si>
  <si>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</si>
  <si>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</si>
  <si>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</si>
  <si>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</si>
  <si>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</si>
  <si>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</si>
  <si>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</si>
  <si>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</si>
  <si>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</si>
  <si>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</si>
  <si>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</si>
  <si>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</si>
  <si>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</si>
  <si>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</si>
  <si>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</si>
  <si>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</si>
  <si>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</si>
  <si>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</si>
  <si>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</si>
  <si>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</si>
  <si>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</si>
  <si>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</si>
  <si>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</si>
  <si>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</si>
  <si>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</si>
  <si>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</si>
  <si>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</si>
  <si>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</si>
  <si>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</si>
  <si>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</si>
  <si>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</si>
  <si>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</si>
  <si>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</si>
  <si>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</si>
  <si>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</si>
  <si>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</si>
  <si>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</si>
  <si>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</si>
  <si>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</si>
  <si>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</si>
  <si>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</si>
  <si>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</si>
  <si>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</si>
  <si>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</si>
  <si>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</si>
  <si>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</si>
  <si>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</si>
  <si>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</si>
  <si>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</si>
  <si>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</si>
  <si>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</si>
  <si>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</si>
  <si>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</si>
  <si>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</si>
  <si>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</si>
  <si>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</si>
  <si>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</si>
  <si>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</si>
  <si>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</si>
  <si>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</si>
  <si>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</si>
  <si>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</si>
  <si>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</si>
  <si>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</si>
  <si>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</si>
  <si>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</si>
  <si>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</si>
  <si>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</si>
  <si>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</si>
  <si>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</si>
  <si>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</si>
  <si>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</si>
  <si>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</si>
  <si>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</si>
  <si>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</si>
  <si>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</si>
  <si>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</si>
  <si>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</si>
  <si>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</si>
  <si>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</si>
  <si>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</si>
  <si>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</si>
  <si>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</si>
  <si>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</si>
  <si>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</si>
  <si>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</si>
  <si>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</si>
  <si>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</si>
  <si>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</si>
  <si>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</si>
  <si>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</si>
  <si>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</si>
  <si>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</si>
  <si>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</si>
  <si>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</si>
  <si>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</si>
  <si>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</si>
  <si>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</si>
  <si>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</si>
  <si>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</si>
  <si>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</si>
  <si>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</si>
  <si>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</si>
  <si>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</si>
  <si>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</si>
  <si>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</si>
  <si>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</si>
  <si>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</si>
  <si>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</si>
  <si>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</si>
  <si>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</si>
  <si>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</si>
  <si>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</si>
  <si>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</si>
  <si>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</si>
  <si>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</si>
  <si>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</si>
  <si>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</si>
  <si>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</si>
  <si>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</si>
  <si>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</si>
  <si>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</si>
  <si>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</si>
  <si>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</si>
  <si>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</si>
  <si>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</si>
  <si>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</si>
  <si>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</si>
  <si>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</si>
  <si>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</si>
  <si>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</si>
  <si>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</si>
  <si>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</si>
  <si>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</si>
  <si>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</si>
  <si>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</si>
  <si>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</si>
  <si>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</si>
  <si>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</si>
  <si>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</si>
  <si>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</si>
  <si>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</si>
  <si>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</si>
  <si>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</si>
  <si>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</si>
  <si>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</si>
  <si>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</si>
  <si>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</si>
  <si>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</si>
  <si>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</si>
  <si>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</si>
  <si>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</si>
  <si>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</si>
  <si>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</si>
  <si>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</si>
  <si>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</si>
  <si>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</si>
  <si>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</si>
  <si>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</si>
  <si>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</si>
  <si>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</si>
  <si>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</si>
  <si>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</si>
  <si>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</si>
  <si>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</si>
  <si>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</si>
  <si>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</si>
  <si>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</si>
  <si>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</si>
  <si>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</si>
  <si>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</si>
  <si>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</si>
  <si>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</si>
  <si>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</si>
  <si>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</si>
  <si>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</si>
  <si>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</si>
  <si>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</si>
  <si>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</si>
  <si>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</si>
  <si>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</si>
  <si>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</si>
  <si>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</si>
  <si>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</si>
  <si>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</si>
  <si>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</si>
  <si>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</si>
  <si>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</si>
  <si>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</si>
  <si>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</si>
  <si>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</si>
  <si>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</si>
  <si>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</si>
  <si>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</si>
  <si>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</si>
  <si>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</si>
  <si>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</si>
  <si>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</si>
  <si>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</si>
  <si>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</si>
  <si>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</si>
  <si>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</si>
  <si>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</si>
  <si>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</si>
  <si>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</si>
  <si>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</si>
  <si>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</si>
  <si>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</si>
  <si>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</si>
  <si>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</si>
  <si>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</si>
  <si>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</si>
  <si>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</si>
  <si>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</si>
  <si>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</si>
  <si>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</si>
  <si>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</si>
  <si>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</si>
  <si>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</si>
  <si>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</si>
  <si>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</si>
  <si>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</si>
  <si>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</si>
  <si>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</si>
  <si>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</si>
  <si>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</si>
  <si>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</si>
  <si>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</si>
  <si>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</si>
  <si>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</si>
  <si>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</si>
  <si>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</si>
  <si>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</si>
  <si>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</si>
  <si>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</si>
  <si>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</si>
  <si>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</si>
  <si>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</si>
  <si>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</si>
  <si>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</si>
  <si>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</si>
  <si>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</si>
  <si>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</si>
  <si>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</si>
  <si>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</si>
  <si>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</si>
  <si>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</si>
  <si>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</si>
  <si>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</si>
  <si>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</si>
  <si>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</si>
  <si>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</si>
  <si>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</si>
  <si>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</si>
  <si>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</si>
  <si>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</si>
  <si>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</si>
  <si>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</si>
  <si>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</si>
  <si>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</si>
  <si>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</si>
  <si>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</si>
  <si>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</si>
  <si>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</si>
  <si>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</si>
  <si>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</si>
  <si>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</si>
  <si>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</si>
  <si>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</si>
  <si>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</si>
  <si>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</si>
  <si>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</si>
  <si>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</si>
  <si>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</si>
  <si>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</si>
  <si>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</si>
  <si>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</si>
  <si>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</si>
  <si>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</si>
  <si>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</si>
  <si>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</si>
  <si>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</si>
  <si>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</si>
  <si>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</si>
  <si>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</si>
  <si>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</si>
  <si>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</si>
  <si>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</si>
  <si>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</si>
  <si>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</si>
  <si>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</si>
  <si>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</si>
  <si>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</si>
  <si>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</si>
  <si>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</si>
  <si>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</si>
  <si>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</si>
  <si>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</si>
  <si>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</si>
  <si>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</si>
  <si>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</si>
  <si>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</si>
  <si>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</si>
  <si>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</si>
  <si>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</si>
  <si>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</si>
  <si>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</si>
  <si>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</si>
  <si>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</si>
  <si>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</si>
  <si>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</si>
  <si>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</si>
  <si>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</si>
  <si>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</si>
  <si>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</si>
  <si>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</si>
  <si>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</si>
  <si>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</si>
  <si>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</si>
  <si>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</si>
  <si>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</si>
  <si>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</si>
  <si>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</si>
  <si>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</si>
  <si>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</si>
  <si>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</si>
  <si>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</si>
  <si>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</si>
  <si>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</si>
  <si>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</si>
  <si>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</si>
  <si>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</si>
  <si>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</si>
  <si>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</si>
  <si>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</si>
  <si>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</si>
  <si>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</si>
  <si>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</si>
  <si>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</si>
  <si>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</si>
  <si>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</si>
  <si>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</si>
  <si>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</si>
  <si>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</si>
  <si>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</si>
  <si>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</si>
  <si>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</si>
  <si>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</si>
  <si>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</si>
  <si>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</si>
  <si>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</si>
  <si>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</si>
  <si>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</si>
  <si>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</si>
  <si>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</si>
  <si>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</si>
  <si>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</si>
  <si>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</si>
  <si>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</si>
  <si>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</si>
  <si>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</si>
  <si>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</si>
  <si>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</si>
  <si>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</si>
  <si>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</si>
  <si>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</si>
  <si>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</si>
  <si>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</si>
  <si>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</si>
  <si>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</si>
  <si>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</si>
  <si>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</si>
  <si>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</si>
  <si>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</si>
  <si>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</si>
  <si>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</si>
  <si>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</si>
  <si>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</si>
  <si>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</si>
  <si>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</si>
  <si>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</si>
  <si>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</si>
  <si>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</si>
  <si>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</si>
  <si>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</si>
  <si>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</si>
  <si>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</si>
  <si>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</si>
  <si>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</si>
  <si>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</si>
  <si>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</si>
  <si>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</si>
  <si>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</si>
  <si>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</si>
  <si>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</si>
  <si>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</si>
  <si>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</si>
  <si>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</si>
  <si>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</si>
  <si>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</si>
  <si>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</si>
  <si>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</si>
  <si>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</si>
  <si>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</si>
  <si>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</si>
  <si>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</si>
  <si>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</si>
  <si>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</si>
  <si>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</si>
  <si>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</si>
  <si>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</si>
  <si>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</si>
  <si>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</si>
  <si>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</si>
  <si>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</si>
  <si>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</si>
  <si>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</si>
  <si>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</si>
  <si>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</si>
  <si>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</si>
  <si>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</si>
  <si>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</si>
  <si>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</si>
  <si>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</si>
  <si>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</si>
  <si>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</si>
  <si>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</si>
  <si>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</si>
  <si>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</si>
  <si>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</si>
  <si>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</si>
  <si>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</si>
  <si>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</si>
  <si>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</si>
  <si>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</si>
  <si>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</si>
  <si>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</si>
  <si>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</si>
  <si>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</si>
  <si>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</si>
  <si>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</si>
  <si>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</si>
  <si>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</si>
  <si>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</si>
  <si>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</si>
  <si>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</si>
  <si>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</si>
  <si>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</si>
  <si>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</si>
  <si>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</si>
  <si>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</si>
  <si>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</si>
  <si>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</si>
  <si>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</si>
  <si>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</si>
  <si>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</si>
  <si>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</si>
  <si>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</si>
  <si>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</si>
  <si>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</si>
  <si>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</si>
  <si>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</si>
  <si>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</si>
  <si>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</si>
  <si>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</si>
  <si>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</si>
  <si>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</si>
  <si>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</si>
  <si>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</si>
  <si>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</si>
  <si>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</si>
  <si>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</si>
  <si>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</si>
  <si>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</si>
  <si>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</si>
  <si>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</si>
  <si>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</si>
  <si>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</si>
  <si>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</si>
  <si>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</si>
  <si>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</si>
  <si>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</si>
  <si>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</si>
  <si>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</si>
  <si>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</si>
  <si>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</si>
  <si>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</si>
  <si>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</si>
  <si>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</si>
  <si>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</si>
  <si>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</si>
  <si>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</si>
  <si>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</si>
  <si>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</si>
  <si>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</si>
  <si>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</si>
  <si>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</si>
  <si>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</si>
  <si>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</si>
  <si>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</si>
  <si>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</si>
  <si>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</si>
  <si>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</si>
  <si>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</si>
  <si>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</si>
  <si>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</si>
  <si>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</si>
  <si>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</si>
  <si>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</si>
  <si>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</si>
  <si>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</si>
  <si>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</si>
  <si>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</si>
  <si>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</si>
  <si>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</si>
  <si>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</si>
  <si>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</si>
  <si>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</si>
  <si>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</si>
  <si>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</si>
  <si>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</si>
  <si>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</si>
  <si>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</si>
  <si>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</si>
  <si>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</si>
  <si>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</si>
  <si>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</si>
  <si>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</si>
  <si>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</si>
  <si>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</si>
  <si>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</si>
  <si>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</si>
  <si>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</si>
  <si>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</si>
  <si>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</si>
  <si>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</si>
  <si>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</si>
  <si>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</si>
  <si>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</si>
  <si>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</si>
  <si>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</si>
  <si>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</si>
  <si>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</si>
  <si>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</si>
  <si>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</si>
  <si>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</si>
  <si>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</si>
  <si>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</si>
  <si>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</si>
  <si>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</si>
  <si>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</si>
  <si>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</si>
  <si>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</si>
  <si>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</si>
  <si>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</si>
  <si>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</si>
  <si>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</si>
  <si>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</si>
  <si>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</si>
  <si>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</si>
  <si>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</si>
  <si>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</si>
  <si>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</si>
  <si>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</si>
  <si>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</si>
  <si>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</si>
  <si>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</si>
  <si>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</si>
  <si>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</si>
  <si>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</si>
  <si>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</si>
  <si>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</si>
  <si>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</si>
  <si>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</si>
  <si>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</si>
  <si>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</si>
  <si>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</si>
  <si>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</si>
  <si>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</si>
  <si>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</si>
  <si>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</si>
  <si>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</si>
  <si>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</si>
  <si>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</si>
  <si>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</si>
  <si>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</si>
  <si>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</si>
  <si>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</si>
  <si>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</si>
  <si>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</si>
  <si>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</si>
  <si>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</si>
  <si>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</si>
  <si>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</si>
  <si>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</si>
  <si>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</si>
  <si>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</si>
  <si>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</si>
  <si>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</si>
  <si>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</si>
  <si>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</si>
  <si>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</si>
  <si>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</si>
  <si>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</si>
  <si>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</si>
  <si>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</si>
  <si>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</si>
  <si>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</si>
  <si>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</si>
  <si>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</si>
  <si>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</si>
  <si>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</si>
  <si>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</si>
  <si>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</si>
  <si>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</si>
  <si>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</si>
  <si>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</si>
  <si>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</si>
  <si>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</si>
  <si>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</si>
  <si>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</si>
  <si>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</si>
  <si>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</si>
  <si>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</si>
  <si>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</si>
  <si>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</si>
  <si>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</si>
  <si>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</si>
  <si>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</si>
  <si>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</si>
  <si>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</si>
  <si>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</si>
  <si>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</si>
  <si>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</si>
  <si>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</si>
  <si>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</si>
  <si>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</si>
  <si>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</si>
  <si>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</si>
  <si>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</si>
  <si>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</si>
  <si>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</si>
  <si>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</si>
  <si>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</si>
  <si>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</si>
  <si>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</si>
  <si>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</si>
  <si>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</si>
  <si>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</si>
  <si>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</si>
  <si>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</si>
  <si>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</si>
  <si>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</si>
  <si>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</si>
  <si>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</si>
  <si>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</si>
  <si>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</si>
  <si>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</si>
  <si>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</si>
  <si>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</si>
  <si>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</si>
  <si>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</si>
  <si>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</si>
  <si>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</si>
  <si>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</si>
  <si>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</si>
  <si>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</si>
  <si>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</si>
  <si>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</si>
  <si>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</si>
  <si>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</si>
  <si>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</si>
  <si>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</si>
  <si>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</si>
  <si>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</si>
  <si>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</si>
  <si>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</si>
  <si>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</si>
  <si>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</si>
  <si>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</si>
  <si>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</si>
  <si>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</si>
  <si>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</si>
  <si>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</si>
  <si>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</si>
  <si>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</si>
  <si>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</si>
  <si>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</si>
  <si>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</si>
  <si>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</si>
  <si>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</si>
  <si>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</si>
  <si>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</si>
  <si>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</si>
  <si>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</si>
  <si>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</si>
  <si>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</si>
  <si>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</si>
  <si>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</si>
  <si>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</si>
  <si>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</si>
  <si>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</si>
  <si>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</si>
  <si>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</si>
  <si>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</si>
  <si>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</si>
  <si>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</si>
  <si>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</si>
  <si>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</si>
  <si>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</si>
  <si>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</si>
  <si>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</si>
  <si>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</si>
  <si>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</si>
  <si>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</si>
  <si>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</si>
  <si>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</si>
  <si>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</si>
  <si>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</si>
  <si>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</si>
  <si>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</si>
  <si>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</si>
  <si>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</si>
  <si>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</si>
  <si>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</si>
  <si>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</si>
  <si>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</si>
  <si>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</si>
  <si>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</si>
  <si>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</si>
  <si>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</si>
  <si>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</si>
  <si>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</si>
  <si>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</si>
  <si>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</si>
  <si>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</si>
  <si>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</si>
  <si>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</si>
  <si>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</si>
  <si>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</si>
  <si>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</si>
  <si>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</si>
  <si>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</si>
  <si>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</si>
  <si>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</si>
  <si>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</si>
  <si>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</si>
  <si>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</si>
  <si>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</si>
  <si>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</si>
  <si>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</si>
  <si>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</si>
  <si>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</si>
  <si>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</si>
  <si>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</si>
  <si>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</si>
  <si>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</si>
  <si>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</si>
  <si>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</si>
  <si>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</si>
  <si>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</si>
  <si>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</si>
  <si>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</si>
  <si>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</si>
  <si>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</si>
  <si>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</si>
  <si>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</si>
  <si>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</si>
  <si>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</si>
  <si>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</si>
  <si>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</si>
  <si>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</si>
  <si>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</si>
  <si>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</si>
  <si>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</si>
  <si>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</si>
  <si>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</si>
  <si>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</si>
  <si>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</si>
  <si>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</si>
  <si>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</si>
  <si>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</si>
  <si>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</si>
  <si>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</si>
  <si>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</si>
  <si>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</si>
  <si>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</si>
  <si>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</si>
  <si>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</si>
  <si>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</si>
  <si>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</si>
  <si>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</si>
  <si>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</si>
  <si>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</si>
  <si>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</si>
  <si>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</si>
  <si>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</si>
  <si>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</si>
  <si>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</si>
  <si>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</si>
  <si>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</si>
  <si>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</si>
  <si>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</si>
  <si>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</si>
  <si>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</si>
  <si>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</si>
  <si>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</si>
  <si>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</si>
  <si>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</si>
  <si>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</si>
  <si>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</si>
  <si>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</si>
  <si>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</si>
  <si>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</si>
  <si>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</si>
  <si>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</si>
  <si>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</si>
  <si>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</si>
  <si>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</si>
  <si>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</si>
  <si>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</si>
  <si>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</si>
  <si>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</si>
  <si>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</si>
  <si>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</si>
  <si>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</si>
  <si>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</si>
  <si>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</si>
  <si>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</si>
  <si>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</si>
  <si>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</si>
  <si>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</si>
  <si>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</si>
  <si>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</si>
  <si>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</si>
  <si>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</si>
  <si>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</si>
  <si>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</si>
  <si>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</si>
  <si>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</si>
  <si>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</si>
  <si>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</si>
  <si>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</si>
  <si>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</si>
  <si>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</si>
  <si>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</si>
  <si>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</si>
  <si>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</si>
  <si>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</si>
  <si>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</si>
  <si>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</si>
  <si>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</si>
  <si>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</si>
  <si>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</si>
  <si>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</si>
  <si>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</si>
  <si>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</si>
  <si>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</si>
  <si>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</si>
  <si>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</si>
  <si>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</si>
  <si>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</si>
  <si>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</si>
  <si>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</si>
  <si>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</si>
  <si>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</si>
  <si>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</si>
  <si>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</si>
  <si>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</si>
  <si>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</si>
  <si>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</si>
  <si>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</si>
  <si>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</si>
  <si>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</si>
  <si>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</si>
  <si>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</si>
  <si>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</si>
  <si>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</si>
  <si>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</si>
  <si>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</si>
  <si>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</si>
  <si>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</si>
  <si>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</si>
  <si>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</si>
  <si>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</si>
  <si>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</si>
  <si>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</si>
  <si>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</si>
  <si>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</si>
  <si>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</si>
  <si>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</si>
  <si>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</si>
  <si>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</si>
  <si>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</si>
  <si>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</si>
  <si>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</si>
  <si>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</si>
  <si>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</si>
  <si>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</si>
  <si>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</si>
  <si>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</si>
  <si>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</si>
  <si>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</si>
  <si>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</si>
  <si>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</si>
  <si>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</si>
  <si>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</si>
  <si>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</si>
  <si>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</si>
  <si>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</si>
  <si>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</si>
  <si>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</si>
  <si>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</si>
  <si>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</si>
  <si>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</si>
  <si>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</si>
  <si>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</si>
  <si>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</si>
  <si>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</si>
  <si>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</si>
  <si>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</si>
  <si>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</si>
  <si>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</si>
  <si>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</si>
  <si>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</si>
  <si>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</si>
  <si>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</si>
  <si>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</si>
  <si>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</si>
  <si>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</si>
  <si>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</si>
  <si>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</si>
  <si>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</si>
  <si>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</si>
  <si>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</si>
  <si>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</si>
  <si>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</si>
  <si>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</si>
  <si>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</si>
  <si>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</si>
  <si>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</si>
  <si>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</si>
  <si>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</si>
  <si>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</si>
  <si>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</si>
  <si>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</si>
  <si>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</si>
  <si>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</si>
  <si>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</si>
  <si>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</si>
  <si>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</si>
  <si>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</si>
  <si>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</si>
  <si>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</si>
  <si>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</si>
  <si>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</si>
  <si>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</si>
  <si>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</si>
  <si>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</si>
  <si>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</si>
  <si>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</si>
  <si>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</si>
  <si>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</si>
  <si>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</si>
  <si>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</si>
  <si>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</si>
  <si>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</si>
  <si>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</si>
  <si>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</si>
  <si>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</si>
  <si>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</si>
  <si>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</si>
  <si>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</si>
  <si>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</si>
  <si>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</si>
  <si>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</si>
  <si>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</si>
  <si>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</si>
  <si>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</si>
  <si>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</si>
  <si>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</si>
  <si>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</si>
  <si>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</si>
  <si>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</si>
  <si>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</si>
  <si>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</si>
  <si>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</si>
  <si>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</si>
  <si>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</si>
  <si>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</si>
  <si>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</si>
  <si>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</si>
  <si>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</si>
  <si>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</si>
  <si>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</si>
  <si>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</si>
  <si>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</si>
  <si>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</si>
  <si>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</si>
  <si>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</si>
  <si>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</si>
  <si>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</si>
  <si>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</si>
  <si>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</si>
  <si>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</si>
  <si>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</si>
  <si>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</si>
  <si>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</si>
  <si>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</si>
  <si>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</si>
  <si>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</si>
  <si>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</si>
  <si>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</si>
  <si>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</si>
  <si>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</si>
  <si>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</si>
  <si>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</si>
  <si>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</si>
  <si>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</si>
  <si>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</si>
  <si>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</si>
  <si>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</si>
  <si>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</si>
  <si>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</si>
  <si>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</si>
  <si>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</si>
  <si>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</si>
  <si>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</si>
  <si>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</si>
  <si>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</si>
  <si>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</si>
  <si>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</si>
  <si>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</si>
  <si>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</si>
  <si>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</si>
  <si>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</si>
  <si>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</si>
  <si>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</si>
  <si>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</si>
  <si>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</si>
  <si>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</si>
  <si>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</si>
  <si>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</si>
  <si>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</si>
  <si>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</si>
  <si>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</si>
  <si>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</si>
  <si>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</si>
  <si>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</si>
  <si>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</si>
  <si>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</si>
  <si>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</si>
  <si>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</si>
  <si>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</si>
  <si>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</si>
  <si>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</si>
  <si>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</si>
  <si>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</si>
  <si>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</si>
  <si>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</si>
  <si>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</si>
  <si>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</si>
  <si>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</si>
  <si>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</si>
  <si>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</si>
  <si>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</si>
  <si>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</si>
  <si>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</si>
  <si>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</si>
  <si>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</si>
  <si>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</si>
  <si>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</si>
  <si>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</si>
  <si>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</si>
  <si>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</si>
  <si>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</si>
  <si>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</si>
  <si>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</si>
  <si>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</si>
  <si>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</si>
  <si>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</si>
  <si>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</si>
  <si>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</si>
  <si>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</si>
  <si>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</si>
  <si>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</si>
  <si>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</si>
  <si>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</si>
  <si>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</si>
  <si>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</si>
  <si>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</si>
  <si>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</si>
  <si>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</si>
  <si>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</si>
  <si>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</si>
  <si>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</si>
  <si>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</si>
  <si>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</si>
  <si>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</si>
  <si>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</si>
  <si>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</si>
  <si>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</si>
  <si>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</si>
  <si>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</si>
  <si>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</si>
  <si>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</si>
  <si>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</si>
  <si>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</si>
  <si>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</si>
  <si>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</si>
  <si>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</si>
  <si>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</si>
  <si>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</si>
  <si>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</si>
  <si>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</si>
  <si>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</si>
  <si>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</si>
  <si>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</si>
  <si>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</si>
  <si>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</si>
  <si>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</si>
  <si>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</si>
  <si>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</si>
  <si>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</si>
  <si>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</si>
  <si>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</si>
  <si>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</si>
  <si>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</si>
  <si>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</si>
  <si>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</si>
  <si>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</si>
  <si>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</si>
  <si>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</si>
  <si>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</si>
  <si>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</si>
  <si>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</si>
  <si>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</si>
  <si>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</si>
  <si>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</si>
  <si>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</si>
  <si>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</si>
  <si>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</si>
  <si>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</si>
  <si>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</si>
  <si>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</si>
  <si>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</si>
  <si>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</si>
  <si>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</si>
  <si>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</si>
  <si>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</si>
  <si>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</si>
  <si>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</si>
  <si>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</si>
  <si>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</si>
  <si>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</si>
  <si>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</si>
  <si>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</si>
  <si>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</si>
  <si>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</si>
  <si>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</si>
  <si>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</si>
  <si>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</si>
  <si>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</si>
  <si>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</si>
  <si>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</si>
  <si>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</si>
  <si>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</si>
  <si>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</si>
  <si>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</si>
  <si>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</si>
  <si>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</si>
  <si>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</si>
  <si>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</si>
  <si>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</si>
  <si>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</si>
  <si>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</si>
  <si>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</si>
  <si>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</si>
  <si>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</si>
  <si>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</si>
  <si>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</si>
  <si>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</si>
  <si>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</si>
  <si>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</si>
  <si>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</si>
  <si>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</si>
  <si>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</si>
  <si>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</si>
  <si>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</si>
  <si>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</si>
  <si>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</si>
  <si>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</si>
  <si>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</si>
  <si>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</si>
  <si>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</si>
  <si>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</si>
  <si>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</si>
  <si>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</si>
  <si>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</si>
  <si>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</si>
  <si>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</si>
  <si>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</si>
  <si>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</si>
  <si>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</si>
  <si>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</si>
  <si>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</si>
  <si>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</si>
  <si>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</si>
  <si>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</si>
  <si>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</si>
  <si>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</si>
  <si>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</si>
  <si>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</si>
  <si>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</si>
  <si>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</si>
  <si>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</si>
  <si>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</si>
  <si>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</si>
  <si>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</si>
  <si>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</si>
  <si>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</si>
  <si>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</si>
  <si>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</si>
  <si>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</si>
  <si>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</si>
  <si>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</si>
  <si>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</si>
  <si>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</si>
  <si>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</si>
  <si>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</si>
  <si>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</si>
  <si>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</si>
  <si>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</si>
  <si>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</si>
  <si>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</si>
  <si>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</si>
  <si>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</si>
  <si>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</si>
  <si>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</si>
  <si>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</si>
  <si>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</si>
  <si>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</si>
  <si>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</si>
  <si>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</si>
  <si>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</si>
  <si>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</si>
  <si>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</si>
  <si>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</si>
  <si>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</si>
  <si>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</si>
  <si>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</si>
  <si>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</si>
  <si>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</si>
  <si>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</si>
  <si>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</si>
  <si>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</si>
  <si>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</si>
  <si>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</si>
  <si>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</si>
  <si>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</si>
  <si>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</si>
  <si>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</si>
  <si>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</si>
  <si>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</si>
  <si>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</si>
  <si>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</si>
  <si>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</si>
  <si>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</si>
  <si>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</si>
  <si>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</si>
  <si>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</si>
  <si>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</si>
  <si>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</si>
  <si>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</si>
  <si>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</si>
  <si>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</si>
  <si>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</si>
  <si>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</si>
  <si>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</si>
  <si>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</si>
  <si>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</si>
  <si>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</si>
  <si>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</si>
  <si>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</si>
  <si>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</si>
  <si>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</si>
  <si>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</si>
  <si>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</si>
  <si>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</si>
  <si>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</si>
  <si>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</si>
  <si>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</si>
  <si>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</si>
  <si>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</si>
  <si>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</si>
  <si>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</si>
  <si>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</si>
  <si>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</si>
  <si>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</si>
  <si>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</si>
  <si>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</si>
  <si>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</si>
  <si>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</si>
  <si>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</si>
  <si>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</si>
  <si>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</si>
  <si>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</si>
  <si>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</si>
  <si>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</si>
  <si>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</si>
  <si>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</si>
  <si>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</si>
  <si>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</si>
  <si>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</si>
  <si>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</si>
  <si>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</si>
  <si>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</si>
  <si>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</si>
  <si>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</si>
  <si>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</si>
  <si>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</si>
  <si>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</si>
  <si>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</si>
  <si>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</si>
  <si>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</si>
  <si>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</si>
  <si>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</si>
  <si>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</si>
  <si>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</si>
  <si>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</si>
  <si>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</si>
  <si>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</si>
  <si>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</si>
  <si>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</si>
  <si>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</si>
  <si>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</si>
  <si>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</si>
  <si>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</si>
  <si>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</si>
  <si>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</si>
  <si>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</si>
  <si>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</si>
  <si>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</si>
  <si>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</si>
  <si>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</si>
  <si>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</si>
  <si>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</si>
  <si>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</si>
  <si>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</si>
  <si>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</si>
  <si>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</si>
  <si>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</si>
  <si>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</si>
  <si>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</si>
  <si>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</si>
  <si>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</si>
  <si>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</si>
  <si>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</si>
  <si>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</si>
  <si>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</si>
  <si>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</si>
  <si>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</si>
  <si>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</si>
  <si>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</si>
  <si>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</si>
  <si>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</si>
  <si>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</si>
  <si>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</si>
  <si>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</si>
  <si>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</si>
  <si>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</si>
  <si>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</si>
  <si>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</si>
  <si>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</si>
  <si>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</si>
  <si>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</si>
  <si>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</si>
  <si>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</si>
  <si>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</si>
  <si>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</si>
  <si>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</si>
  <si>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</si>
  <si>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</si>
  <si>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</si>
  <si>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</si>
  <si>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</si>
  <si>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</si>
  <si>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</si>
  <si>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</si>
  <si>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</si>
  <si>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</si>
  <si>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</si>
  <si>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</si>
  <si>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</si>
  <si>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</si>
  <si>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</si>
  <si>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</si>
  <si>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</si>
  <si>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</si>
  <si>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</si>
  <si>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</si>
  <si>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</si>
  <si>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</si>
  <si>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</si>
  <si>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</si>
  <si>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</si>
  <si>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</si>
  <si>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</si>
  <si>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</si>
  <si>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</si>
  <si>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</si>
  <si>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</si>
  <si>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</si>
  <si>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</si>
  <si>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</si>
  <si>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</si>
  <si>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</si>
  <si>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</si>
  <si>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</si>
  <si>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</si>
  <si>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</si>
  <si>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</si>
  <si>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</si>
  <si>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</si>
  <si>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</si>
  <si>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</si>
  <si>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</si>
  <si>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</si>
  <si>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</si>
  <si>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</si>
  <si>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</si>
  <si>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</si>
  <si>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</si>
  <si>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</si>
  <si>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</si>
  <si>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</si>
  <si>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</si>
  <si>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</si>
  <si>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</si>
  <si>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</si>
  <si>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</si>
  <si>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</si>
  <si>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</si>
  <si>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</si>
  <si>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</si>
  <si>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</si>
  <si>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</si>
  <si>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</si>
  <si>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</si>
  <si>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</si>
  <si>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</si>
  <si>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</si>
  <si>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</si>
  <si>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</si>
  <si>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</si>
  <si>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</si>
  <si>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</si>
  <si>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</si>
  <si>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</si>
  <si>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</si>
  <si>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</si>
  <si>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</si>
  <si>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</si>
  <si>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</si>
  <si>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</si>
  <si>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</si>
  <si>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</si>
  <si>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</si>
  <si>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</si>
  <si>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</si>
  <si>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</si>
  <si>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</si>
  <si>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</si>
  <si>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</si>
  <si>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</si>
  <si>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</si>
  <si>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</si>
  <si>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</si>
  <si>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</si>
  <si>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</si>
  <si>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</si>
  <si>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</si>
  <si>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</si>
  <si>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</si>
  <si>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</si>
  <si>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</si>
  <si>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</si>
  <si>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</si>
  <si>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</si>
  <si>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</si>
  <si>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</si>
  <si>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</si>
  <si>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</si>
  <si>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</si>
  <si>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</si>
  <si>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</si>
  <si>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</si>
  <si>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</si>
  <si>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</si>
  <si>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</si>
  <si>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</si>
  <si>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</si>
  <si>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</si>
  <si>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</si>
  <si>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</si>
  <si>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</si>
  <si>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</si>
  <si>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</si>
  <si>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</si>
  <si>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</si>
  <si>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</si>
  <si>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</si>
  <si>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</si>
  <si>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</si>
  <si>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</si>
  <si>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</si>
  <si>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</si>
  <si>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</si>
  <si>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</si>
  <si>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</si>
  <si>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</si>
  <si>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</si>
  <si>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</si>
  <si>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</si>
  <si>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</si>
  <si>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</si>
  <si>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</si>
  <si>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</si>
  <si>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</si>
  <si>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</si>
  <si>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</si>
  <si>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</si>
  <si>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</si>
  <si>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</si>
  <si>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</si>
  <si>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</si>
  <si>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</si>
  <si>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</si>
  <si>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</si>
  <si>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</si>
  <si>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</si>
  <si>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</si>
  <si>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</si>
  <si>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</si>
  <si>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</si>
  <si>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</si>
  <si>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</si>
  <si>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</si>
  <si>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</si>
  <si>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</si>
  <si>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</si>
  <si>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</si>
  <si>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</si>
  <si>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</si>
  <si>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</si>
  <si>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</si>
  <si>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</si>
  <si>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</si>
  <si>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</si>
  <si>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</si>
  <si>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</si>
  <si>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</si>
  <si>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</si>
  <si>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</si>
  <si>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</si>
  <si>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</si>
  <si>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</si>
  <si>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</si>
  <si>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</si>
  <si>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</si>
  <si>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</si>
  <si>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</si>
  <si>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</si>
  <si>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</si>
  <si>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</si>
  <si>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</si>
  <si>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</si>
  <si>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</si>
  <si>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</si>
  <si>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</si>
  <si>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</si>
  <si>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</si>
  <si>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</si>
  <si>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</si>
  <si>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</si>
  <si>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</si>
  <si>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</si>
  <si>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</si>
  <si>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</si>
  <si>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</si>
  <si>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</si>
  <si>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</si>
  <si>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</si>
  <si>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</si>
  <si>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</si>
  <si>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</si>
  <si>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</si>
  <si>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</si>
  <si>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</si>
  <si>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</si>
  <si>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</si>
  <si>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</si>
  <si>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</si>
  <si>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</si>
  <si>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</si>
  <si>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</si>
  <si>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</si>
  <si>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</si>
  <si>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</si>
  <si>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</si>
  <si>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</si>
  <si>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</si>
  <si>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</si>
  <si>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</si>
  <si>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</si>
  <si>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</si>
  <si>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</si>
  <si>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</si>
  <si>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</si>
  <si>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</si>
  <si>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</si>
  <si>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</si>
  <si>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</si>
  <si>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</si>
  <si>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</si>
  <si>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</si>
  <si>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</si>
  <si>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</si>
  <si>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</si>
  <si>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</si>
  <si>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</si>
  <si>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</si>
  <si>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</si>
  <si>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</si>
  <si>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</si>
  <si>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</si>
  <si>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</si>
  <si>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</si>
  <si>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</si>
  <si>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</si>
  <si>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</si>
  <si>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</si>
  <si>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</si>
  <si>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</si>
  <si>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</si>
  <si>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</si>
  <si>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</si>
  <si>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</si>
  <si>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</si>
  <si>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</si>
  <si>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</si>
  <si>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</si>
  <si>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</si>
  <si>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</si>
  <si>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</si>
  <si>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</si>
  <si>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</si>
  <si>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</si>
  <si>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</si>
  <si>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</si>
  <si>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</si>
  <si>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</si>
  <si>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</si>
  <si>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</si>
  <si>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</si>
  <si>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</si>
  <si>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</si>
  <si>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</si>
  <si>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</si>
  <si>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</si>
  <si>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</si>
  <si>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</si>
  <si>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</si>
  <si>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</si>
  <si>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</si>
  <si>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</si>
  <si>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</si>
  <si>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</si>
  <si>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</si>
  <si>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</si>
  <si>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</si>
  <si>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</si>
  <si>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</si>
  <si>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</si>
  <si>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</si>
  <si>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</si>
  <si>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</si>
  <si>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</si>
  <si>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</si>
  <si>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</si>
  <si>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</si>
  <si>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</si>
  <si>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</si>
  <si>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</si>
  <si>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</si>
  <si>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</si>
  <si>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</si>
  <si>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</si>
  <si>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</si>
  <si>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</si>
  <si>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</si>
  <si>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</si>
  <si>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</si>
  <si>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</si>
  <si>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</si>
  <si>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</si>
  <si>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</si>
  <si>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</si>
  <si>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</si>
  <si>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</si>
  <si>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</si>
  <si>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</si>
  <si>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</si>
  <si>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</si>
  <si>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</si>
  <si>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</si>
  <si>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</si>
  <si>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</si>
  <si>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</si>
  <si>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</si>
  <si>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</si>
  <si>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</si>
  <si>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</si>
  <si>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</si>
  <si>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</si>
  <si>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</si>
  <si>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</si>
  <si>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</si>
  <si>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</si>
  <si>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</si>
  <si>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</si>
  <si>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</si>
  <si>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</si>
  <si>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</si>
  <si>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</si>
  <si>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</si>
  <si>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</si>
  <si>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</si>
  <si>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</si>
  <si>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</si>
  <si>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</si>
  <si>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</si>
  <si>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</si>
  <si>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</si>
  <si>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</si>
  <si>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</si>
  <si>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</si>
  <si>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</si>
  <si>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</si>
  <si>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</si>
  <si>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</si>
  <si>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</si>
  <si>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</si>
  <si>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</si>
  <si>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</si>
  <si>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</si>
  <si>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</si>
  <si>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</si>
  <si>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</si>
  <si>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</si>
  <si>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</si>
  <si>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</si>
  <si>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</si>
  <si>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</si>
  <si>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</si>
  <si>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</si>
  <si>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</si>
  <si>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</si>
  <si>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</si>
  <si>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</si>
  <si>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</si>
  <si>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</si>
  <si>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</si>
  <si>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</si>
  <si>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</si>
  <si>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</si>
  <si>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</si>
  <si>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</si>
  <si>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</si>
  <si>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</si>
  <si>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</si>
  <si>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</si>
  <si>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</si>
  <si>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</si>
  <si>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</si>
  <si>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</si>
  <si>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</si>
  <si>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</si>
  <si>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</si>
  <si>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</si>
  <si>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</si>
  <si>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</si>
  <si>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</si>
  <si>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</si>
  <si>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</si>
  <si>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</si>
  <si>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</si>
  <si>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</si>
  <si>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</si>
  <si>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</si>
  <si>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</si>
  <si>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</si>
  <si>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</si>
  <si>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</si>
  <si>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</si>
  <si>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</si>
  <si>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</si>
  <si>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</si>
  <si>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</si>
  <si>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</si>
  <si>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</si>
  <si>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</si>
  <si>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</si>
  <si>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</si>
  <si>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</si>
  <si>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</si>
  <si>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</si>
  <si>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</si>
  <si>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</si>
  <si>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</si>
  <si>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</si>
  <si>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</si>
  <si>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</si>
  <si>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</si>
  <si>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</si>
  <si>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</si>
  <si>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</si>
  <si>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</si>
  <si>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</si>
  <si>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</si>
  <si>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</si>
  <si>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</si>
  <si>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</si>
  <si>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</si>
  <si>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</si>
  <si>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</si>
  <si>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</si>
  <si>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</si>
  <si>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</si>
  <si>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</si>
  <si>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</si>
  <si>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</si>
  <si>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</si>
  <si>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</si>
  <si>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</si>
  <si>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</si>
  <si>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</si>
  <si>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</si>
  <si>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</si>
  <si>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</si>
  <si>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</si>
  <si>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</si>
  <si>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</si>
  <si>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</si>
  <si>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</si>
  <si>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</si>
  <si>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</si>
  <si>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</si>
  <si>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</si>
  <si>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</si>
  <si>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</si>
  <si>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</si>
  <si>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</si>
  <si>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</si>
  <si>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</si>
  <si>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</si>
  <si>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</si>
  <si>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</si>
  <si>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</si>
  <si>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</si>
  <si>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</si>
  <si>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</si>
  <si>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</si>
  <si>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</si>
  <si>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</si>
  <si>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</si>
  <si>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</si>
  <si>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</si>
  <si>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</si>
  <si>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</si>
  <si>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</si>
  <si>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</si>
  <si>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</si>
  <si>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</si>
  <si>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</si>
  <si>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</si>
  <si>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</si>
  <si>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</si>
  <si>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</si>
  <si>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</si>
  <si>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</si>
  <si>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</si>
  <si>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</si>
  <si>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</si>
  <si>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</si>
  <si>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</si>
  <si>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</si>
  <si>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</si>
  <si>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</si>
  <si>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</si>
  <si>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</si>
  <si>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</si>
  <si>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</si>
  <si>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</si>
  <si>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</si>
  <si>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</si>
  <si>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</si>
  <si>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</si>
  <si>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</si>
  <si>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</si>
  <si>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</si>
  <si>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</si>
  <si>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</si>
  <si>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</si>
  <si>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</si>
  <si>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</si>
  <si>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</si>
  <si>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</si>
  <si>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</si>
  <si>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</si>
  <si>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</si>
  <si>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</si>
  <si>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</si>
  <si>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</si>
  <si>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</si>
  <si>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</si>
  <si>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</si>
  <si>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</si>
  <si>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</si>
  <si>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</si>
  <si>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</si>
  <si>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</si>
  <si>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</si>
  <si>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</si>
  <si>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</si>
  <si>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</si>
  <si>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</si>
  <si>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</si>
  <si>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</si>
  <si>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</si>
  <si>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</si>
  <si>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</si>
  <si>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</si>
  <si>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</si>
  <si>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</si>
  <si>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</si>
  <si>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</si>
  <si>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</si>
  <si>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</si>
  <si>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</si>
  <si>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</si>
  <si>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</si>
  <si>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</si>
  <si>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</si>
  <si>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</si>
  <si>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</si>
  <si>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</si>
  <si>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</si>
  <si>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</si>
  <si>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</si>
  <si>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</si>
  <si>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</si>
  <si>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</si>
  <si>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</si>
  <si>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</si>
  <si>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</si>
  <si>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</si>
  <si>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</si>
  <si>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</si>
  <si>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</si>
  <si>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</si>
  <si>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</si>
  <si>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</si>
  <si>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</si>
  <si>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</si>
  <si>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</si>
  <si>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</si>
  <si>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</si>
  <si>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</si>
  <si>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</si>
  <si>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</si>
  <si>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</si>
  <si>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</si>
  <si>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</si>
  <si>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</si>
  <si>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</si>
  <si>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</si>
  <si>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</si>
  <si>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</si>
  <si>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</si>
  <si>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</si>
  <si>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</si>
  <si>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</si>
  <si>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</si>
  <si>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</si>
  <si>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</si>
  <si>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</si>
  <si>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</si>
  <si>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</si>
  <si>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</si>
  <si>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</si>
  <si>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</si>
  <si>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</si>
  <si>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</si>
  <si>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</si>
  <si>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</si>
  <si>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</si>
  <si>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</si>
  <si>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</si>
  <si>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</si>
  <si>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</si>
  <si>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</si>
  <si>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</si>
  <si>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</si>
  <si>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</si>
  <si>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</si>
  <si>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</si>
  <si>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</si>
  <si>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</si>
  <si>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</si>
  <si>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</si>
  <si>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</si>
  <si>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</si>
  <si>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</si>
  <si>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</si>
  <si>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</si>
  <si>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</si>
  <si>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</si>
  <si>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</si>
  <si>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</si>
  <si>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</si>
  <si>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</si>
  <si>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</si>
  <si>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</si>
  <si>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</si>
  <si>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</si>
  <si>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</si>
  <si>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</si>
  <si>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</si>
  <si>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</si>
  <si>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</si>
  <si>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</si>
  <si>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</si>
  <si>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</si>
  <si>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</si>
  <si>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</si>
  <si>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</si>
  <si>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</si>
  <si>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</si>
  <si>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</si>
  <si>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</si>
  <si>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</si>
  <si>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</si>
  <si>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</si>
  <si>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</si>
  <si>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</si>
  <si>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</si>
  <si>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</si>
  <si>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</si>
  <si>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</si>
  <si>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</si>
  <si>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</si>
  <si>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</si>
  <si>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</si>
  <si>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</si>
  <si>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</si>
  <si>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</si>
  <si>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</si>
  <si>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</si>
  <si>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</si>
  <si>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</si>
  <si>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</si>
  <si>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</si>
  <si>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</si>
  <si>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</si>
  <si>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</si>
  <si>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</si>
  <si>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</si>
  <si>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</si>
  <si>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</si>
  <si>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</si>
  <si>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</si>
  <si>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</si>
  <si>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</si>
  <si>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</si>
  <si>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</si>
  <si>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</si>
  <si>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</si>
  <si>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</si>
  <si>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</si>
  <si>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</si>
  <si>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</si>
  <si>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</si>
  <si>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</si>
  <si>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</si>
  <si>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</si>
  <si>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</si>
  <si>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</si>
  <si>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</si>
  <si>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</si>
  <si>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</si>
  <si>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</si>
  <si>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</si>
  <si>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</si>
  <si>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</si>
  <si>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</si>
  <si>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</si>
  <si>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</si>
  <si>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</si>
  <si>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</si>
  <si>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</si>
  <si>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</si>
  <si>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</si>
  <si>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</si>
  <si>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</si>
  <si>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</si>
  <si>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</si>
  <si>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</si>
  <si>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</si>
  <si>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</si>
  <si>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</si>
  <si>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</si>
  <si>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</si>
  <si>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</si>
  <si>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</si>
  <si>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</si>
  <si>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</si>
  <si>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</si>
  <si>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</si>
  <si>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</si>
  <si>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</si>
  <si>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</si>
  <si>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</si>
  <si>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</si>
  <si>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</si>
  <si>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</si>
  <si>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</si>
  <si>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</si>
  <si>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</si>
  <si>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</si>
  <si>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</si>
  <si>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</si>
  <si>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</si>
  <si>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</si>
  <si>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</si>
  <si>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</si>
  <si>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</si>
  <si>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</si>
  <si>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</si>
  <si>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</si>
  <si>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</si>
  <si>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</si>
  <si>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</si>
  <si>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</si>
  <si>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</si>
  <si>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</si>
  <si>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</si>
  <si>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</si>
  <si>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</si>
  <si>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</si>
  <si>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</si>
  <si>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</si>
  <si>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</si>
  <si>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</si>
  <si>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</si>
  <si>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</si>
  <si>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</si>
  <si>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</si>
  <si>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</si>
  <si>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</si>
  <si>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</si>
  <si>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</si>
  <si>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</si>
  <si>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</si>
  <si>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</si>
  <si>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</si>
  <si>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</si>
  <si>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</si>
  <si>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</si>
  <si>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</si>
  <si>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</si>
  <si>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</si>
  <si>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</si>
  <si>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</si>
  <si>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</si>
  <si>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</si>
  <si>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</si>
  <si>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</si>
  <si>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</si>
  <si>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</si>
  <si>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</si>
  <si>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</si>
  <si>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</si>
  <si>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</si>
  <si>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</si>
  <si>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</si>
  <si>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</si>
  <si>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</si>
  <si>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</si>
  <si>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</si>
  <si>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</si>
  <si>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</si>
  <si>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</si>
  <si>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</si>
  <si>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</si>
  <si>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</si>
  <si>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</si>
  <si>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</si>
  <si>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</si>
  <si>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</si>
  <si>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</si>
  <si>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</si>
  <si>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</si>
  <si>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</si>
  <si>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</si>
  <si>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</si>
  <si>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</si>
  <si>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</si>
  <si>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</si>
  <si>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</si>
  <si>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</si>
  <si>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</si>
  <si>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</si>
  <si>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</si>
  <si>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</si>
  <si>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</si>
  <si>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</si>
  <si>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</si>
  <si>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</si>
  <si>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</si>
  <si>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</si>
  <si>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</si>
  <si>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</si>
  <si>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</si>
  <si>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</si>
  <si>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</si>
  <si>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</si>
  <si>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</si>
  <si>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</si>
  <si>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</si>
  <si>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</si>
  <si>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</si>
  <si>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</si>
  <si>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</si>
  <si>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</si>
  <si>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</si>
  <si>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</si>
  <si>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</si>
  <si>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</si>
  <si>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</si>
  <si>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</si>
  <si>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</si>
  <si>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</si>
  <si>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</si>
  <si>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</si>
  <si>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</si>
  <si>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</si>
  <si>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</si>
  <si>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</si>
  <si>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</si>
  <si>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</si>
  <si>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</si>
  <si>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</si>
  <si>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</si>
  <si>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</si>
  <si>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</si>
  <si>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</si>
  <si>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</si>
  <si>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</si>
  <si>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</si>
  <si>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</si>
  <si>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</si>
  <si>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</si>
  <si>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</si>
  <si>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</si>
  <si>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</si>
  <si>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</si>
  <si>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</si>
  <si>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</si>
  <si>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</si>
  <si>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</si>
  <si>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</si>
  <si>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</si>
  <si>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</si>
  <si>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</si>
  <si>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</si>
  <si>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</si>
  <si>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</si>
  <si>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</si>
  <si>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</si>
  <si>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</si>
  <si>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</si>
  <si>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</si>
  <si>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</si>
  <si>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</si>
  <si>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</si>
  <si>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</si>
  <si>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</si>
  <si>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</si>
  <si>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</si>
  <si>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</si>
  <si>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</si>
  <si>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</si>
  <si>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</si>
  <si>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</si>
  <si>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</si>
  <si>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</si>
  <si>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</si>
  <si>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</si>
  <si>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</si>
  <si>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</si>
  <si>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</si>
  <si>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</si>
  <si>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</si>
  <si>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</si>
  <si>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</si>
  <si>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</si>
  <si>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</si>
  <si>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</si>
  <si>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</si>
  <si>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</si>
  <si>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</si>
  <si>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</si>
  <si>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</si>
  <si>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</si>
  <si>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</si>
  <si>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</si>
  <si>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</si>
  <si>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</si>
  <si>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</si>
  <si>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</si>
  <si>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</si>
  <si>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</si>
  <si>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</si>
  <si>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</si>
  <si>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</si>
  <si>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</si>
  <si>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</si>
  <si>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</si>
  <si>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</si>
  <si>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</si>
  <si>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</si>
  <si>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</si>
  <si>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</si>
  <si>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</si>
  <si>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</si>
  <si>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</si>
  <si>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</si>
  <si>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</si>
  <si>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</si>
  <si>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</si>
  <si>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</si>
  <si>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</si>
  <si>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</si>
  <si>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</si>
  <si>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</si>
  <si>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</si>
  <si>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</si>
  <si>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</si>
  <si>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</si>
  <si>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</si>
  <si>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</si>
  <si>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</si>
  <si>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</si>
  <si>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</si>
  <si>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</si>
  <si>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</si>
  <si>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</si>
  <si>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</si>
  <si>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</si>
  <si>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</si>
  <si>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</si>
  <si>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</si>
  <si>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</si>
  <si>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</si>
  <si>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</si>
  <si>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</si>
  <si>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</si>
  <si>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</si>
  <si>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</si>
  <si>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</si>
  <si>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</si>
  <si>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</si>
  <si>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</si>
  <si>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</si>
  <si>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</si>
  <si>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</si>
  <si>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</si>
  <si>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</si>
  <si>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</si>
  <si>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</si>
  <si>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</si>
  <si>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</si>
  <si>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</si>
  <si>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</si>
  <si>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</si>
  <si>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</si>
  <si>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</si>
  <si>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</si>
  <si>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</si>
  <si>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</si>
  <si>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</si>
  <si>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</si>
  <si>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</si>
  <si>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</si>
  <si>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</si>
  <si>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</si>
  <si>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</si>
  <si>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</si>
  <si>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</si>
  <si>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</si>
  <si>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</si>
  <si>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</si>
  <si>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</si>
  <si>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</si>
  <si>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</si>
  <si>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</si>
  <si>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</si>
  <si>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</si>
  <si>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</si>
  <si>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</si>
  <si>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</si>
  <si>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</si>
  <si>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</si>
  <si>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</si>
  <si>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</si>
  <si>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</si>
  <si>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</si>
  <si>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</si>
  <si>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</si>
  <si>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</si>
  <si>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</si>
  <si>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</si>
  <si>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</si>
  <si>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</si>
  <si>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</si>
  <si>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</si>
  <si>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</si>
  <si>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</si>
  <si>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</si>
  <si>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</si>
  <si>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</si>
  <si>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</si>
  <si>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</si>
  <si>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</si>
  <si>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</si>
  <si>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</si>
  <si>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</si>
  <si>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</si>
  <si>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</si>
  <si>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</si>
  <si>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</si>
  <si>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</si>
  <si>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</si>
  <si>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</si>
  <si>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</si>
  <si>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</si>
  <si>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</si>
  <si>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</si>
  <si>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</si>
  <si>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</si>
  <si>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</si>
  <si>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</si>
  <si>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</si>
  <si>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</si>
  <si>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</si>
  <si>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</si>
  <si>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</si>
  <si>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</si>
  <si>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</si>
  <si>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</si>
  <si>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</si>
  <si>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</si>
  <si>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</si>
  <si>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</si>
  <si>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</si>
  <si>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</si>
  <si>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</si>
  <si>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</si>
  <si>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</si>
  <si>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</si>
  <si>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</si>
  <si>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</si>
  <si>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</si>
  <si>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</si>
  <si>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</si>
  <si>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</si>
  <si>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</si>
  <si>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</si>
  <si>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</si>
  <si>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</si>
  <si>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</si>
  <si>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</si>
  <si>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</si>
  <si>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</si>
  <si>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</si>
  <si>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</si>
  <si>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</si>
  <si>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</si>
  <si>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</si>
  <si>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</si>
  <si>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</si>
  <si>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</si>
  <si>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</si>
  <si>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</si>
  <si>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</si>
  <si>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</si>
  <si>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</si>
  <si>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</si>
  <si>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</si>
  <si>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</si>
  <si>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</si>
  <si>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</si>
  <si>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</si>
  <si>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</si>
  <si>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</si>
  <si>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</si>
  <si>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</si>
  <si>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</si>
  <si>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</si>
  <si>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</si>
  <si>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</si>
  <si>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</si>
  <si>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</si>
  <si>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</si>
  <si>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</si>
  <si>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</si>
  <si>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</si>
  <si>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</si>
  <si>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</si>
  <si>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</si>
  <si>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</si>
  <si>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</si>
  <si>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</si>
  <si>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</si>
  <si>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</si>
  <si>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</si>
  <si>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</si>
  <si>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</si>
  <si>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</si>
  <si>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</si>
  <si>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</si>
  <si>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</si>
  <si>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</si>
  <si>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</si>
  <si>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</si>
  <si>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</si>
  <si>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</si>
  <si>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</si>
  <si>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</si>
  <si>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</si>
  <si>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</si>
  <si>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</si>
  <si>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</si>
  <si>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</si>
  <si>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</si>
  <si>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</si>
  <si>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</si>
  <si>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</si>
  <si>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</si>
  <si>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</si>
  <si>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</si>
  <si>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</si>
  <si>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</si>
  <si>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</si>
  <si>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</si>
  <si>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</si>
  <si>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</si>
  <si>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</si>
  <si>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</si>
  <si>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</si>
  <si>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</si>
  <si>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</si>
  <si>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</si>
  <si>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</si>
  <si>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</si>
  <si>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</si>
  <si>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</si>
  <si>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</si>
  <si>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</si>
  <si>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</si>
  <si>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</si>
  <si>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</si>
  <si>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</si>
  <si>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</si>
  <si>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</si>
  <si>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</si>
  <si>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</si>
  <si>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</si>
  <si>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</si>
  <si>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</si>
  <si>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</si>
  <si>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</si>
  <si>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</si>
  <si>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</si>
  <si>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</si>
  <si>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</si>
  <si>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</si>
  <si>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</si>
  <si>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</si>
  <si>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</si>
  <si>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</si>
  <si>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</si>
  <si>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</si>
  <si>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</si>
  <si>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</si>
  <si>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</si>
  <si>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</si>
  <si>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</si>
  <si>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</si>
  <si>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</si>
  <si>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</si>
  <si>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</si>
  <si>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</si>
  <si>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</si>
  <si>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</si>
  <si>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</si>
  <si>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</si>
  <si>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</si>
  <si>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</si>
  <si>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</si>
  <si>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</si>
  <si>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</si>
  <si>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</si>
  <si>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</si>
  <si>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</si>
  <si>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</si>
  <si>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</si>
  <si>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</si>
  <si>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</si>
  <si>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</si>
  <si>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</si>
  <si>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</si>
  <si>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</si>
  <si>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</si>
  <si>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</si>
  <si>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</si>
  <si>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</si>
  <si>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</si>
  <si>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</si>
  <si>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</si>
  <si>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</si>
  <si>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</si>
  <si>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</si>
  <si>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</si>
  <si>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</si>
  <si>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</si>
  <si>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</si>
  <si>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</si>
  <si>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</si>
  <si>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</si>
  <si>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</si>
  <si>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</si>
  <si>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</si>
  <si>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</si>
  <si>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</si>
  <si>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</si>
  <si>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</si>
  <si>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</si>
  <si>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</si>
  <si>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</si>
  <si>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</si>
  <si>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</si>
  <si>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</si>
  <si>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</si>
  <si>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</si>
  <si>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</si>
  <si>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</si>
  <si>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</si>
  <si>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</si>
  <si>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</si>
  <si>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</si>
  <si>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</si>
  <si>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</si>
  <si>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</si>
  <si>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</si>
  <si>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</si>
  <si>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</si>
  <si>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</si>
  <si>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</si>
  <si>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</si>
  <si>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</si>
  <si>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</si>
  <si>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</si>
  <si>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</si>
  <si>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</si>
  <si>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</si>
  <si>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</si>
  <si>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</si>
  <si>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</si>
  <si>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</si>
  <si>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</si>
  <si>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</si>
  <si>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</si>
  <si>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</si>
  <si>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</si>
  <si>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</si>
  <si>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</si>
  <si>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</si>
  <si>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</si>
  <si>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</si>
  <si>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</si>
  <si>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</si>
  <si>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</si>
  <si>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</si>
  <si>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</si>
  <si>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</si>
  <si>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</si>
  <si>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</si>
  <si>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</si>
  <si>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</si>
  <si>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</si>
  <si>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</si>
  <si>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</si>
  <si>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</si>
  <si>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</si>
  <si>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</si>
  <si>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</si>
  <si>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</si>
  <si>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</si>
  <si>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</si>
  <si>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</si>
  <si>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</si>
  <si>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</si>
  <si>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</si>
  <si>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</si>
  <si>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</si>
  <si>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</si>
  <si>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</si>
  <si>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</si>
  <si>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</si>
  <si>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</si>
  <si>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</si>
  <si>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</si>
  <si>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</si>
  <si>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</si>
  <si>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</si>
  <si>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</si>
  <si>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</si>
  <si>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</si>
  <si>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</si>
  <si>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</si>
  <si>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</si>
  <si>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</si>
  <si>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</si>
  <si>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</si>
  <si>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</si>
  <si>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</si>
  <si>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</si>
  <si>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</si>
  <si>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</si>
  <si>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</si>
  <si>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</si>
  <si>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</si>
  <si>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</si>
  <si>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</si>
  <si>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</si>
  <si>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</si>
  <si>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</si>
  <si>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</si>
  <si>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</si>
  <si>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</si>
  <si>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</si>
  <si>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</si>
  <si>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</si>
  <si>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</si>
  <si>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</si>
  <si>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</si>
  <si>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</si>
  <si>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</si>
  <si>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</si>
  <si>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</si>
  <si>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</si>
  <si>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</si>
  <si>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</si>
  <si>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</si>
  <si>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</si>
  <si>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</si>
  <si>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</si>
  <si>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</si>
  <si>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</si>
  <si>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</si>
  <si>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</si>
  <si>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</si>
  <si>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</si>
  <si>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</si>
  <si>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</si>
  <si>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</si>
  <si>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</si>
  <si>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</si>
  <si>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</si>
  <si>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</si>
  <si>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</si>
  <si>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</si>
  <si>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</si>
  <si>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</si>
  <si>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</si>
  <si>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</si>
  <si>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</si>
  <si>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</si>
  <si>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</si>
  <si>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</si>
  <si>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</si>
  <si>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</si>
  <si>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</si>
  <si>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</si>
  <si>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</si>
  <si>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</si>
  <si>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</si>
  <si>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</si>
  <si>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</si>
  <si>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</si>
  <si>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</si>
  <si>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</si>
  <si>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</si>
  <si>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</si>
  <si>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</si>
  <si>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</si>
  <si>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</si>
  <si>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</si>
  <si>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</si>
  <si>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</si>
  <si>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</si>
  <si>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</si>
  <si>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</si>
  <si>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</si>
  <si>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</si>
  <si>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</si>
  <si>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</si>
  <si>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</si>
  <si>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</si>
  <si>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</si>
  <si>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</si>
  <si>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</si>
  <si>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</si>
  <si>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</si>
  <si>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</si>
  <si>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</si>
  <si>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</si>
  <si>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</si>
  <si>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</si>
  <si>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</si>
  <si>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</si>
  <si>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</si>
  <si>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</si>
  <si>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</si>
  <si>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</si>
  <si>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</si>
  <si>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</si>
  <si>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</si>
  <si>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</si>
  <si>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</si>
  <si>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</si>
  <si>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</si>
  <si>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</si>
  <si>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</si>
  <si>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</si>
  <si>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</si>
  <si>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</si>
  <si>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</si>
  <si>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</si>
  <si>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</si>
  <si>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</si>
  <si>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</si>
  <si>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</si>
  <si>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</si>
  <si>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</si>
  <si>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</si>
  <si>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</si>
  <si>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</si>
  <si>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</si>
  <si>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</si>
  <si>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</si>
  <si>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</si>
  <si>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</si>
  <si>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</si>
  <si>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</si>
  <si>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</si>
  <si>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</si>
  <si>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</si>
  <si>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</si>
  <si>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</si>
  <si>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</si>
  <si>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</si>
  <si>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</si>
  <si>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</si>
  <si>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</si>
  <si>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</si>
  <si>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</si>
  <si>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</si>
  <si>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</si>
  <si>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</si>
  <si>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</si>
  <si>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</si>
  <si>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</si>
  <si>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</si>
  <si>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</si>
  <si>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</si>
  <si>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</si>
  <si>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</si>
  <si>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</si>
  <si>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</si>
  <si>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</si>
  <si>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</si>
  <si>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</si>
  <si>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</si>
  <si>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</si>
  <si>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</si>
  <si>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</si>
  <si>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</si>
  <si>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</si>
  <si>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</si>
  <si>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</si>
  <si>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</si>
  <si>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</si>
  <si>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</si>
  <si>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</si>
  <si>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</si>
  <si>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</si>
  <si>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</si>
  <si>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</si>
  <si>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</si>
  <si>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</si>
  <si>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</si>
  <si>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</si>
  <si>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</si>
  <si>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</si>
  <si>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</si>
  <si>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</si>
  <si>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</si>
  <si>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</si>
  <si>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</si>
  <si>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</si>
  <si>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</si>
  <si>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</si>
  <si>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</si>
  <si>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</si>
  <si>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</si>
  <si>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</si>
  <si>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</si>
  <si>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</si>
  <si>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</si>
  <si>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</si>
  <si>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</si>
  <si>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</si>
  <si>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</si>
  <si>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</si>
  <si>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</si>
  <si>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</si>
  <si>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</si>
  <si>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</si>
  <si>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</si>
  <si>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</si>
  <si>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</si>
  <si>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</si>
  <si>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</si>
  <si>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</si>
  <si>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</si>
  <si>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</si>
  <si>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</si>
  <si>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</si>
  <si>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</si>
  <si>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</si>
  <si>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</si>
  <si>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</si>
  <si>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</si>
  <si>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</si>
  <si>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</si>
  <si>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</si>
  <si>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</si>
  <si>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</si>
  <si>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</si>
  <si>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</si>
  <si>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</si>
  <si>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</si>
  <si>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</si>
  <si>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</si>
  <si>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</si>
  <si>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</si>
  <si>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</si>
  <si>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</si>
  <si>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</si>
  <si>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</si>
  <si>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</si>
  <si>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</si>
  <si>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</si>
  <si>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</si>
  <si>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</si>
  <si>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</si>
  <si>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</si>
  <si>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</si>
  <si>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</si>
  <si>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</si>
  <si>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</si>
  <si>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</si>
  <si>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</si>
  <si>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</si>
  <si>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</si>
  <si>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</si>
  <si>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</si>
  <si>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</si>
  <si>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</si>
  <si>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</si>
  <si>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</si>
  <si>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</si>
  <si>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</si>
  <si>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</si>
  <si>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</si>
  <si>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</si>
  <si>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</si>
  <si>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</si>
  <si>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</si>
  <si>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</si>
  <si>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</si>
  <si>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</si>
  <si>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</si>
  <si>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</si>
  <si>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</si>
  <si>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</si>
  <si>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</si>
  <si>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</si>
  <si>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</si>
  <si>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</si>
  <si>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</si>
  <si>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</si>
  <si>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</si>
  <si>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</si>
  <si>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</si>
  <si>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</si>
  <si>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</si>
  <si>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</si>
  <si>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土地使用权证号</t>
  </si>
  <si>
    <t>工程规划证号/房产证</t>
  </si>
  <si>
    <t>建设内容/楼号</t>
  </si>
  <si>
    <t>分摊土地面积</t>
  </si>
  <si>
    <t>建筑面积</t>
  </si>
  <si>
    <t>住宅</t>
  </si>
  <si>
    <t>住宅、储藏室</t>
  </si>
  <si>
    <t>京丰国用（2012出）第00123号</t>
    <phoneticPr fontId="144" type="noConversion"/>
  </si>
  <si>
    <t>B53</t>
    <phoneticPr fontId="144" type="noConversion"/>
  </si>
  <si>
    <t>4号楼</t>
  </si>
  <si>
    <t>5号楼</t>
  </si>
  <si>
    <t>8号楼</t>
  </si>
  <si>
    <t>9号楼</t>
  </si>
  <si>
    <t>10号楼</t>
  </si>
  <si>
    <t>B54</t>
  </si>
  <si>
    <t>1号楼</t>
  </si>
  <si>
    <t>2号楼</t>
  </si>
  <si>
    <t>3号楼</t>
  </si>
  <si>
    <t>4号楼</t>
    <phoneticPr fontId="4" type="noConversion"/>
  </si>
  <si>
    <t>总计</t>
    <phoneticPr fontId="144" type="noConversion"/>
  </si>
  <si>
    <t>11号楼</t>
    <phoneticPr fontId="144" type="noConversion"/>
  </si>
  <si>
    <t>中国华融资产管理股份有限公司北京市分公司</t>
    <phoneticPr fontId="7" type="noConversion"/>
  </si>
  <si>
    <t>吴薇</t>
  </si>
  <si>
    <t>郑燚</t>
  </si>
  <si>
    <t>北京万年基业建设投资有限公司</t>
    <phoneticPr fontId="7" type="noConversion"/>
  </si>
  <si>
    <t>抵押</t>
  </si>
  <si>
    <t>房地产抵押价值</t>
  </si>
  <si>
    <t>北京市</t>
  </si>
  <si>
    <r>
      <rPr>
        <sz val="12"/>
        <color theme="9" tint="-0.249977111117893"/>
        <rFont val="宋体"/>
        <family val="3"/>
        <charset val="134"/>
      </rPr>
      <t>丰台区万兴路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号楼商业用房房地产</t>
    </r>
    <phoneticPr fontId="7" type="noConversion"/>
  </si>
  <si>
    <t>企业</t>
  </si>
  <si>
    <t>出让</t>
  </si>
  <si>
    <t>商业</t>
    <phoneticPr fontId="7" type="noConversion"/>
  </si>
  <si>
    <t>商业项目</t>
  </si>
  <si>
    <t>无</t>
  </si>
  <si>
    <t>否</t>
  </si>
  <si>
    <t>现房</t>
  </si>
  <si>
    <t>通路</t>
  </si>
  <si>
    <t>通电</t>
  </si>
  <si>
    <t>通讯</t>
  </si>
  <si>
    <t>通上水</t>
  </si>
  <si>
    <t>通下水</t>
  </si>
  <si>
    <t>燃气</t>
  </si>
  <si>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</si>
  <si>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</si>
  <si>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是</t>
  </si>
  <si>
    <t>地上</t>
  </si>
  <si>
    <t>地下</t>
  </si>
  <si>
    <t>项目局部</t>
  </si>
  <si>
    <t>押一</t>
  </si>
  <si>
    <t>按租金收入计税</t>
  </si>
  <si>
    <t>钢混</t>
  </si>
  <si>
    <t>非生产用房</t>
  </si>
  <si>
    <t>收益法</t>
  </si>
  <si>
    <t>较好</t>
  </si>
  <si>
    <t>较好</t>
    <phoneticPr fontId="42" type="noConversion"/>
  </si>
  <si>
    <t>七通</t>
  </si>
  <si>
    <t>七通</t>
    <phoneticPr fontId="26" type="noConversion"/>
  </si>
  <si>
    <t>一般</t>
  </si>
  <si>
    <t>一般</t>
    <phoneticPr fontId="42" type="noConversion"/>
  </si>
  <si>
    <t>比较法-商业</t>
  </si>
  <si>
    <t>售价</t>
  </si>
  <si>
    <t>3号楼</t>
    <phoneticPr fontId="26" type="noConversion"/>
  </si>
  <si>
    <r>
      <t>4</t>
    </r>
    <r>
      <rPr>
        <sz val="10"/>
        <color indexed="8"/>
        <rFont val="宋体"/>
        <family val="3"/>
        <charset val="134"/>
      </rPr>
      <t>号楼</t>
    </r>
    <r>
      <rPr>
        <sz val="10"/>
        <color indexed="8"/>
        <rFont val="Arial"/>
        <family val="2"/>
      </rPr>
      <t>B101</t>
    </r>
    <phoneticPr fontId="4" type="noConversion"/>
  </si>
  <si>
    <r>
      <t>4</t>
    </r>
    <r>
      <rPr>
        <sz val="10"/>
        <color indexed="8"/>
        <rFont val="宋体"/>
        <family val="3"/>
        <charset val="134"/>
      </rPr>
      <t>号楼</t>
    </r>
    <r>
      <rPr>
        <sz val="10"/>
        <color indexed="8"/>
        <rFont val="Arial"/>
        <family val="2"/>
      </rPr>
      <t>B102</t>
    </r>
    <phoneticPr fontId="4" type="noConversion"/>
  </si>
  <si>
    <r>
      <t>4</t>
    </r>
    <r>
      <rPr>
        <sz val="10"/>
        <color indexed="8"/>
        <rFont val="宋体"/>
        <family val="3"/>
        <charset val="134"/>
      </rPr>
      <t>号楼</t>
    </r>
    <r>
      <rPr>
        <sz val="10"/>
        <color indexed="8"/>
        <rFont val="Arial"/>
        <family val="2"/>
      </rPr>
      <t>B103</t>
    </r>
    <r>
      <rPr>
        <sz val="11"/>
        <color theme="1"/>
        <rFont val="宋体"/>
        <family val="2"/>
        <charset val="134"/>
        <scheme val="minor"/>
      </rPr>
      <t/>
    </r>
  </si>
  <si>
    <r>
      <t>4</t>
    </r>
    <r>
      <rPr>
        <sz val="10"/>
        <color indexed="8"/>
        <rFont val="宋体"/>
        <family val="3"/>
        <charset val="134"/>
      </rPr>
      <t>号楼</t>
    </r>
    <r>
      <rPr>
        <sz val="10"/>
        <color indexed="8"/>
        <rFont val="Arial"/>
        <family val="2"/>
      </rPr>
      <t>B104</t>
    </r>
    <r>
      <rPr>
        <sz val="11"/>
        <color theme="1"/>
        <rFont val="宋体"/>
        <family val="2"/>
        <charset val="134"/>
        <scheme val="minor"/>
      </rPr>
      <t/>
    </r>
  </si>
  <si>
    <r>
      <t>4</t>
    </r>
    <r>
      <rPr>
        <sz val="10"/>
        <color indexed="8"/>
        <rFont val="宋体"/>
        <family val="3"/>
        <charset val="134"/>
      </rPr>
      <t>号楼</t>
    </r>
    <r>
      <rPr>
        <sz val="10"/>
        <color indexed="8"/>
        <rFont val="Arial"/>
        <family val="2"/>
      </rPr>
      <t>B105</t>
    </r>
    <r>
      <rPr>
        <sz val="11"/>
        <color theme="1"/>
        <rFont val="宋体"/>
        <family val="2"/>
        <charset val="134"/>
        <scheme val="minor"/>
      </rPr>
      <t/>
    </r>
  </si>
  <si>
    <r>
      <t>4</t>
    </r>
    <r>
      <rPr>
        <sz val="10"/>
        <color indexed="8"/>
        <rFont val="宋体"/>
        <family val="3"/>
        <charset val="134"/>
      </rPr>
      <t>号楼</t>
    </r>
    <r>
      <rPr>
        <sz val="10"/>
        <color indexed="8"/>
        <rFont val="Arial"/>
        <family val="2"/>
      </rPr>
      <t>B106</t>
    </r>
    <r>
      <rPr>
        <sz val="11"/>
        <color theme="1"/>
        <rFont val="宋体"/>
        <family val="2"/>
        <charset val="134"/>
        <scheme val="minor"/>
      </rPr>
      <t/>
    </r>
  </si>
  <si>
    <r>
      <t>4</t>
    </r>
    <r>
      <rPr>
        <sz val="10"/>
        <color indexed="8"/>
        <rFont val="宋体"/>
        <family val="3"/>
        <charset val="134"/>
      </rPr>
      <t>号楼</t>
    </r>
    <r>
      <rPr>
        <sz val="10"/>
        <color indexed="8"/>
        <rFont val="Arial"/>
        <family val="2"/>
      </rPr>
      <t>B107</t>
    </r>
    <r>
      <rPr>
        <sz val="11"/>
        <color theme="1"/>
        <rFont val="宋体"/>
        <family val="2"/>
        <charset val="134"/>
        <scheme val="minor"/>
      </rPr>
      <t/>
    </r>
  </si>
  <si>
    <t>多面临街</t>
    <phoneticPr fontId="4" type="noConversion"/>
  </si>
  <si>
    <t>双面临街</t>
    <phoneticPr fontId="4" type="noConversion"/>
  </si>
  <si>
    <t>单面临街</t>
    <phoneticPr fontId="4" type="noConversion"/>
  </si>
  <si>
    <t>不临街</t>
    <phoneticPr fontId="4" type="noConversion"/>
  </si>
  <si>
    <r>
      <t>1-2</t>
    </r>
    <r>
      <rPr>
        <sz val="11"/>
        <color indexed="8"/>
        <rFont val="宋体"/>
        <family val="3"/>
        <charset val="134"/>
      </rPr>
      <t>层</t>
    </r>
    <phoneticPr fontId="4" type="noConversion"/>
  </si>
  <si>
    <r>
      <t>1</t>
    </r>
    <r>
      <rPr>
        <sz val="11"/>
        <color indexed="8"/>
        <rFont val="宋体"/>
        <family val="3"/>
        <charset val="134"/>
      </rPr>
      <t>层</t>
    </r>
    <phoneticPr fontId="4" type="noConversion"/>
  </si>
  <si>
    <t>商业街商业</t>
    <phoneticPr fontId="4" type="noConversion"/>
  </si>
  <si>
    <t>独栋商业</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</si>
  <si>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</si>
  <si>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</si>
  <si>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</si>
  <si>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</si>
  <si>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</si>
  <si>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</si>
  <si>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</si>
  <si>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</si>
  <si>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</si>
  <si>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</si>
  <si>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</si>
  <si>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r>
      <t>1-2</t>
    </r>
    <r>
      <rPr>
        <sz val="10"/>
        <color indexed="8"/>
        <rFont val="宋体"/>
        <family val="3"/>
        <charset val="134"/>
      </rPr>
      <t>层</t>
    </r>
    <phoneticPr fontId="4" type="noConversion"/>
  </si>
  <si>
    <t>下沉式广场</t>
    <phoneticPr fontId="4" type="noConversion"/>
  </si>
  <si>
    <t>1-2层</t>
  </si>
  <si>
    <t>下沉式广场</t>
  </si>
  <si>
    <t>园博府商业</t>
    <phoneticPr fontId="4" type="noConversion"/>
  </si>
  <si>
    <t>正常</t>
  </si>
  <si>
    <t>商业</t>
    <phoneticPr fontId="32" type="noConversion"/>
  </si>
  <si>
    <t>30-40（含）</t>
  </si>
  <si>
    <t>一般</t>
    <phoneticPr fontId="26" type="noConversion"/>
  </si>
  <si>
    <t>总部基地</t>
    <phoneticPr fontId="4" type="noConversion"/>
  </si>
  <si>
    <t>单面临街</t>
  </si>
  <si>
    <t>大</t>
    <phoneticPr fontId="32" type="noConversion"/>
  </si>
  <si>
    <t>较大</t>
    <phoneticPr fontId="32" type="noConversion"/>
  </si>
  <si>
    <t>一般</t>
    <phoneticPr fontId="32" type="noConversion"/>
  </si>
  <si>
    <t>较小</t>
    <phoneticPr fontId="32" type="noConversion"/>
  </si>
  <si>
    <t>小</t>
    <phoneticPr fontId="32" type="noConversion"/>
  </si>
  <si>
    <t>钢混</t>
    <phoneticPr fontId="32" type="noConversion"/>
  </si>
  <si>
    <t>写字楼底商</t>
  </si>
  <si>
    <t>写字楼底商</t>
    <phoneticPr fontId="4" type="noConversion"/>
  </si>
  <si>
    <t>住宅底商</t>
  </si>
  <si>
    <t>住宅底商</t>
    <phoneticPr fontId="32" type="noConversion"/>
  </si>
  <si>
    <t>普装</t>
  </si>
  <si>
    <t>资和信商业</t>
    <phoneticPr fontId="32" type="noConversion"/>
  </si>
  <si>
    <t>可餐饮</t>
  </si>
  <si>
    <t>1层</t>
  </si>
  <si>
    <t>简装</t>
  </si>
  <si>
    <t>独栋商业</t>
  </si>
  <si>
    <t>典型户型修正</t>
  </si>
  <si>
    <t>典型户型修正</t>
    <phoneticPr fontId="17" type="noConversion"/>
  </si>
  <si>
    <t>20-30（含）</t>
  </si>
  <si>
    <t>不可餐饮</t>
  </si>
  <si>
    <t>起始</t>
    <phoneticPr fontId="144" type="noConversion"/>
  </si>
  <si>
    <t>终止</t>
    <phoneticPr fontId="144" type="noConversion"/>
  </si>
  <si>
    <t>年租金</t>
    <phoneticPr fontId="144" type="noConversion"/>
  </si>
  <si>
    <t>收益年期</t>
    <phoneticPr fontId="144" type="noConversion"/>
  </si>
  <si>
    <t>建筑面积</t>
    <phoneticPr fontId="144" type="noConversion"/>
  </si>
  <si>
    <t>日租金</t>
    <phoneticPr fontId="144" type="noConversion"/>
  </si>
  <si>
    <t>收益法（3号楼）</t>
  </si>
  <si>
    <t>收益法（3号楼）</t>
    <phoneticPr fontId="17" type="noConversion"/>
  </si>
  <si>
    <t>收益法（汇总）</t>
  </si>
  <si>
    <t>需扣减承租人权益</t>
  </si>
  <si>
    <t>收益法 (4号楼)</t>
  </si>
  <si>
    <t>收益法 (4号楼)</t>
    <phoneticPr fontId="17" type="noConversion"/>
  </si>
  <si>
    <t>自定义</t>
  </si>
  <si>
    <t>合计</t>
    <phoneticPr fontId="144" type="noConversion"/>
  </si>
  <si>
    <t>序号</t>
    <phoneticPr fontId="144" type="noConversion"/>
  </si>
  <si>
    <t>坐落</t>
    <phoneticPr fontId="144" type="noConversion"/>
  </si>
  <si>
    <t>丰台区万兴路1号院3号楼</t>
    <phoneticPr fontId="144" type="noConversion"/>
  </si>
  <si>
    <t>丰台区万兴路1号院4号楼B01</t>
    <phoneticPr fontId="144" type="noConversion"/>
  </si>
  <si>
    <t>丰台区万兴路1号院4号楼B02</t>
  </si>
  <si>
    <t>丰台区万兴路1号院4号楼B03</t>
  </si>
  <si>
    <t>丰台区万兴路1号院4号楼B04</t>
  </si>
  <si>
    <t>丰台区万兴路1号院4号楼B05</t>
  </si>
  <si>
    <t>丰台区万兴路1号院4号楼B06</t>
  </si>
  <si>
    <t>丰台区万兴路1号院4号楼B07</t>
  </si>
  <si>
    <t>建筑面积</t>
    <phoneticPr fontId="144" type="noConversion"/>
  </si>
  <si>
    <t>楼层</t>
    <phoneticPr fontId="144" type="noConversion"/>
  </si>
  <si>
    <t>——</t>
    <phoneticPr fontId="144" type="noConversion"/>
  </si>
  <si>
    <t>0（-1）</t>
    <phoneticPr fontId="144" type="noConversion"/>
  </si>
  <si>
    <t>规划用途</t>
    <phoneticPr fontId="144" type="noConversion"/>
  </si>
  <si>
    <t>商业</t>
    <phoneticPr fontId="144" type="noConversion"/>
  </si>
  <si>
    <t>实际用途</t>
    <phoneticPr fontId="144" type="noConversion"/>
  </si>
  <si>
    <t>办公</t>
    <phoneticPr fontId="144" type="noConversion"/>
  </si>
  <si>
    <t>海淀区苏州街55号8层802</t>
    <phoneticPr fontId="144" type="noConversion"/>
  </si>
  <si>
    <t>海淀区苏州街55号8层803</t>
    <phoneticPr fontId="144" type="noConversion"/>
  </si>
  <si>
    <t>12（-3）</t>
    <phoneticPr fontId="144" type="noConversion"/>
  </si>
  <si>
    <t>综合</t>
    <phoneticPr fontId="144" type="noConversion"/>
  </si>
  <si>
    <r>
      <rPr>
        <sz val="12"/>
        <color theme="9" tint="-0.249977111117893"/>
        <rFont val="宋体"/>
        <family val="3"/>
        <charset val="134"/>
      </rPr>
      <t>商业</t>
    </r>
    <r>
      <rPr>
        <sz val="12"/>
        <color theme="9" tint="-0.249977111117893"/>
        <rFont val="Arial"/>
        <family val="2"/>
      </rPr>
      <t>31.46</t>
    </r>
    <r>
      <rPr>
        <sz val="12"/>
        <color theme="9" tint="-0.249977111117893"/>
        <rFont val="宋体"/>
        <family val="3"/>
        <charset val="134"/>
      </rPr>
      <t>年</t>
    </r>
    <phoneticPr fontId="7" type="noConversion"/>
  </si>
  <si>
    <t>写字楼底商</t>
    <phoneticPr fontId="32" type="noConversion"/>
  </si>
  <si>
    <t>丰台科技园</t>
    <phoneticPr fontId="4" type="noConversion"/>
  </si>
  <si>
    <t>下沉式广场</t>
    <phoneticPr fontId="2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</si>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</sst>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14" fillId="5" borderId="5" xfId="10" applyFont="1" applyFill="1" applyBorder="1" applyAlignment="1">
      <alignment vertical="center" wrapText="1"/>
    </xf>
    <xf numFmtId="0" fontId="114" fillId="5" borderId="54" xfId="10" applyFont="1" applyFill="1" applyBorder="1" applyAlignment="1">
      <alignment vertical="center" wrapText="1"/>
    </xf>
    <xf numFmtId="0" fontId="114" fillId="5" borderId="3" xfId="10" applyFont="1" applyFill="1" applyBorder="1" applyAlignment="1">
      <alignment horizontal="center" vertical="center"/>
    </xf>
    <xf numFmtId="0" fontId="114" fillId="0" borderId="0" xfId="10" applyFont="1">
      <alignment vertical="center"/>
    </xf>
    <xf numFmtId="179" fontId="120" fillId="0" borderId="1" xfId="10" applyNumberFormat="1" applyFont="1" applyBorder="1" applyAlignment="1">
      <alignment horizontal="center" vertical="center"/>
    </xf>
    <xf numFmtId="0" fontId="114" fillId="0" borderId="1" xfId="10" applyFont="1" applyBorder="1" applyAlignment="1">
      <alignment horizontal="center" vertical="center"/>
    </xf>
    <xf numFmtId="179" fontId="114" fillId="0" borderId="1" xfId="10" applyNumberFormat="1" applyFont="1" applyBorder="1" applyAlignment="1">
      <alignment horizontal="center" vertical="center"/>
    </xf>
    <xf numFmtId="0" fontId="114" fillId="0" borderId="3" xfId="10" applyFont="1" applyBorder="1">
      <alignment vertical="center"/>
    </xf>
    <xf numFmtId="0" fontId="114" fillId="0" borderId="1" xfId="10" applyFont="1" applyFill="1" applyBorder="1" applyAlignment="1">
      <alignment horizontal="center" vertical="center"/>
    </xf>
    <xf numFmtId="0" fontId="114" fillId="0" borderId="22" xfId="10" applyFont="1" applyBorder="1">
      <alignment vertical="center"/>
    </xf>
    <xf numFmtId="179" fontId="114" fillId="5" borderId="1" xfId="10" applyNumberFormat="1" applyFont="1" applyFill="1" applyBorder="1" applyAlignment="1">
      <alignment horizontal="center" vertical="center"/>
    </xf>
    <xf numFmtId="0" fontId="114" fillId="5" borderId="1" xfId="10" applyFont="1" applyFill="1" applyBorder="1" applyAlignment="1">
      <alignment horizontal="center" vertical="center"/>
    </xf>
    <xf numFmtId="0" fontId="191" fillId="7" borderId="5" xfId="0" applyFont="1" applyFill="1" applyBorder="1" applyAlignment="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0" fillId="0" borderId="0" xfId="0" applyAlignment="1">
      <alignment horizontal="center" vertical="center"/>
    </xf>
    <xf numFmtId="0" fontId="100" fillId="0" borderId="0" xfId="0" applyFont="1" applyAlignment="1">
      <alignment horizontal="center" vertical="center"/>
    </xf>
    <xf numFmtId="14" fontId="0" fillId="0" borderId="0" xfId="0" applyNumberFormat="1" applyAlignment="1">
      <alignment horizontal="center" vertical="center"/>
    </xf>
    <xf numFmtId="14" fontId="100" fillId="0" borderId="0" xfId="0" applyNumberFormat="1" applyFont="1" applyAlignment="1">
      <alignment horizontal="center" vertical="center"/>
    </xf>
    <xf numFmtId="2" fontId="0" fillId="0" borderId="0" xfId="0" applyNumberFormat="1" applyAlignment="1">
      <alignment horizontal="center" vertical="center"/>
    </xf>
    <xf numFmtId="2" fontId="48" fillId="0" borderId="23" xfId="0" applyNumberFormat="1" applyFont="1" applyBorder="1" applyAlignment="1" applyProtection="1">
      <alignment vertical="center"/>
      <protection locked="0"/>
    </xf>
    <xf numFmtId="0" fontId="114" fillId="0" borderId="0" xfId="0" applyFont="1" applyAlignment="1">
      <alignment horizontal="center" vertical="center"/>
    </xf>
    <xf numFmtId="0" fontId="114" fillId="0" borderId="1" xfId="0" applyFont="1" applyBorder="1" applyAlignment="1">
      <alignment horizontal="center" vertical="center"/>
    </xf>
    <xf numFmtId="0" fontId="99" fillId="2" borderId="6" xfId="0"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0" fillId="0" borderId="13" xfId="10" applyFont="1" applyBorder="1" applyAlignment="1">
      <alignment horizontal="center" vertical="center" wrapText="1"/>
    </xf>
    <xf numFmtId="0" fontId="120" fillId="0" borderId="15" xfId="10" applyFont="1" applyBorder="1" applyAlignment="1">
      <alignment horizontal="center" vertical="center" wrapText="1"/>
    </xf>
    <xf numFmtId="0" fontId="120" fillId="0" borderId="2" xfId="10" applyFont="1" applyBorder="1" applyAlignment="1">
      <alignment horizontal="center" vertical="center" wrapText="1"/>
    </xf>
    <xf numFmtId="0" fontId="120" fillId="0" borderId="5" xfId="10" applyFont="1" applyBorder="1" applyAlignment="1">
      <alignment horizontal="center" vertical="center"/>
    </xf>
    <xf numFmtId="0" fontId="120" fillId="0" borderId="54" xfId="10" applyFont="1" applyBorder="1" applyAlignment="1">
      <alignment horizontal="center" vertical="center"/>
    </xf>
    <xf numFmtId="0" fontId="120" fillId="0" borderId="13" xfId="10" applyFont="1" applyBorder="1" applyAlignment="1">
      <alignment horizontal="center" vertical="center"/>
    </xf>
    <xf numFmtId="0" fontId="120" fillId="0" borderId="2" xfId="10" applyFont="1" applyBorder="1" applyAlignment="1">
      <alignment horizontal="center" vertical="center"/>
    </xf>
    <xf numFmtId="179" fontId="120" fillId="0" borderId="5" xfId="10" applyNumberFormat="1" applyFont="1" applyBorder="1" applyAlignment="1">
      <alignment horizontal="center" vertical="center"/>
    </xf>
    <xf numFmtId="179" fontId="120" fillId="0" borderId="54" xfId="10" applyNumberFormat="1" applyFont="1" applyBorder="1" applyAlignment="1">
      <alignment horizontal="center" vertical="center"/>
    </xf>
    <xf numFmtId="179" fontId="120" fillId="0" borderId="3" xfId="10" applyNumberFormat="1" applyFont="1" applyBorder="1" applyAlignment="1">
      <alignment horizontal="center" vertical="center"/>
    </xf>
    <xf numFmtId="0" fontId="114" fillId="0" borderId="13" xfId="10" applyFont="1" applyBorder="1" applyAlignment="1">
      <alignment horizontal="center" vertical="center" wrapText="1"/>
    </xf>
    <xf numFmtId="0" fontId="114" fillId="0" borderId="15" xfId="10" applyFont="1" applyBorder="1" applyAlignment="1">
      <alignment horizontal="center" vertical="center" wrapText="1"/>
    </xf>
    <xf numFmtId="0" fontId="114" fillId="0" borderId="13" xfId="10" applyFont="1" applyBorder="1" applyAlignment="1">
      <alignment horizontal="center" vertical="center"/>
    </xf>
    <xf numFmtId="0" fontId="114" fillId="0" borderId="15" xfId="10" applyFont="1" applyBorder="1" applyAlignment="1">
      <alignment horizontal="center" vertical="center"/>
    </xf>
    <xf numFmtId="0" fontId="114" fillId="7" borderId="13" xfId="10" applyFont="1" applyFill="1" applyBorder="1" applyAlignment="1">
      <alignment horizontal="center" vertical="center"/>
    </xf>
    <xf numFmtId="0" fontId="114" fillId="7" borderId="15" xfId="10" applyFont="1" applyFill="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14" fillId="0" borderId="1"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152964</xdr:colOff>
      <xdr:row>20</xdr:row>
      <xdr:rowOff>171000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696763" cy="3600000"/>
        </a:xfrm>
        <a:prstGeom prst="rect">
          <a:avLst/>
        </a:prstGeom>
      </xdr:spPr>
    </xdr:pic>
    <xdr:clientData/>
  </xdr:twoCellAnchor>
  <xdr:twoCellAnchor editAs="oneCell">
    <xdr:from>
      <xdr:col>0</xdr:col>
      <xdr:colOff>1</xdr:colOff>
      <xdr:row>21</xdr:row>
      <xdr:rowOff>0</xdr:rowOff>
    </xdr:from>
    <xdr:to>
      <xdr:col>11</xdr:col>
      <xdr:colOff>142875</xdr:colOff>
      <xdr:row>31</xdr:row>
      <xdr:rowOff>47405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600450"/>
          <a:ext cx="7686674" cy="1761905"/>
        </a:xfrm>
        <a:prstGeom prst="rect">
          <a:avLst/>
        </a:prstGeom>
      </xdr:spPr>
    </xdr:pic>
    <xdr:clientData/>
  </xdr:twoCellAnchor>
  <xdr:twoCellAnchor editAs="oneCell">
    <xdr:from>
      <xdr:col>0</xdr:col>
      <xdr:colOff>0</xdr:colOff>
      <xdr:row>36</xdr:row>
      <xdr:rowOff>0</xdr:rowOff>
    </xdr:from>
    <xdr:to>
      <xdr:col>11</xdr:col>
      <xdr:colOff>136200</xdr:colOff>
      <xdr:row>56</xdr:row>
      <xdr:rowOff>171000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7680000" cy="3600000"/>
        </a:xfrm>
        <a:prstGeom prst="rect">
          <a:avLst/>
        </a:prstGeom>
      </xdr:spPr>
    </xdr:pic>
    <xdr:clientData/>
  </xdr:twoCellAnchor>
  <xdr:twoCellAnchor editAs="oneCell">
    <xdr:from>
      <xdr:col>0</xdr:col>
      <xdr:colOff>0</xdr:colOff>
      <xdr:row>57</xdr:row>
      <xdr:rowOff>0</xdr:rowOff>
    </xdr:from>
    <xdr:to>
      <xdr:col>11</xdr:col>
      <xdr:colOff>170486</xdr:colOff>
      <xdr:row>67</xdr:row>
      <xdr:rowOff>75976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772650"/>
          <a:ext cx="7714286" cy="1790476"/>
        </a:xfrm>
        <a:prstGeom prst="rect">
          <a:avLst/>
        </a:prstGeom>
      </xdr:spPr>
    </xdr:pic>
    <xdr:clientData/>
  </xdr:twoCellAnchor>
  <xdr:twoCellAnchor editAs="oneCell">
    <xdr:from>
      <xdr:col>0</xdr:col>
      <xdr:colOff>0</xdr:colOff>
      <xdr:row>72</xdr:row>
      <xdr:rowOff>0</xdr:rowOff>
    </xdr:from>
    <xdr:to>
      <xdr:col>11</xdr:col>
      <xdr:colOff>422018</xdr:colOff>
      <xdr:row>92</xdr:row>
      <xdr:rowOff>171000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344400"/>
          <a:ext cx="7965818" cy="3600000"/>
        </a:xfrm>
        <a:prstGeom prst="rect">
          <a:avLst/>
        </a:prstGeom>
      </xdr:spPr>
    </xdr:pic>
    <xdr:clientData/>
  </xdr:twoCellAnchor>
  <xdr:twoCellAnchor editAs="oneCell">
    <xdr:from>
      <xdr:col>0</xdr:col>
      <xdr:colOff>0</xdr:colOff>
      <xdr:row>93</xdr:row>
      <xdr:rowOff>0</xdr:rowOff>
    </xdr:from>
    <xdr:to>
      <xdr:col>11</xdr:col>
      <xdr:colOff>84772</xdr:colOff>
      <xdr:row>102</xdr:row>
      <xdr:rowOff>161712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944850"/>
          <a:ext cx="7628572" cy="1704762"/>
        </a:xfrm>
        <a:prstGeom prst="rect">
          <a:avLst/>
        </a:prstGeom>
      </xdr:spPr>
    </xdr:pic>
    <xdr:clientData/>
  </xdr:twoCellAnchor>
  <xdr:twoCellAnchor editAs="oneCell">
    <xdr:from>
      <xdr:col>0</xdr:col>
      <xdr:colOff>0</xdr:colOff>
      <xdr:row>107</xdr:row>
      <xdr:rowOff>0</xdr:rowOff>
    </xdr:from>
    <xdr:to>
      <xdr:col>11</xdr:col>
      <xdr:colOff>201467</xdr:colOff>
      <xdr:row>127</xdr:row>
      <xdr:rowOff>171000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345150"/>
          <a:ext cx="7745267" cy="3600000"/>
        </a:xfrm>
        <a:prstGeom prst="rect">
          <a:avLst/>
        </a:prstGeom>
      </xdr:spPr>
    </xdr:pic>
    <xdr:clientData/>
  </xdr:twoCellAnchor>
  <xdr:twoCellAnchor editAs="oneCell">
    <xdr:from>
      <xdr:col>0</xdr:col>
      <xdr:colOff>0</xdr:colOff>
      <xdr:row>128</xdr:row>
      <xdr:rowOff>0</xdr:rowOff>
    </xdr:from>
    <xdr:to>
      <xdr:col>11</xdr:col>
      <xdr:colOff>237153</xdr:colOff>
      <xdr:row>138</xdr:row>
      <xdr:rowOff>9310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945600"/>
          <a:ext cx="7780953" cy="1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53;&#21338;&#24220;3.4&#21495;&#27004;-&#38047;&#22999;&#65288;&#26368;&#32456;&#65289;-&#24352;&#24535;&#32753;20181130-1527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3号楼</v>
          </cell>
        </row>
        <row r="20">
          <cell r="C20" t="str">
            <v>4号楼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row>
        <row r="92">
          <cell r="B92" t="str">
            <v>楼层</v>
          </cell>
          <cell r="C92" t="str">
            <v>1-2层</v>
          </cell>
          <cell r="D92" t="str">
            <v>1层</v>
          </cell>
        </row>
        <row r="100">
          <cell r="B100" t="str">
            <v>商业类型</v>
          </cell>
          <cell r="C100" t="str">
            <v>商业街商业</v>
          </cell>
          <cell r="D100" t="str">
            <v>独栋商业</v>
          </cell>
          <cell r="E100" t="str">
            <v>底商</v>
          </cell>
        </row>
        <row r="105">
          <cell r="B105" t="str">
            <v>建筑结构</v>
          </cell>
          <cell r="C105" t="str">
            <v>钢</v>
          </cell>
          <cell r="D105" t="str">
            <v>钢混</v>
          </cell>
          <cell r="E105" t="str">
            <v>混合</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1-2层</v>
          </cell>
          <cell r="D17" t="str">
            <v>下沉式广场</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北京市丰台区万兴路1号院3、4号楼商业用房房地产房地产抵押价值预评估</v>
      </c>
    </row>
    <row r="3" spans="1:2" s="1593" customFormat="1">
      <c r="A3" s="1591" t="s">
        <v>1217</v>
      </c>
      <c r="B3" s="1592" t="str">
        <f>'预评函-封皮'!B40</f>
        <v>北京万年基业建设投资有限公司</v>
      </c>
    </row>
    <row r="4" spans="1:2" s="1593" customFormat="1">
      <c r="A4" s="1591" t="s">
        <v>1218</v>
      </c>
      <c r="B4" s="1592" t="str">
        <f ca="1">'预评函-封皮'!B46</f>
        <v>吴薇（注册号：1419970001)、郑燚（注册号：1120070131)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受贵公司委托，我公司对北京市丰台区万兴路1号院3、4号楼商业用房房地产房地产抵押价值进行了预评估。</v>
      </c>
    </row>
    <row r="7" spans="1:2" s="1593" customFormat="1">
      <c r="A7" s="1591" t="s">
        <v>1260</v>
      </c>
      <c r="B7" s="1592" t="str">
        <f>'预评函-1'!A7</f>
        <v>估价对象为北京市丰台区万兴路1号院3、4号楼商业用房房地产房地产，为所有。根据《国有土地使用证》[]，估价对象（分摊）出让国有建设用地使用权面积为4009平方米，建筑面积为4376.09平方米。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丰台区万兴路1号院3、4号楼商业用房房地产房地产,属开发建设的商业项目，该项目尚在开发建设中。根据《国有土地使用证》[]，估价对象（分摊）出让国有建设用地使用权面积为4009平方米，规划建筑面积为4376.09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为估价委托人在向中国华融资产管理股份有限公司北京市分公司办理贷款手续过程中，确定房地产抵押贷款额度提供参考依据而评估房地产抵押价值。</v>
      </c>
    </row>
    <row r="12" spans="1:2" s="1593" customFormat="1">
      <c r="A12" s="1591" t="s">
        <v>1222</v>
      </c>
      <c r="B12" s="1592" t="str">
        <f>'预评函-1'!A15</f>
        <v>2019年9月26日</v>
      </c>
    </row>
    <row r="13" spans="1:2" s="1593" customFormat="1">
      <c r="A13" s="1591" t="s">
        <v>1223</v>
      </c>
      <c r="B13" s="1592" t="str">
        <f>'预评函-1'!A18</f>
        <v>本次估价的“房地产价值”是指在正常市场情况下，在价值时点2019年9月26日，估价对象规划用途为商业，土地取得方式为出让，出让国有建设用地使用权剩余土地使用年限为商业31.46年，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七通”（即通路、通电、通讯、通上水、通下水、燃气、）、红线内场地平整条件下，剩余土地使用年限为商业31.46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本次评估采用的主估价方法为收益法和基准地价系数修正法。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12454</v>
      </c>
    </row>
    <row r="21" spans="1:2" s="1593" customFormat="1">
      <c r="A21" s="1591" t="s">
        <v>1231</v>
      </c>
      <c r="B21" s="1592">
        <f ca="1">'预评函-2'!D7</f>
        <v>28459</v>
      </c>
    </row>
    <row r="22" spans="1:2" s="1593" customFormat="1">
      <c r="A22" s="1591" t="s">
        <v>1232</v>
      </c>
      <c r="B22" s="1592" t="str">
        <f ca="1">'预评函-2'!D6</f>
        <v>壹亿贰仟肆佰伍拾肆万元整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12454</v>
      </c>
    </row>
    <row r="31" spans="1:2" s="1593" customFormat="1">
      <c r="A31" s="1591" t="s">
        <v>1270</v>
      </c>
      <c r="B31" s="1592">
        <f ca="1">'预评函-2'!D15</f>
        <v>28459</v>
      </c>
    </row>
    <row r="32" spans="1:2" s="1593" customFormat="1">
      <c r="A32" s="1591" t="s">
        <v>1237</v>
      </c>
      <c r="B32" s="1592" t="str">
        <f ca="1">'预评函-2'!D14</f>
        <v>壹亿贰仟肆佰伍拾肆万元整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4.抵押净值</v>
      </c>
    </row>
    <row r="38" spans="1:2" s="1593" customFormat="1">
      <c r="A38" s="1591" t="s">
        <v>1291</v>
      </c>
      <c r="B38" s="1592">
        <f ca="1">'预评函-2'!D19</f>
        <v>5399</v>
      </c>
    </row>
    <row r="39" spans="1:2" s="1593" customFormat="1">
      <c r="A39" s="1591" t="s">
        <v>1239</v>
      </c>
      <c r="B39" s="1592">
        <f ca="1">'预评函-2'!D21</f>
        <v>12337</v>
      </c>
    </row>
    <row r="40" spans="1:2" s="1593" customFormat="1">
      <c r="A40" s="1591" t="s">
        <v>1240</v>
      </c>
      <c r="B40" s="1592" t="str">
        <f ca="1">'预评函-2'!D20</f>
        <v>伍仟叁佰玖拾玖万元整</v>
      </c>
    </row>
    <row r="41" spans="1:2" s="1593" customFormat="1">
      <c r="A41" s="1591" t="s">
        <v>1286</v>
      </c>
      <c r="B41" s="1592" t="str">
        <f>'预评函-3'!A4</f>
        <v>北京市丰台区万兴路1号院3、4号楼商业用房房地产房地产</v>
      </c>
    </row>
    <row r="42" spans="1:2" s="1593" customFormat="1">
      <c r="A42" s="1591" t="s">
        <v>1284</v>
      </c>
      <c r="B42" s="1592" t="str">
        <f>'预评函-3'!B2</f>
        <v>建筑面积</v>
      </c>
    </row>
    <row r="43" spans="1:2" s="1593" customFormat="1">
      <c r="A43" s="1591" t="s">
        <v>1285</v>
      </c>
      <c r="B43" s="1592">
        <f>'预评函-3'!B4</f>
        <v>4376.09</v>
      </c>
    </row>
    <row r="44" spans="1:2" s="1593" customFormat="1">
      <c r="A44" s="1591" t="s">
        <v>1269</v>
      </c>
      <c r="B44" s="1592" t="str">
        <f>'预评函-3'!C2</f>
        <v>(分摊)土地面积</v>
      </c>
    </row>
    <row r="45" spans="1:2" s="1593" customFormat="1">
      <c r="A45" s="1591" t="s">
        <v>1241</v>
      </c>
      <c r="B45" s="1592">
        <f>'预评函-3'!C4</f>
        <v>4009</v>
      </c>
    </row>
    <row r="46" spans="1:2" s="1593" customFormat="1">
      <c r="A46" s="1591" t="s">
        <v>1267</v>
      </c>
      <c r="B46" s="1592" t="str">
        <f>'预评函-3'!D2</f>
        <v>出让国有建设用地使用权价值</v>
      </c>
    </row>
    <row r="47" spans="1:2" s="1593" customFormat="1">
      <c r="A47" s="1591" t="s">
        <v>1242</v>
      </c>
      <c r="B47" s="1592">
        <f ca="1">'预评函-3'!D4</f>
        <v>12454</v>
      </c>
    </row>
    <row r="48" spans="1:2" s="1593" customFormat="1">
      <c r="A48" s="1591" t="s">
        <v>1243</v>
      </c>
      <c r="B48" s="1592">
        <f ca="1">'预评函-3'!E4</f>
        <v>28459</v>
      </c>
    </row>
    <row r="49" spans="1:2" s="1593" customFormat="1">
      <c r="A49" s="1591" t="s">
        <v>1244</v>
      </c>
      <c r="B49" s="1592" t="str">
        <f ca="1">'预评函-3'!D5</f>
        <v>壹亿贰仟肆佰伍拾肆万元整</v>
      </c>
    </row>
    <row r="50" spans="1:2" s="1593" customFormat="1">
      <c r="A50" s="1591" t="s">
        <v>1268</v>
      </c>
      <c r="B50" s="1592" t="str">
        <f>'预评函-3'!F2</f>
        <v>在建建筑物价值</v>
      </c>
    </row>
    <row r="51" spans="1:2" s="1593" customFormat="1">
      <c r="A51" s="1591" t="s">
        <v>1245</v>
      </c>
      <c r="B51" s="1592">
        <f ca="1">'预评函-3'!F4</f>
        <v>0</v>
      </c>
    </row>
    <row r="52" spans="1:2" s="1593" customFormat="1">
      <c r="A52" s="1591" t="s">
        <v>1246</v>
      </c>
      <c r="B52" s="1592">
        <f ca="1">'预评函-3'!G4</f>
        <v>0</v>
      </c>
    </row>
    <row r="53" spans="1:2" s="1593" customFormat="1">
      <c r="A53" s="1591" t="s">
        <v>1274</v>
      </c>
      <c r="B53" s="1592" t="str">
        <f ca="1">'预评函-3'!F5</f>
        <v>零元整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抵押净值</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abSelected="1" workbookViewId="0">
      <selection activeCell="F17" sqref="F17"/>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3167</v>
      </c>
      <c r="C18" s="2014"/>
    </row>
    <row r="19" spans="1:3">
      <c r="A19" s="2013" t="s">
        <v>1762</v>
      </c>
      <c r="B19" s="2013" t="s">
        <v>3177</v>
      </c>
      <c r="C19" s="2014"/>
    </row>
    <row r="20" spans="1:3">
      <c r="A20" s="2013" t="s">
        <v>1763</v>
      </c>
      <c r="B20" s="2013" t="s">
        <v>3181</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建设投资有限公司拟使用北京市丰台区万兴路1号院3、4号楼商业用房房地产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5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3"/>
      <c r="B54" s="2021" t="s">
        <v>861</v>
      </c>
      <c r="C54" s="2018" t="s">
        <v>1277</v>
      </c>
    </row>
    <row r="55" spans="1:4">
      <c r="A55" s="3053"/>
      <c r="B55" s="2021" t="s">
        <v>862</v>
      </c>
      <c r="C55" s="2018" t="s">
        <v>1278</v>
      </c>
    </row>
    <row r="56" spans="1:4">
      <c r="A56" s="3053"/>
      <c r="B56" s="2021" t="s">
        <v>863</v>
      </c>
      <c r="C56" s="2018" t="s">
        <v>1282</v>
      </c>
    </row>
    <row r="57" spans="1:4">
      <c r="A57" s="305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L30" sqref="L3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1770</v>
      </c>
      <c r="B1" s="3054" t="str">
        <f>IF(B10="北京市","北京市",C10)&amp;F10&amp;IF(结果表!G1="在建","出让国有建设用地使用权及在建建筑物",IF(结果表!G1="土地","出让国有建设用地使用权",))&amp;B9&amp;"预评估"</f>
        <v>北京市丰台区万兴路1号院3、4号楼商业用房房地产房地产抵押价值预评估</v>
      </c>
      <c r="C1" s="3055"/>
      <c r="D1" s="3055"/>
      <c r="E1" s="3055"/>
      <c r="F1" s="3055"/>
      <c r="G1" s="3055"/>
      <c r="H1" s="3055"/>
      <c r="I1" s="305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北京市丰台区万兴路1号院3、4号楼商业用房房地产房地产抵押价值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北京市丰台区万兴路1号院3、4号楼商业用房房地产房地产</v>
      </c>
    </row>
    <row r="3" spans="1:19" ht="18" customHeight="1">
      <c r="A3" s="2034" t="s">
        <v>1772</v>
      </c>
      <c r="B3" s="2035"/>
      <c r="C3" s="2036" t="s">
        <v>1773</v>
      </c>
      <c r="D3" s="2035">
        <v>43734</v>
      </c>
      <c r="E3" s="2025"/>
      <c r="F3" s="2025"/>
      <c r="G3" s="2025"/>
      <c r="H3" s="2025"/>
      <c r="I3" s="2025"/>
      <c r="J3" s="2025"/>
      <c r="K3" s="2026"/>
      <c r="L3" s="2027"/>
      <c r="M3" s="2027"/>
      <c r="N3" s="2028"/>
      <c r="O3" s="2029"/>
      <c r="P3" s="2028"/>
      <c r="Q3" s="2028"/>
      <c r="R3" s="2028"/>
      <c r="S3" s="2030"/>
    </row>
    <row r="4" spans="1:19" ht="18" customHeight="1" thickBot="1">
      <c r="A4" s="2037" t="s">
        <v>1774</v>
      </c>
      <c r="B4" s="2038" t="s">
        <v>3073</v>
      </c>
      <c r="C4" s="1037">
        <f ca="1">SUMIF(注册房地产估价师,B4,估价师及机构信息!B3:B24)</f>
        <v>1419970001</v>
      </c>
      <c r="D4" s="2038" t="s">
        <v>3074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1775</v>
      </c>
      <c r="B5" s="2981" t="s">
        <v>3075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80" t="s">
        <v>3072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982" t="s">
        <v>3075</v>
      </c>
      <c r="C7" s="2047"/>
      <c r="D7" s="2048"/>
      <c r="E7" s="2033"/>
      <c r="F7" s="2041"/>
      <c r="G7" s="2041"/>
      <c r="H7" s="2041"/>
      <c r="I7" s="2041"/>
      <c r="J7" s="2041"/>
      <c r="K7" s="2050"/>
      <c r="L7" s="2027"/>
      <c r="M7" s="2027"/>
      <c r="N7" s="2028"/>
      <c r="O7" s="2029"/>
      <c r="P7" s="2028"/>
      <c r="Q7" s="2028"/>
      <c r="R7" s="2028"/>
    </row>
    <row r="8" spans="1:19" ht="18" customHeight="1">
      <c r="A8" s="2046" t="s">
        <v>1778</v>
      </c>
      <c r="B8" s="2051" t="s">
        <v>3076</v>
      </c>
      <c r="C8" s="2052"/>
      <c r="D8" s="3057" t="s">
        <v>1779</v>
      </c>
      <c r="E8" s="2053" t="s">
        <v>3077</v>
      </c>
      <c r="F8" s="2054"/>
      <c r="G8" s="2025"/>
      <c r="H8" s="2025"/>
      <c r="I8" s="2025"/>
      <c r="J8" s="2041"/>
      <c r="K8" s="2042"/>
      <c r="L8" s="2027"/>
      <c r="M8" s="2027"/>
      <c r="N8" s="2028"/>
      <c r="O8" s="2029"/>
      <c r="P8" s="2028"/>
      <c r="Q8" s="2028"/>
      <c r="R8" s="2028"/>
    </row>
    <row r="9" spans="1:19" ht="18" customHeight="1" thickBot="1">
      <c r="A9" s="2039" t="s">
        <v>1780</v>
      </c>
      <c r="B9" s="2055" t="s">
        <v>3077</v>
      </c>
      <c r="C9" s="2056"/>
      <c r="D9" s="3058"/>
      <c r="E9" s="2055" t="s">
        <v>1281</v>
      </c>
      <c r="F9" s="2057"/>
      <c r="G9" s="2058"/>
      <c r="H9" s="2058"/>
      <c r="I9" s="2058"/>
      <c r="J9" s="2041"/>
      <c r="K9" s="2050"/>
      <c r="L9" s="2027"/>
      <c r="M9" s="2027"/>
      <c r="N9" s="2028"/>
      <c r="O9" s="2029"/>
      <c r="P9" s="2028"/>
      <c r="Q9" s="2028"/>
      <c r="R9" s="2028"/>
    </row>
    <row r="10" spans="1:19" ht="18" customHeight="1" thickTop="1">
      <c r="A10" s="2059" t="s">
        <v>1781</v>
      </c>
      <c r="B10" s="2060" t="s">
        <v>3078</v>
      </c>
      <c r="C10" s="2061"/>
      <c r="D10" s="2045"/>
      <c r="E10" s="2062" t="s">
        <v>1782</v>
      </c>
      <c r="F10" s="2063" t="s">
        <v>3079</v>
      </c>
      <c r="G10" s="2064"/>
      <c r="H10" s="2065"/>
      <c r="I10" s="2045"/>
      <c r="J10" s="2041"/>
      <c r="K10" s="2050"/>
      <c r="L10" s="2027"/>
      <c r="M10" s="2027"/>
      <c r="N10" s="2028"/>
      <c r="O10" s="2029"/>
      <c r="P10" s="2028"/>
      <c r="Q10" s="2028"/>
      <c r="R10" s="2028"/>
    </row>
    <row r="11" spans="1:19" ht="18" customHeight="1">
      <c r="A11" s="2066" t="s">
        <v>1783</v>
      </c>
      <c r="B11" s="2067" t="s">
        <v>3080</v>
      </c>
      <c r="C11" s="2068"/>
      <c r="D11" s="2069"/>
      <c r="E11" s="2041"/>
      <c r="F11" s="2041"/>
      <c r="G11" s="2041"/>
      <c r="H11" s="2041"/>
      <c r="I11" s="2041"/>
      <c r="J11" s="2041"/>
      <c r="K11" s="2050"/>
      <c r="L11" s="2027"/>
      <c r="M11" s="2027"/>
      <c r="N11" s="2028"/>
      <c r="O11" s="2029"/>
      <c r="P11" s="2028"/>
      <c r="Q11" s="2028"/>
      <c r="R11" s="2028"/>
    </row>
    <row r="12" spans="1:19" ht="18" customHeight="1">
      <c r="A12" s="2070" t="s">
        <v>1784</v>
      </c>
      <c r="B12" s="2067" t="s">
        <v>3081</v>
      </c>
      <c r="C12" s="2071" t="s">
        <v>1785</v>
      </c>
      <c r="D12" s="2072" t="s">
        <v>1786</v>
      </c>
      <c r="E12" s="2072" t="s">
        <v>1787</v>
      </c>
      <c r="F12" s="2072" t="s">
        <v>1788</v>
      </c>
      <c r="G12" s="2072" t="s">
        <v>1789</v>
      </c>
      <c r="H12" s="2072" t="s">
        <v>1790</v>
      </c>
      <c r="I12" s="2072" t="s">
        <v>1791</v>
      </c>
      <c r="J12" s="2041"/>
      <c r="K12" s="2050"/>
      <c r="L12" s="2027"/>
      <c r="M12" s="2027"/>
      <c r="N12" s="2028"/>
      <c r="O12" s="2029"/>
      <c r="P12" s="2028"/>
      <c r="Q12" s="2028"/>
      <c r="R12" s="2028"/>
    </row>
    <row r="13" spans="1:19" ht="18" customHeight="1">
      <c r="A13" s="2073"/>
      <c r="B13" s="2074"/>
      <c r="C13" s="2075" t="s">
        <v>1792</v>
      </c>
      <c r="D13" s="2076"/>
      <c r="E13" s="2076">
        <v>55220</v>
      </c>
      <c r="F13" s="2076"/>
      <c r="G13" s="2076"/>
      <c r="H13" s="2076"/>
      <c r="I13" s="1047"/>
      <c r="J13" s="2041"/>
      <c r="K13" s="2050"/>
      <c r="L13" s="2027"/>
      <c r="M13" s="2027"/>
      <c r="N13" s="2028"/>
      <c r="O13" s="2029"/>
      <c r="P13" s="2028"/>
      <c r="Q13" s="2028"/>
      <c r="R13" s="2028"/>
    </row>
    <row r="14" spans="1:19" ht="18" customHeight="1">
      <c r="A14" s="2073"/>
      <c r="B14" s="2074"/>
      <c r="C14" s="2075" t="s">
        <v>1793</v>
      </c>
      <c r="D14" s="1050"/>
      <c r="E14" s="1050">
        <v>40</v>
      </c>
      <c r="F14" s="1050"/>
      <c r="G14" s="1050"/>
      <c r="H14" s="1050"/>
      <c r="I14" s="1050"/>
      <c r="J14" s="2041"/>
      <c r="K14" s="2077"/>
      <c r="L14" s="2027"/>
      <c r="M14" s="2027"/>
      <c r="N14" s="2028"/>
      <c r="O14" s="2029"/>
      <c r="P14" s="2028"/>
      <c r="Q14" s="2028"/>
      <c r="R14" s="2028"/>
    </row>
    <row r="15" spans="1:19" ht="18" customHeight="1">
      <c r="A15" s="2059"/>
      <c r="B15" s="2078"/>
      <c r="C15" s="2075" t="s">
        <v>1794</v>
      </c>
      <c r="D15" s="1049" t="str">
        <f>IF(B12="出让",IF(D13="","",ROUNDDOWN(MIN((D13-$D$3)/365,D14),2)),D14)</f>
        <v/>
      </c>
      <c r="E15" s="1049">
        <f>IF(B12="出让",IF(E13="","",ROUNDDOWN(MIN((E13-$D$3)/365,E14),2)),E14)</f>
        <v>31.46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1795</v>
      </c>
      <c r="B16" s="3064" t="s">
        <v>3082</v>
      </c>
      <c r="C16" s="3065"/>
      <c r="D16" s="3066"/>
      <c r="E16" s="2082" t="s">
        <v>1796</v>
      </c>
      <c r="F16" s="3067" t="s">
        <v>3206</v>
      </c>
      <c r="G16" s="3068"/>
      <c r="H16" s="3068"/>
      <c r="I16" s="3069"/>
      <c r="J16" s="2028"/>
      <c r="K16" s="2079"/>
      <c r="L16" s="2080"/>
      <c r="M16" s="2080"/>
      <c r="N16" s="2081"/>
      <c r="O16" s="2080"/>
      <c r="P16" s="2081"/>
      <c r="Q16" s="2028"/>
      <c r="R16" s="2028"/>
    </row>
    <row r="17" spans="1:22" ht="18" customHeight="1">
      <c r="A17" s="2083" t="s">
        <v>1797</v>
      </c>
      <c r="B17" s="2034" t="s">
        <v>1798</v>
      </c>
      <c r="C17" s="1054">
        <f>'数据-汇总表'!E3</f>
        <v>4376.09</v>
      </c>
      <c r="D17" s="2084" t="s">
        <v>1799</v>
      </c>
      <c r="E17" s="3070" t="s">
        <v>1800</v>
      </c>
      <c r="F17" s="3071"/>
      <c r="G17" s="3071"/>
      <c r="H17" s="3071"/>
      <c r="I17" s="3072"/>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4009</v>
      </c>
      <c r="D18" s="2087" t="s">
        <v>1799</v>
      </c>
      <c r="E18" s="3073" t="s">
        <v>1803</v>
      </c>
      <c r="F18" s="3074"/>
      <c r="G18" s="3074"/>
      <c r="H18" s="3074"/>
      <c r="I18" s="3075"/>
      <c r="J18" s="2028"/>
      <c r="K18" s="2085"/>
      <c r="L18" s="2080"/>
      <c r="M18" s="2080"/>
      <c r="N18" s="2081"/>
      <c r="O18" s="2080"/>
      <c r="P18" s="2081"/>
      <c r="Q18" s="2028"/>
      <c r="R18" s="2028"/>
      <c r="S18" s="2028"/>
      <c r="T18" s="2028"/>
      <c r="U18" s="2028"/>
      <c r="V18" s="2028"/>
    </row>
    <row r="19" spans="1:22" ht="37.5" customHeight="1" thickTop="1" thickBot="1">
      <c r="A19" s="373" t="s">
        <v>1804</v>
      </c>
      <c r="B19" s="352" t="s">
        <v>1805</v>
      </c>
      <c r="C19" s="2088"/>
      <c r="D19" s="2089" t="s">
        <v>1806</v>
      </c>
      <c r="E19" s="2090"/>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1807</v>
      </c>
      <c r="B20" s="3060" t="s">
        <v>1808</v>
      </c>
      <c r="C20" s="3061"/>
      <c r="D20" s="3062" t="s">
        <v>1809</v>
      </c>
      <c r="E20" s="3063"/>
      <c r="F20" s="2094" t="s">
        <v>1810</v>
      </c>
      <c r="G20" s="2041"/>
      <c r="H20" s="2041"/>
      <c r="I20" s="2041"/>
      <c r="J20" s="2041"/>
      <c r="K20" s="305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1812</v>
      </c>
      <c r="C21" s="2096" t="s">
        <v>1813</v>
      </c>
      <c r="D21" s="2097" t="s">
        <v>1814</v>
      </c>
      <c r="E21" s="2098" t="s">
        <v>1813</v>
      </c>
      <c r="F21" s="2099"/>
      <c r="G21" s="2041"/>
      <c r="H21" s="2041"/>
      <c r="I21" s="2041"/>
      <c r="J21" s="2041"/>
      <c r="K21" s="305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1815</v>
      </c>
      <c r="C22" s="2096" t="s">
        <v>1816</v>
      </c>
      <c r="D22" s="2025"/>
      <c r="E22" s="2025"/>
      <c r="F22" s="2101"/>
      <c r="G22" s="2041"/>
      <c r="H22" s="2041"/>
      <c r="I22" s="2041"/>
      <c r="J22" s="2041"/>
      <c r="K22" s="305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1817</v>
      </c>
      <c r="B23" s="183" t="s">
        <v>1818</v>
      </c>
      <c r="C23" s="2103"/>
      <c r="D23" s="2104" t="s">
        <v>1818</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1819</v>
      </c>
      <c r="C24" s="2108"/>
      <c r="D24" s="2102" t="s">
        <v>1819</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1820</v>
      </c>
      <c r="C25" s="2108"/>
      <c r="D25" s="2102" t="s">
        <v>1820</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1821</v>
      </c>
      <c r="C26" s="2112"/>
      <c r="D26" s="2113" t="s">
        <v>1822</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77" t="s">
        <v>1823</v>
      </c>
      <c r="B27" s="2059" t="s">
        <v>1824</v>
      </c>
      <c r="C27" s="2116" t="s">
        <v>3083</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77"/>
      <c r="B28" s="2034" t="s">
        <v>1825</v>
      </c>
      <c r="C28" s="2118" t="s">
        <v>3084</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77"/>
      <c r="B29" s="2034" t="s">
        <v>1826</v>
      </c>
      <c r="C29" s="2121" t="s">
        <v>3085</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78"/>
      <c r="B30" s="2034" t="s">
        <v>1827</v>
      </c>
      <c r="C30" s="3079"/>
      <c r="D30" s="3080"/>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81" t="s">
        <v>1828</v>
      </c>
      <c r="B31" s="2123" t="s">
        <v>3086</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82"/>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82"/>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30" t="s">
        <v>3087</v>
      </c>
      <c r="C34" s="2130" t="s">
        <v>3088</v>
      </c>
      <c r="D34" s="2130" t="s">
        <v>3089</v>
      </c>
      <c r="E34" s="2130" t="s">
        <v>3090</v>
      </c>
      <c r="F34" s="2130" t="s">
        <v>3091</v>
      </c>
      <c r="G34" s="2130" t="s">
        <v>3092</v>
      </c>
      <c r="H34" s="2130"/>
      <c r="I34" s="2041"/>
      <c r="J34" s="2041"/>
      <c r="K34" s="1795">
        <f>COUNTIF(B34:H34,"——")</f>
        <v>0</v>
      </c>
      <c r="L34" s="2071" t="s">
        <v>1830</v>
      </c>
      <c r="M34" s="2071" t="s">
        <v>1831</v>
      </c>
      <c r="N34" s="2071" t="s">
        <v>1832</v>
      </c>
      <c r="O34" s="2071" t="s">
        <v>1833</v>
      </c>
      <c r="P34" s="2071" t="s">
        <v>1834</v>
      </c>
      <c r="Q34" s="2071" t="s">
        <v>1835</v>
      </c>
      <c r="R34" s="2071" t="s">
        <v>1836</v>
      </c>
      <c r="S34" s="3076" t="s">
        <v>1837</v>
      </c>
      <c r="T34" s="2131" t="str">
        <f>NUMBERSTRING(7-K34,1)&amp;"通"</f>
        <v>七通</v>
      </c>
      <c r="U34" s="2028"/>
      <c r="V34" s="2028"/>
    </row>
    <row r="35" spans="1:22" ht="18" customHeight="1">
      <c r="A35" s="2132"/>
      <c r="B35" s="3083" t="s">
        <v>1838</v>
      </c>
      <c r="C35" s="3083"/>
      <c r="D35" s="3083"/>
      <c r="E35" s="3083"/>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6"/>
      <c r="T35" s="48" t="str">
        <f>IF(T34="一通",L35,IF(T34="二通",M35,IF(T34="三通",N35,IF(T34="四通",O35,IF(T34="五通",P35,IF(T34="六通",Q35,R35))))))</f>
        <v>通路、通电、通讯、通上水、通下水、燃气、</v>
      </c>
      <c r="U35" s="2028"/>
      <c r="V35" s="2028"/>
    </row>
    <row r="36" spans="1:22" ht="18" customHeight="1">
      <c r="A36" s="2134"/>
      <c r="B36" s="2133" t="s">
        <v>1839</v>
      </c>
      <c r="C36" s="2133" t="s">
        <v>1840</v>
      </c>
      <c r="D36" s="2133" t="s">
        <v>1841</v>
      </c>
      <c r="E36" s="2133" t="s">
        <v>1842</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1843</v>
      </c>
      <c r="B37" s="2137"/>
      <c r="C37" s="2137"/>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1844</v>
      </c>
      <c r="B38" s="2139"/>
      <c r="C38" s="2139"/>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1846</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1847</v>
      </c>
      <c r="B42" s="1795" t="s">
        <v>1848</v>
      </c>
      <c r="C42" s="1795" t="s">
        <v>1849</v>
      </c>
      <c r="D42" s="1795" t="s">
        <v>1850</v>
      </c>
      <c r="E42" s="1795" t="s">
        <v>1851</v>
      </c>
      <c r="F42" s="1795" t="s">
        <v>1852</v>
      </c>
      <c r="G42" s="1795" t="s">
        <v>1853</v>
      </c>
      <c r="H42" s="1795" t="s">
        <v>1854</v>
      </c>
      <c r="I42" s="1795" t="s">
        <v>1855</v>
      </c>
      <c r="J42" s="2149" t="s">
        <v>1856</v>
      </c>
      <c r="K42" s="2072" t="s">
        <v>1857</v>
      </c>
      <c r="L42" s="2072" t="s">
        <v>1858</v>
      </c>
      <c r="M42" s="2072" t="s">
        <v>1859</v>
      </c>
      <c r="N42" s="1795" t="s">
        <v>1860</v>
      </c>
      <c r="O42" s="1795" t="s">
        <v>1861</v>
      </c>
      <c r="P42" s="1795" t="s">
        <v>1862</v>
      </c>
      <c r="Q42" s="2071" t="s">
        <v>1863</v>
      </c>
      <c r="R42" s="2071" t="s">
        <v>1864</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1870</v>
      </c>
      <c r="AZ2" s="1270"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面积!E13+面积!E14</f>
        <v>4009</v>
      </c>
      <c r="B3" s="14">
        <f>IF(C3="否",G5-AT5,G5)</f>
        <v>4376.09</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3"/>
      <c r="C5" s="1803"/>
      <c r="D5" s="1806"/>
      <c r="E5" s="16" t="s">
        <v>1</v>
      </c>
      <c r="F5" s="16">
        <f>SUM(F13:F587)</f>
        <v>0</v>
      </c>
      <c r="G5" s="16">
        <f>SUM(G13:G587)</f>
        <v>4376.09</v>
      </c>
      <c r="H5" s="16">
        <f t="shared" ref="H5:AT5" si="0">SUM(H13:H656)</f>
        <v>4376.09</v>
      </c>
      <c r="I5" s="16">
        <f t="shared" si="0"/>
        <v>1340.42</v>
      </c>
      <c r="J5" s="16">
        <f t="shared" si="0"/>
        <v>0</v>
      </c>
      <c r="K5" s="16">
        <f t="shared" si="0"/>
        <v>3035.67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4376.09</v>
      </c>
      <c r="BA5" s="18">
        <f t="shared" si="1"/>
        <v>4376.09</v>
      </c>
      <c r="BB5" s="18">
        <f t="shared" si="1"/>
        <v>1340.42</v>
      </c>
      <c r="BC5" s="18">
        <f t="shared" si="1"/>
        <v>3035.67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1875</v>
      </c>
      <c r="B6" s="2171"/>
      <c r="C6" s="2171"/>
      <c r="D6" s="2172"/>
      <c r="E6" s="16">
        <f>H6+AC6+AT6</f>
        <v>4009</v>
      </c>
      <c r="F6" s="16" t="s">
        <v>1</v>
      </c>
      <c r="G6" s="16" t="s">
        <v>2</v>
      </c>
      <c r="H6" s="20">
        <f>SUMIF(I$12:AB$12,"总值",I6:AB6)</f>
        <v>4009</v>
      </c>
      <c r="I6" s="16">
        <f t="shared" ref="I6:AB6" si="2">ROUND($A$3*I5/$B$3,2)</f>
        <v>1227.98</v>
      </c>
      <c r="J6" s="16">
        <f t="shared" si="2"/>
        <v>0</v>
      </c>
      <c r="K6" s="16">
        <f t="shared" si="2"/>
        <v>2781.02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4009</v>
      </c>
      <c r="AZ6" s="16" t="s">
        <v>3</v>
      </c>
      <c r="BA6" s="16">
        <f>ROUND($AY$6*BA5/$AZ$5,2)</f>
        <v>4009</v>
      </c>
      <c r="BB6" s="16">
        <f>ROUND($AY$6*BB5/$AZ$5,2)</f>
        <v>1227.98</v>
      </c>
      <c r="BC6" s="16">
        <f t="shared" ref="BC6:BH6" si="4">ROUND($AY$6*BC5/$AZ$5,2)</f>
        <v>2781.02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1883</v>
      </c>
      <c r="AV7" s="23" t="s">
        <v>1884</v>
      </c>
      <c r="AW7" s="2163" t="s">
        <v>1885</v>
      </c>
      <c r="AX7" s="23" t="s">
        <v>1878</v>
      </c>
      <c r="AY7" s="1803"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8"/>
      <c r="K8" s="1818"/>
      <c r="L8" s="1818"/>
      <c r="M8" s="1818"/>
      <c r="N8" s="1818"/>
      <c r="O8" s="1818"/>
      <c r="P8" s="1818"/>
      <c r="Q8" s="1818"/>
      <c r="R8" s="1818"/>
      <c r="S8" s="1818"/>
      <c r="T8" s="1818"/>
      <c r="U8" s="1818"/>
      <c r="V8" s="2183"/>
      <c r="W8" s="1818"/>
      <c r="X8" s="1818"/>
      <c r="Y8" s="1818"/>
      <c r="Z8" s="1818"/>
      <c r="AA8" s="2183"/>
      <c r="AB8" s="2184"/>
      <c r="AC8" s="981" t="s">
        <v>1889</v>
      </c>
      <c r="AD8" s="2185"/>
      <c r="AE8" s="2177"/>
      <c r="AF8" s="1818"/>
      <c r="AG8" s="1818"/>
      <c r="AH8" s="1818"/>
      <c r="AI8" s="1818"/>
      <c r="AJ8" s="1818"/>
      <c r="AK8" s="1818"/>
      <c r="AL8" s="1818"/>
      <c r="AM8" s="1818"/>
      <c r="AN8" s="1818"/>
      <c r="AO8" s="1818"/>
      <c r="AP8" s="1818"/>
      <c r="AQ8" s="1818"/>
      <c r="AR8" s="1818"/>
      <c r="AS8" s="1818"/>
      <c r="AT8" s="1292" t="s">
        <v>1890</v>
      </c>
      <c r="AU8" s="2179" t="s">
        <v>1891</v>
      </c>
      <c r="AV8" s="1292"/>
      <c r="AW8" s="2162"/>
      <c r="AX8" s="1292"/>
      <c r="AY8" s="2163"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1894</v>
      </c>
      <c r="I9" s="2188" t="s">
        <v>3096</v>
      </c>
      <c r="J9" s="981"/>
      <c r="K9" s="2188" t="s">
        <v>3097</v>
      </c>
      <c r="L9" s="981"/>
      <c r="M9" s="2188"/>
      <c r="N9" s="981"/>
      <c r="O9" s="2188"/>
      <c r="P9" s="981"/>
      <c r="Q9" s="2188"/>
      <c r="R9" s="981"/>
      <c r="S9" s="2188"/>
      <c r="T9" s="981"/>
      <c r="U9" s="2188"/>
      <c r="V9" s="981"/>
      <c r="W9" s="2188"/>
      <c r="X9" s="2189"/>
      <c r="Y9" s="2188"/>
      <c r="Z9" s="981"/>
      <c r="AA9" s="2188"/>
      <c r="AB9" s="981"/>
      <c r="AC9" s="2180"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0"/>
      <c r="AT9" s="2179"/>
      <c r="AU9" s="2179" t="s">
        <v>1897</v>
      </c>
      <c r="AV9" s="1292"/>
      <c r="AW9" s="2162"/>
      <c r="AX9" s="1292"/>
      <c r="AY9" s="28"/>
      <c r="AZ9" s="28" t="s">
        <v>1887</v>
      </c>
      <c r="BA9" s="2191" t="s">
        <v>1898</v>
      </c>
      <c r="BB9" s="2192"/>
      <c r="BC9" s="1338"/>
      <c r="BD9" s="1338"/>
      <c r="BE9" s="1338"/>
      <c r="BF9" s="1338"/>
      <c r="BG9" s="1338"/>
      <c r="BH9" s="1338"/>
      <c r="BI9" s="1338"/>
      <c r="BJ9" s="1338"/>
      <c r="BK9" s="2193"/>
      <c r="BL9" s="15" t="s">
        <v>1899</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t="s">
        <v>1373</v>
      </c>
      <c r="L10" s="981"/>
      <c r="M10" s="2194"/>
      <c r="N10" s="981"/>
      <c r="O10" s="2194"/>
      <c r="P10" s="981"/>
      <c r="Q10" s="2194"/>
      <c r="R10" s="981"/>
      <c r="S10" s="2194"/>
      <c r="T10" s="981"/>
      <c r="U10" s="2194"/>
      <c r="V10" s="981"/>
      <c r="W10" s="2194"/>
      <c r="X10" s="981"/>
      <c r="Y10" s="2194"/>
      <c r="Z10" s="981"/>
      <c r="AA10" s="2194"/>
      <c r="AB10" s="981"/>
      <c r="AC10" s="1292"/>
      <c r="AD10" s="15" t="s">
        <v>1900</v>
      </c>
      <c r="AE10" s="2195"/>
      <c r="AF10" s="15" t="s">
        <v>1900</v>
      </c>
      <c r="AG10" s="2195"/>
      <c r="AH10" s="15" t="s">
        <v>1901</v>
      </c>
      <c r="AI10" s="2195"/>
      <c r="AJ10" s="15" t="s">
        <v>1901</v>
      </c>
      <c r="AK10" s="2195"/>
      <c r="AL10" s="15" t="s">
        <v>1902</v>
      </c>
      <c r="AM10" s="1298"/>
      <c r="AN10" s="15" t="s">
        <v>1902</v>
      </c>
      <c r="AO10" s="1298"/>
      <c r="AP10" s="15" t="s">
        <v>1903</v>
      </c>
      <c r="AQ10" s="1298"/>
      <c r="AR10" s="15" t="s">
        <v>1903</v>
      </c>
      <c r="AS10" s="1298"/>
      <c r="AT10" s="2179"/>
      <c r="AU10" s="2179"/>
      <c r="AV10" s="1292"/>
      <c r="AW10" s="2162"/>
      <c r="AX10" s="1292"/>
      <c r="AY10" s="28"/>
      <c r="AZ10" s="28"/>
      <c r="BA10" s="2196" t="s">
        <v>1894</v>
      </c>
      <c r="BB10" s="2197"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1904</v>
      </c>
      <c r="AE11" s="1819"/>
      <c r="AF11" s="2201" t="s">
        <v>1904</v>
      </c>
      <c r="AG11" s="1819"/>
      <c r="AH11" s="2201" t="s">
        <v>1905</v>
      </c>
      <c r="AI11" s="2202"/>
      <c r="AJ11" s="2201" t="s">
        <v>1905</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6"/>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3093</v>
      </c>
      <c r="D13" s="2210" t="s">
        <v>3095</v>
      </c>
      <c r="E13" s="16">
        <f>IF($C$3="是",ROUND($A$3*G13/$B$3,2),ROUND($A$3*(G13-AT13)/$B$3,2))</f>
        <v>1227.98</v>
      </c>
      <c r="F13" s="32"/>
      <c r="G13" s="33">
        <f>H13+AC13+AT13</f>
        <v>1340.42</v>
      </c>
      <c r="H13" s="20">
        <f>SUMIF(I$12:AB$12,"总值",I13:AB13)</f>
        <v>1340.42</v>
      </c>
      <c r="I13" s="2211">
        <f>面积!J13</f>
        <v>1340.42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3号楼</v>
      </c>
      <c r="AY13" s="1806">
        <f>ROUND($AY$6*AZ13/$AZ$5,2)</f>
        <v>1227.98</v>
      </c>
      <c r="AZ13" s="16">
        <f>BA13+BL13</f>
        <v>1340.42</v>
      </c>
      <c r="BA13" s="16">
        <f>SUM(BB13:BK13)</f>
        <v>1340.42</v>
      </c>
      <c r="BB13" s="16">
        <f>IF($D13="是",I13-J13,0)</f>
        <v>1340.42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3094</v>
      </c>
      <c r="D14" s="2210" t="s">
        <v>3095</v>
      </c>
      <c r="E14" s="16">
        <f>IF($C$3="是",ROUND($A$3*G14/$B$3,2),ROUND($A$3*(G14-AT14)/$B$3,2))</f>
        <v>2781.02</v>
      </c>
      <c r="F14" s="32"/>
      <c r="G14" s="33">
        <f>H14+AC14+AT14</f>
        <v>3035.67</v>
      </c>
      <c r="H14" s="20">
        <f>SUMIF(I$12:AB$12,"总值",I14:AB14)</f>
        <v>3035.67</v>
      </c>
      <c r="I14" s="2211"/>
      <c r="J14" s="2211"/>
      <c r="K14" s="2211">
        <f>面积!J14</f>
        <v>3035.67</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4号楼</v>
      </c>
      <c r="AY14" s="1806">
        <f>ROUND($AY$6*AZ14/$AZ$5,2)</f>
        <v>2781.02</v>
      </c>
      <c r="AZ14" s="16">
        <f>BA14+BL14</f>
        <v>3035.67</v>
      </c>
      <c r="BA14" s="16">
        <f>SUM(BB14:BK14)</f>
        <v>3035.67</v>
      </c>
      <c r="BB14" s="16">
        <f>IF($D14="是",I14-J14,0)</f>
        <v>0</v>
      </c>
      <c r="BC14" s="16">
        <f>IF($D14="是",K14-L14,0)</f>
        <v>3035.67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2"/>
      <c r="C1" s="1392"/>
      <c r="D1" s="1392"/>
      <c r="E1" s="1392"/>
      <c r="F1" s="1392"/>
      <c r="G1" s="1392"/>
      <c r="H1" s="1392"/>
      <c r="I1" s="1392"/>
      <c r="J1" s="1392"/>
      <c r="K1" s="1392"/>
      <c r="L1" s="1392"/>
      <c r="M1" s="1392"/>
      <c r="N1" s="1392"/>
      <c r="O1" s="1392"/>
      <c r="P1" s="1392"/>
    </row>
    <row r="2" spans="1:16" ht="15">
      <c r="A2" s="3095" t="s">
        <v>1934</v>
      </c>
      <c r="B2" s="3095"/>
      <c r="C2" s="3095"/>
      <c r="D2" s="967" t="s">
        <v>1910</v>
      </c>
      <c r="E2" s="2224" t="s">
        <v>1911</v>
      </c>
      <c r="F2" s="1392"/>
      <c r="G2" s="2225"/>
      <c r="H2" s="2226"/>
      <c r="I2" s="2227" t="s">
        <v>1935</v>
      </c>
      <c r="J2" s="1392"/>
      <c r="K2" s="1392"/>
      <c r="L2" s="1392"/>
      <c r="M2" s="1392"/>
      <c r="N2" s="1427"/>
      <c r="O2" s="1392"/>
      <c r="P2" s="1392"/>
    </row>
    <row r="3" spans="1:16" ht="15.75" thickBot="1">
      <c r="A3" s="3096" t="s">
        <v>1908</v>
      </c>
      <c r="B3" s="3096"/>
      <c r="C3" s="3096"/>
      <c r="D3" s="46">
        <f>'数据-基础表'!AY6</f>
        <v>4009</v>
      </c>
      <c r="E3" s="46">
        <f>'数据-基础表'!AZ5</f>
        <v>4376.09</v>
      </c>
      <c r="F3" s="1392"/>
      <c r="G3" s="1399"/>
      <c r="H3" s="1247" t="s">
        <v>1909</v>
      </c>
      <c r="I3" s="55">
        <f>ROUND('数据-基础表'!B3/'数据-基础表'!A3,2)</f>
        <v>1.0900000000000001</v>
      </c>
      <c r="J3" s="1392"/>
      <c r="K3" s="1392"/>
      <c r="L3" s="1392"/>
      <c r="M3" s="1392"/>
      <c r="N3" s="1427"/>
      <c r="O3" s="1392"/>
      <c r="P3" s="1392"/>
    </row>
    <row r="4" spans="1:16" ht="15">
      <c r="A4" s="3097"/>
      <c r="B4" s="3098"/>
      <c r="C4" s="3099"/>
      <c r="D4" s="2228" t="s">
        <v>1910</v>
      </c>
      <c r="E4" s="2229" t="s">
        <v>1911</v>
      </c>
      <c r="F4" s="1392"/>
      <c r="G4" s="2230" t="s">
        <v>1936</v>
      </c>
      <c r="H4" s="1247" t="s">
        <v>1916</v>
      </c>
      <c r="I4" s="55">
        <f>ROUND(SUMIF('数据-基础表'!I9:AS9,"地上",'数据-基础表'!I5:AS5)/'数据-基础表'!A3,2)</f>
        <v>0.33</v>
      </c>
      <c r="J4" s="1392"/>
      <c r="K4" s="1392"/>
      <c r="L4" s="1392"/>
      <c r="M4" s="1392"/>
      <c r="N4" s="1427"/>
      <c r="O4" s="1392"/>
      <c r="P4" s="1392"/>
    </row>
    <row r="5" spans="1:16">
      <c r="A5" s="47" t="s">
        <v>1912</v>
      </c>
      <c r="B5" s="3100" t="s">
        <v>1913</v>
      </c>
      <c r="C5" s="3100"/>
      <c r="D5" s="48">
        <f>ROUND($D$3*E5/$E$3,2)</f>
        <v>0</v>
      </c>
      <c r="E5" s="49">
        <f>SUMIF('数据-基础表'!$11:$11,"住宅",'数据-基础表'!$5:$5)</f>
        <v>0</v>
      </c>
      <c r="F5" s="1392"/>
      <c r="G5" s="1399"/>
      <c r="H5" s="1247" t="s">
        <v>1909</v>
      </c>
      <c r="I5" s="55">
        <f>ROUND(E31/D31,2)</f>
        <v>1.0900000000000001</v>
      </c>
      <c r="J5" s="1392"/>
      <c r="K5" s="1392"/>
      <c r="L5" s="1392"/>
      <c r="M5" s="1392"/>
      <c r="N5" s="1392"/>
      <c r="O5" s="1392"/>
      <c r="P5" s="1392"/>
    </row>
    <row r="6" spans="1:16" ht="15" thickBot="1">
      <c r="A6" s="2231"/>
      <c r="B6" s="3100" t="s">
        <v>1914</v>
      </c>
      <c r="C6" s="3100"/>
      <c r="D6" s="48">
        <f>ROUND($D$3*E6/$E$3,2)</f>
        <v>4009</v>
      </c>
      <c r="E6" s="49">
        <f>E3-E5</f>
        <v>4376.09</v>
      </c>
      <c r="F6" s="1392"/>
      <c r="G6" s="2232" t="s">
        <v>1915</v>
      </c>
      <c r="H6" s="1399" t="s">
        <v>1916</v>
      </c>
      <c r="I6" s="939">
        <f>ROUND(F31/D31,2)</f>
        <v>0.33</v>
      </c>
      <c r="J6" s="1392"/>
      <c r="K6" s="1392"/>
      <c r="L6" s="1392"/>
      <c r="M6" s="1392"/>
      <c r="N6" s="1392"/>
      <c r="O6" s="1392"/>
      <c r="P6" s="1392"/>
    </row>
    <row r="7" spans="1:16" ht="15">
      <c r="A7" s="3092"/>
      <c r="B7" s="3093"/>
      <c r="C7" s="3094"/>
      <c r="D7" s="2228" t="s">
        <v>1910</v>
      </c>
      <c r="E7" s="2233" t="s">
        <v>1917</v>
      </c>
      <c r="F7" s="1392"/>
      <c r="G7" s="2225" t="s">
        <v>1918</v>
      </c>
      <c r="H7" s="64"/>
      <c r="I7" s="420"/>
      <c r="J7" s="1392"/>
      <c r="K7" s="1392"/>
      <c r="L7" s="1392"/>
      <c r="M7" s="1392"/>
      <c r="N7" s="1392"/>
      <c r="O7" s="1392"/>
      <c r="P7" s="1392"/>
    </row>
    <row r="8" spans="1:16">
      <c r="A8" s="47" t="s">
        <v>1919</v>
      </c>
      <c r="B8" s="50" t="s">
        <v>1920</v>
      </c>
      <c r="C8" s="48" t="s">
        <v>1921</v>
      </c>
      <c r="D8" s="48">
        <f t="shared" ref="D8:D15" si="0">ROUND($D$3*E8/$E$3,2)</f>
        <v>1227.98</v>
      </c>
      <c r="E8" s="51">
        <f>SUMIF('数据-基础表'!BB10:BK10,"地上",'数据-基础表'!BB5:BK5)</f>
        <v>1340.42</v>
      </c>
      <c r="F8" s="1392"/>
      <c r="G8" s="2234"/>
      <c r="H8" s="2234"/>
      <c r="I8" s="1392"/>
      <c r="J8" s="1392"/>
      <c r="K8" s="1392"/>
      <c r="L8" s="1392"/>
      <c r="M8" s="1392"/>
      <c r="N8" s="1392"/>
      <c r="O8" s="1392"/>
      <c r="P8" s="1392"/>
    </row>
    <row r="9" spans="1:16">
      <c r="A9" s="2235"/>
      <c r="B9" s="2236"/>
      <c r="C9" s="48" t="s">
        <v>1922</v>
      </c>
      <c r="D9" s="48">
        <f t="shared" si="0"/>
        <v>0</v>
      </c>
      <c r="E9" s="52">
        <v>0</v>
      </c>
      <c r="F9" s="1392"/>
      <c r="G9" s="2234"/>
      <c r="H9" s="2234"/>
      <c r="I9" s="1392"/>
      <c r="J9" s="1392"/>
      <c r="K9" s="1392"/>
      <c r="L9" s="1392"/>
      <c r="M9" s="1392"/>
      <c r="N9" s="1392"/>
      <c r="O9" s="1392"/>
      <c r="P9" s="1392"/>
    </row>
    <row r="10" spans="1:16">
      <c r="A10" s="2235"/>
      <c r="B10" s="2236"/>
      <c r="C10" s="48" t="s">
        <v>1931</v>
      </c>
      <c r="D10" s="48">
        <f t="shared" si="0"/>
        <v>2781.02</v>
      </c>
      <c r="E10" s="51">
        <f>SUMPRODUCT(('数据-基础表'!BB10:BK10="地下")*('数据-基础表'!BB11:BK11="商业")*('数据-基础表'!BB5:BK5))</f>
        <v>3035.67</v>
      </c>
      <c r="F10" s="1392"/>
      <c r="G10" s="2234"/>
      <c r="H10" s="2234"/>
      <c r="I10" s="1392"/>
      <c r="J10" s="1392"/>
      <c r="K10" s="1392"/>
      <c r="L10" s="1392"/>
      <c r="M10" s="1392"/>
      <c r="N10" s="1392"/>
      <c r="O10" s="1392"/>
      <c r="P10" s="1392"/>
    </row>
    <row r="11" spans="1:16">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1926</v>
      </c>
      <c r="D16" s="50">
        <f>SUM(D8:D15)</f>
        <v>4009</v>
      </c>
      <c r="E16" s="53">
        <f>SUM(E8:E15)</f>
        <v>4376.09</v>
      </c>
      <c r="F16" s="1392"/>
      <c r="G16" s="2234"/>
      <c r="H16" s="2237" t="s">
        <v>1938</v>
      </c>
      <c r="I16" s="2238"/>
      <c r="J16" s="1392"/>
      <c r="K16" s="3089" t="s">
        <v>1938</v>
      </c>
      <c r="L16" s="3090"/>
      <c r="M16" s="3090"/>
      <c r="N16" s="3090"/>
      <c r="O16" s="3090"/>
      <c r="P16" s="3091"/>
    </row>
    <row r="17" spans="1:19" ht="15">
      <c r="A17" s="2239" t="s">
        <v>1939</v>
      </c>
      <c r="B17" s="2240" t="s">
        <v>1940</v>
      </c>
      <c r="C17" s="2241" t="s">
        <v>1941</v>
      </c>
      <c r="D17" s="2242" t="s">
        <v>1929</v>
      </c>
      <c r="E17" s="2243" t="s">
        <v>1930</v>
      </c>
      <c r="F17" s="2244"/>
      <c r="G17" s="2245"/>
      <c r="H17" s="2246" t="s">
        <v>1942</v>
      </c>
      <c r="I17" s="2247" t="s">
        <v>1927</v>
      </c>
      <c r="J17" s="1392"/>
      <c r="K17" s="3086" t="s">
        <v>1943</v>
      </c>
      <c r="L17" s="3087"/>
      <c r="M17" s="3088"/>
      <c r="N17" s="3086" t="s">
        <v>1944</v>
      </c>
      <c r="O17" s="3087"/>
      <c r="P17" s="3088"/>
      <c r="R17" s="2225" t="s">
        <v>1945</v>
      </c>
      <c r="S17" s="64"/>
    </row>
    <row r="18" spans="1:19" ht="15">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c r="A19" s="2256"/>
      <c r="B19" s="50" t="s">
        <v>1928</v>
      </c>
      <c r="C19" s="2257" t="str">
        <f>'数据-基础表'!C13</f>
        <v>3号楼</v>
      </c>
      <c r="D19" s="48">
        <f>ROUND($D$3*E19/$E$3,2)</f>
        <v>1227.98</v>
      </c>
      <c r="E19" s="56">
        <f t="shared" ref="E19:E26" si="1">SUM(F19:G19)</f>
        <v>1340.42</v>
      </c>
      <c r="F19" s="57">
        <f>'数据-基础表'!I13</f>
        <v>1340.42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1227.98</v>
      </c>
      <c r="S19" s="1248">
        <f t="shared" si="5"/>
        <v>1340.42</v>
      </c>
    </row>
    <row r="20" spans="1:19">
      <c r="A20" s="2260"/>
      <c r="B20" s="50" t="s">
        <v>1956</v>
      </c>
      <c r="C20" s="2257" t="str">
        <f>'数据-基础表'!C14</f>
        <v>4号楼</v>
      </c>
      <c r="D20" s="48">
        <f t="shared" ref="D20:D26" si="6">ROUND($D$3*E20/$E$3,2)</f>
        <v>2781.02</v>
      </c>
      <c r="E20" s="56">
        <f t="shared" si="1"/>
        <v>3035.67</v>
      </c>
      <c r="F20" s="57"/>
      <c r="G20" s="58">
        <f>'数据-基础表'!K14</f>
        <v>3035.67</v>
      </c>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2781.02</v>
      </c>
      <c r="S20" s="1248">
        <f t="shared" si="5"/>
        <v>3035.67</v>
      </c>
    </row>
    <row r="21" spans="1:19">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1957</v>
      </c>
      <c r="D27" s="1393">
        <f>SUM(D19:D26)</f>
        <v>4009</v>
      </c>
      <c r="E27" s="1394">
        <f>IF(SUM(E19:E26)='数据-基础表'!BA5,SUM(E19:E26),IF(F27="地上面积有误","面积有误","地下面积有误"))</f>
        <v>4376.09</v>
      </c>
      <c r="F27" s="1393">
        <f>IF(SUM(F19:F26)=E8,SUM(F19:F26),"地上面积有误")</f>
        <v>1340.42</v>
      </c>
      <c r="G27" s="1395">
        <f>SUM(G19:G26)</f>
        <v>3035.67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4009</v>
      </c>
      <c r="S27" s="1247">
        <f>IF(SUM(S19:S26)=$E$3,SUM(S19:S26),SUM(S19:S26)&amp;"误差"&amp;ROUND(SUM(S19:S26)-E3,2))</f>
        <v>4376.09</v>
      </c>
    </row>
    <row r="28" spans="1:19">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1961</v>
      </c>
      <c r="D31" s="729">
        <f>D27+D30</f>
        <v>4009</v>
      </c>
      <c r="E31" s="729">
        <f>E27+E30</f>
        <v>4376.09</v>
      </c>
      <c r="F31" s="730">
        <f>F27+F30</f>
        <v>1340.42</v>
      </c>
      <c r="G31" s="731">
        <f>G27+G30</f>
        <v>3035.67</v>
      </c>
      <c r="H31" s="1392"/>
      <c r="I31" s="1392"/>
      <c r="J31" s="1392"/>
      <c r="K31" s="1392"/>
      <c r="L31" s="1392"/>
      <c r="M31" s="1392"/>
      <c r="N31" s="1392"/>
      <c r="O31" s="1392"/>
      <c r="P31" s="1392"/>
    </row>
    <row r="32" spans="1:19">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AJ24" sqref="AJ2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1964</v>
      </c>
      <c r="B2" s="1266">
        <f>项目基本情况!D3</f>
        <v>43734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1984</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3号楼</v>
      </c>
      <c r="B6" s="2304" t="str">
        <f>IF(A6=0,"","经营性")</f>
        <v>经营性</v>
      </c>
      <c r="C6" s="2305" t="s">
        <v>1373</v>
      </c>
      <c r="D6" s="1051">
        <f>SUMIF(项目基本情况!D$12:I$12,C6,项目基本情况!D$14:I$14)</f>
        <v>40</v>
      </c>
      <c r="E6" s="1048">
        <f>IF(B6="","",SUMIF(项目基本情况!D$12:I$12,C6,项目基本情况!D$13:I$13))</f>
        <v>55220</v>
      </c>
      <c r="F6" s="72">
        <f>SUMIF(项目基本情况!D$12:I$12,C6,项目基本情况!D$15:I$15)</f>
        <v>31.46</v>
      </c>
      <c r="G6" s="73">
        <f>IF(ISERROR(ROUND(POWER(1+H6,D6-F6)*(POWER(1+H6,F6)-1)/(POWER(1+H6,D6)-1),3)),0,ROUND(POWER(1+H6,D6-F6)*(POWER(1+H6,F6)-1)/(POWER(1+H6,D6)-1),3))</f>
        <v>0.91400000000000003</v>
      </c>
      <c r="H6" s="802">
        <v>0.05</v>
      </c>
      <c r="I6" s="802">
        <v>5.5E-2</v>
      </c>
      <c r="J6" s="74">
        <v>8.5000000000000006E-2</v>
      </c>
      <c r="K6" s="1251">
        <f>SUMIF('数据-汇总表'!C$19:C$33,A6,'数据-汇总表'!E$19:E$33)</f>
        <v>1340.42</v>
      </c>
      <c r="L6" s="803">
        <v>3000</v>
      </c>
      <c r="M6" s="75">
        <f t="shared" ref="M6:M14" si="0">ROUND(K6*L6/10000,0)</f>
        <v>402</v>
      </c>
      <c r="N6" s="801">
        <f>N19</f>
        <v>0.92</v>
      </c>
      <c r="O6" s="75">
        <f>IF($N$5="成新度","——",ROUND(M6*N6,0))</f>
        <v>370</v>
      </c>
      <c r="P6" s="76">
        <f>IF($N$5="成新度","——",M6-O6)</f>
        <v>32</v>
      </c>
      <c r="Q6" s="804">
        <v>0.15</v>
      </c>
      <c r="R6" s="77">
        <f ca="1">SUMIF('数据-汇总表'!C$19:C$33,A6,'数据-汇总表'!R$19:R$27)</f>
        <v>1227.98</v>
      </c>
      <c r="S6" s="54">
        <f>IF('数据-汇总表'!$I$17="按面积比例",SUMIF('数据-汇总表'!C$19:C$33,A6,'数据-汇总表'!K$19:K$33),SUMIF('数据-汇总表'!C$19:C$33,A6,'数据-汇总表'!N$19:N$33))</f>
        <v>0</v>
      </c>
      <c r="T6" s="1443">
        <f>ROUND($L$14*S6/10000,0)</f>
        <v>0</v>
      </c>
      <c r="U6" s="78">
        <v>5</v>
      </c>
      <c r="V6" s="79">
        <v>3.5000000000000003E-2</v>
      </c>
      <c r="W6" s="79">
        <v>0.1</v>
      </c>
      <c r="X6" s="1261"/>
      <c r="Y6" s="80">
        <f>N6</f>
        <v>0.92</v>
      </c>
      <c r="Z6" s="81"/>
      <c r="AA6" s="74"/>
      <c r="AB6" s="74"/>
      <c r="AC6" s="1261"/>
      <c r="AD6" s="82"/>
      <c r="AE6" s="1262">
        <f ca="1">IF(AN6="",0,SUMIF(INDIRECT("'"&amp;AN6&amp;"'"&amp;"!E:E"),$AE$5,INDIRECT("'"&amp;AN6&amp;"'"&amp;"!F:F")))</f>
        <v>31.46</v>
      </c>
      <c r="AF6" s="1804"/>
      <c r="AG6" s="147">
        <f>IF(AF6="",0,AE6-AF6)</f>
        <v>0</v>
      </c>
      <c r="AH6" s="83"/>
      <c r="AI6" s="85">
        <v>365</v>
      </c>
      <c r="AJ6" s="86"/>
      <c r="AK6" s="87">
        <v>1.4999999999999999E-2</v>
      </c>
      <c r="AL6" s="88">
        <v>1.5E-3</v>
      </c>
      <c r="AM6" s="89">
        <v>0.01</v>
      </c>
      <c r="AN6" s="2306" t="s">
        <v>3176</v>
      </c>
      <c r="AO6" s="55">
        <f ca="1">SUMIF(INDIRECT("'"&amp;AN6&amp;"'"&amp;"!A:A"),"总价",INDIRECT("'"&amp;AN6&amp;"'"&amp;"!B:B"))</f>
        <v>3868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4号楼</v>
      </c>
      <c r="B7" s="2304" t="str">
        <f t="shared" ref="B7:B13" si="1">IF(A7=0,"","经营性")</f>
        <v>经营性</v>
      </c>
      <c r="C7" s="2305" t="s">
        <v>1373</v>
      </c>
      <c r="D7" s="1051">
        <f>SUMIF(项目基本情况!D$12:I$12,C7,项目基本情况!D$14:I$14)</f>
        <v>40</v>
      </c>
      <c r="E7" s="1048">
        <f>IF(B7="","",SUMIF(项目基本情况!D$12:I$12,C7,项目基本情况!D$13:I$13))</f>
        <v>55220</v>
      </c>
      <c r="F7" s="72">
        <f>SUMIF(项目基本情况!D$12:I$12,C7,项目基本情况!D$15:I$15)</f>
        <v>31.46</v>
      </c>
      <c r="G7" s="73">
        <f t="shared" ref="G7:G11" si="2">IF(ISERROR(ROUND(POWER(1+H7,D7-F7)*(POWER(1+H7,F7)-1)/(POWER(1+H7,D7)-1),3)),0,ROUND(POWER(1+H7,D7-F7)*(POWER(1+H7,F7)-1)/(POWER(1+H7,D7)-1),3))</f>
        <v>0.91400000000000003</v>
      </c>
      <c r="H7" s="802">
        <f>H6</f>
        <v>0.05</v>
      </c>
      <c r="I7" s="802">
        <f>I6</f>
        <v>5.5E-2</v>
      </c>
      <c r="J7" s="74">
        <f>J6</f>
        <v>8.5000000000000006E-2</v>
      </c>
      <c r="K7" s="1251">
        <f>SUMIF('数据-汇总表'!C$19:C$33,A7,'数据-汇总表'!E$19:E$33)</f>
        <v>3035.67</v>
      </c>
      <c r="L7" s="803">
        <f>L6</f>
        <v>3000</v>
      </c>
      <c r="M7" s="75">
        <f t="shared" si="0"/>
        <v>911</v>
      </c>
      <c r="N7" s="801">
        <f>N6</f>
        <v>0.92</v>
      </c>
      <c r="O7" s="75">
        <f t="shared" ref="O7:O14" si="3">IF($N$5="成新度","——",ROUND(M7*N7,0))</f>
        <v>838</v>
      </c>
      <c r="P7" s="76">
        <f t="shared" ref="P7:P14" si="4">IF($N$5="成新度","——",M7-O7)</f>
        <v>73</v>
      </c>
      <c r="Q7" s="804">
        <f>Q6</f>
        <v>0.15</v>
      </c>
      <c r="R7" s="77">
        <f ca="1">SUMIF('数据-汇总表'!C$19:C$33,A7,'数据-汇总表'!R$19:R$27)</f>
        <v>2781.02</v>
      </c>
      <c r="S7" s="54">
        <f>IF('数据-汇总表'!$I$17="按面积比例",SUMIF('数据-汇总表'!C$19:C$33,A7,'数据-汇总表'!K$19:K$33),SUMIF('数据-汇总表'!C$19:C$33,A7,'数据-汇总表'!N$19:N$33))</f>
        <v>0</v>
      </c>
      <c r="T7" s="1443">
        <f t="shared" ref="T7:T13" si="5">ROUND($L$14*S7/10000,0)</f>
        <v>0</v>
      </c>
      <c r="U7" s="3005">
        <f>租约!F14</f>
        <v>2.2000000000000002</v>
      </c>
      <c r="V7" s="79">
        <v>0</v>
      </c>
      <c r="W7" s="79">
        <v>0</v>
      </c>
      <c r="X7" s="1261"/>
      <c r="Y7" s="80">
        <f>N7</f>
        <v>0.92</v>
      </c>
      <c r="Z7" s="81">
        <f ca="1">ROUND('收益法 (4号楼)'!F49*(1+'数据-取费表'!AA7)^'数据-取费表'!AF7,2)</f>
        <v>6.12</v>
      </c>
      <c r="AA7" s="74">
        <f>V6</f>
        <v>3.5000000000000003E-2</v>
      </c>
      <c r="AB7" s="74">
        <f>W6</f>
        <v>0.1</v>
      </c>
      <c r="AC7" s="1261"/>
      <c r="AD7" s="82">
        <f>N20</f>
        <v>0.77</v>
      </c>
      <c r="AE7" s="1262">
        <f t="shared" ref="AE7:AE13" ca="1" si="6">IF(AN7="",0,SUMIF(INDIRECT("'"&amp;AN7&amp;"'"&amp;"!E:E"),$AE$5,INDIRECT("'"&amp;AN7&amp;"'"&amp;"!F:F")))</f>
        <v>31.46</v>
      </c>
      <c r="AF7" s="1804">
        <v>8.93</v>
      </c>
      <c r="AG7" s="147">
        <f t="shared" ref="AG7:AG13" ca="1" si="7">IF(AF7="",0,AE7-AF7)</f>
        <v>22.53</v>
      </c>
      <c r="AH7" s="83"/>
      <c r="AI7" s="85">
        <v>365</v>
      </c>
      <c r="AJ7" s="86"/>
      <c r="AK7" s="87">
        <f>AK6</f>
        <v>1.4999999999999999E-2</v>
      </c>
      <c r="AL7" s="88">
        <f>AL6</f>
        <v>1.5E-3</v>
      </c>
      <c r="AM7" s="89">
        <f>AM6</f>
        <v>0.01</v>
      </c>
      <c r="AN7" s="2306" t="s">
        <v>3180</v>
      </c>
      <c r="AO7" s="55">
        <f t="shared" ref="AO7:AO13" ca="1" si="8">SUMIF(INDIRECT("'"&amp;AN7&amp;"'"&amp;"!A:A"),"总价",INDIRECT("'"&amp;AN7&amp;"'"&amp;"!B:B"))</f>
        <v>6442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2013</v>
      </c>
      <c r="B16" s="97"/>
      <c r="C16" s="1005"/>
      <c r="D16" s="2311"/>
      <c r="E16" s="97"/>
      <c r="F16" s="97"/>
      <c r="G16" s="98">
        <f>ROUND(SUMPRODUCT(G6:G13,K6:K13)/SUMPRODUCT((G6:G13&gt;0)*(K6:K13)),3)</f>
        <v>0.91400000000000003</v>
      </c>
      <c r="H16" s="99">
        <f>ROUND(SUMPRODUCT(H6:H13,K6:K13)/SUMPRODUCT((H6:H13&gt;0)*(K6:K13)),3)</f>
        <v>0.05</v>
      </c>
      <c r="I16" s="100"/>
      <c r="J16" s="100"/>
      <c r="K16" s="101">
        <f>SUM(K6:K15)</f>
        <v>4376.09</v>
      </c>
      <c r="L16" s="102">
        <f>ROUND(M16*10000/SUM(K6:K14),0)</f>
        <v>3000</v>
      </c>
      <c r="M16" s="102">
        <f>SUM(M6:M14)</f>
        <v>1313</v>
      </c>
      <c r="N16" s="103">
        <f>ROUND(SUMPRODUCT(M6:M14,N6:N14)/M16,3)</f>
        <v>0.92</v>
      </c>
      <c r="O16" s="102">
        <f>SUM(O6:O14)</f>
        <v>1208</v>
      </c>
      <c r="P16" s="102">
        <f>SUM(P6:P14)</f>
        <v>105</v>
      </c>
      <c r="Q16" s="104">
        <f>ROUND(SUMPRODUCT(Q6:Q13,K6:K13)/SUMPRODUCT((Q6:Q13&gt;0)*(K6:K13)),2)</f>
        <v>0.15</v>
      </c>
      <c r="R16" s="1255">
        <f ca="1">SUM(R6:R13)</f>
        <v>4009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7"/>
      <c r="C18" s="2274"/>
      <c r="D18" s="2275"/>
      <c r="E18" s="2274"/>
      <c r="F18" s="2274"/>
      <c r="G18" s="2274"/>
      <c r="H18" s="2274"/>
      <c r="I18" s="2274"/>
      <c r="J18" s="2274"/>
      <c r="K18" s="168"/>
      <c r="L18" s="168"/>
      <c r="M18" s="1581"/>
      <c r="N18" s="1581">
        <v>2014</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2015</v>
      </c>
      <c r="B19" s="112">
        <v>0</v>
      </c>
      <c r="C19" s="2274" t="s">
        <v>2016</v>
      </c>
      <c r="D19" s="2275"/>
      <c r="E19" s="2274"/>
      <c r="F19" s="2274"/>
      <c r="G19" s="2274"/>
      <c r="H19" s="2274"/>
      <c r="I19" s="2274"/>
      <c r="J19" s="2274"/>
      <c r="K19" s="168"/>
      <c r="L19" s="168"/>
      <c r="M19" s="1581"/>
      <c r="N19" s="1581">
        <f>ROUND(1-(2019-2014)/60,2)</f>
        <v>0.92</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2017</v>
      </c>
      <c r="B20" s="113">
        <v>2</v>
      </c>
      <c r="C20" s="2274" t="s">
        <v>2018</v>
      </c>
      <c r="D20" s="2275"/>
      <c r="E20" s="2274"/>
      <c r="F20" s="2274"/>
      <c r="G20" s="2274"/>
      <c r="H20" s="2274"/>
      <c r="I20" s="2274"/>
      <c r="J20" s="2274"/>
      <c r="K20" s="168"/>
      <c r="L20" s="168"/>
      <c r="M20" s="1581"/>
      <c r="N20" s="1581">
        <f>ROUND(1-(2028-2014)/60,2)</f>
        <v>0.77</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2019</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2020</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2021</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2022</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2023</v>
      </c>
      <c r="B26" s="2317" t="s">
        <v>2024</v>
      </c>
      <c r="C26" s="2318" t="s">
        <v>2025</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2026</v>
      </c>
      <c r="B27" s="116">
        <v>160</v>
      </c>
      <c r="C27" s="1764" t="s">
        <v>2027</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c r="C29" s="1764" t="s">
        <v>2030</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3" t="s">
        <v>2035</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c r="C34" s="1763" t="s">
        <v>2037</v>
      </c>
      <c r="D34" s="2275" t="s">
        <v>2038</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3" t="s">
        <v>2040</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3" t="s">
        <v>2042</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2043</v>
      </c>
      <c r="B37" s="124">
        <v>0.02</v>
      </c>
      <c r="C37" s="1763" t="s">
        <v>2044</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2045</v>
      </c>
      <c r="B38" s="122">
        <v>0.02</v>
      </c>
      <c r="C38" s="1763" t="s">
        <v>2044</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2046</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2047</v>
      </c>
      <c r="B40" s="1300">
        <f ca="1">存贷款利率!G1</f>
        <v>4.7500000000000001E-2</v>
      </c>
      <c r="C40" s="1763" t="s">
        <v>2048</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2049</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2050</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2051</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2052</v>
      </c>
      <c r="B44" s="128">
        <v>7.0000000000000007E-2</v>
      </c>
      <c r="C44" s="1763" t="s">
        <v>2053</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2054</v>
      </c>
      <c r="B45" s="126">
        <v>0.03</v>
      </c>
      <c r="C45" s="1764" t="s">
        <v>2055</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2056</v>
      </c>
      <c r="B46" s="126">
        <v>0.02</v>
      </c>
      <c r="C46" s="1764" t="s">
        <v>2057</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2058</v>
      </c>
      <c r="B47" s="129"/>
      <c r="C47" s="1764" t="s">
        <v>2059</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2060</v>
      </c>
      <c r="B48" s="130">
        <v>0.03</v>
      </c>
      <c r="C48" s="1771" t="s">
        <v>2061</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2062</v>
      </c>
      <c r="B49" s="126">
        <v>5.0000000000000001E-4</v>
      </c>
      <c r="C49" s="1771" t="s">
        <v>2063</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2064</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2065</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2066</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2067</v>
      </c>
      <c r="B53" s="2333" t="s">
        <v>523</v>
      </c>
      <c r="C53" s="1427" t="s">
        <v>2068</v>
      </c>
      <c r="D53" s="2334" t="s">
        <v>2069</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2070</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2071</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2072</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2073</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2074</v>
      </c>
      <c r="B58" s="84">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2075</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2076</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2077</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2078</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2079</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1" t="s">
        <v>2080</v>
      </c>
      <c r="B1" s="3102"/>
      <c r="C1" s="3102"/>
      <c r="D1" s="3102"/>
      <c r="E1" s="3102"/>
      <c r="F1" s="3102"/>
      <c r="G1" s="310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8" t="s">
        <v>2084</v>
      </c>
      <c r="C3" s="2367"/>
      <c r="D3" s="2368"/>
      <c r="E3" s="431" t="s">
        <v>2083</v>
      </c>
      <c r="F3" s="2369" t="s">
        <v>2085</v>
      </c>
      <c r="G3" s="2370" t="s">
        <v>2086</v>
      </c>
      <c r="H3" s="2365"/>
      <c r="I3" s="2365"/>
      <c r="J3" s="2365"/>
      <c r="K3" s="2365"/>
      <c r="L3" s="2365"/>
      <c r="M3" s="2365"/>
      <c r="N3" s="2365"/>
      <c r="O3" s="2365"/>
      <c r="P3" s="2365"/>
      <c r="Q3" s="2365"/>
      <c r="R3" s="2365"/>
    </row>
    <row r="4" spans="1:29" ht="40.5">
      <c r="A4" s="431"/>
      <c r="B4" s="1795" t="s">
        <v>2087</v>
      </c>
      <c r="C4" s="2983" t="s">
        <v>3147</v>
      </c>
      <c r="D4" s="2368"/>
      <c r="E4" s="2372"/>
      <c r="F4" s="42" t="s">
        <v>2088</v>
      </c>
      <c r="G4" s="2373" t="s">
        <v>2089</v>
      </c>
      <c r="H4" s="2365"/>
      <c r="I4" s="2365"/>
      <c r="J4" s="2365"/>
      <c r="K4" s="2365"/>
      <c r="L4" s="2365"/>
      <c r="M4" s="2365"/>
      <c r="N4" s="2365"/>
      <c r="O4" s="2365"/>
      <c r="P4" s="2365"/>
      <c r="Q4" s="2365"/>
      <c r="R4" s="2365"/>
    </row>
    <row r="5" spans="1:29" ht="27">
      <c r="A5" s="431"/>
      <c r="B5" s="1795" t="s">
        <v>2090</v>
      </c>
      <c r="C5" s="2371"/>
      <c r="D5" s="2368"/>
      <c r="E5" s="2372"/>
      <c r="F5" s="1795" t="s">
        <v>2091</v>
      </c>
      <c r="G5" s="2373" t="s">
        <v>2092</v>
      </c>
      <c r="H5" s="2365"/>
      <c r="I5" s="2365"/>
      <c r="J5" s="2365"/>
      <c r="K5" s="2365"/>
      <c r="L5" s="2365"/>
      <c r="M5" s="2365"/>
      <c r="N5" s="2365"/>
      <c r="O5" s="2365"/>
      <c r="P5" s="2365"/>
      <c r="Q5" s="2365"/>
      <c r="R5" s="2365"/>
    </row>
    <row r="6" spans="1:29" ht="15">
      <c r="A6" s="431"/>
      <c r="B6" s="1795" t="s">
        <v>2093</v>
      </c>
      <c r="C6" s="2984" t="s">
        <v>3105</v>
      </c>
      <c r="D6" s="2368"/>
      <c r="E6" s="2372"/>
      <c r="F6" s="1795" t="s">
        <v>2094</v>
      </c>
      <c r="G6" s="2373" t="s">
        <v>2095</v>
      </c>
      <c r="H6" s="2365"/>
      <c r="I6" s="2365"/>
      <c r="J6" s="2365"/>
      <c r="K6" s="2365"/>
      <c r="L6" s="2365"/>
      <c r="M6" s="2365"/>
      <c r="N6" s="2365"/>
      <c r="O6" s="2365"/>
      <c r="P6" s="2365"/>
      <c r="Q6" s="2365"/>
      <c r="R6" s="2365"/>
    </row>
    <row r="7" spans="1:29" ht="41.25" thickBot="1">
      <c r="A7" s="431"/>
      <c r="B7" s="1795" t="s">
        <v>2091</v>
      </c>
      <c r="C7" s="2984" t="s">
        <v>3105</v>
      </c>
      <c r="D7" s="2374"/>
      <c r="E7" s="2375"/>
      <c r="F7" s="2376" t="s">
        <v>2096</v>
      </c>
      <c r="G7" s="2377" t="s">
        <v>2097</v>
      </c>
      <c r="H7" s="2365"/>
      <c r="I7" s="2365"/>
      <c r="J7" s="2365"/>
      <c r="K7" s="2365"/>
      <c r="L7" s="2365"/>
      <c r="M7" s="2365"/>
      <c r="N7" s="2365"/>
      <c r="O7" s="2365"/>
      <c r="P7" s="2365"/>
      <c r="Q7" s="2365"/>
      <c r="R7" s="2365"/>
    </row>
    <row r="8" spans="1:29" ht="15">
      <c r="A8" s="431"/>
      <c r="B8" s="1795" t="s">
        <v>2094</v>
      </c>
      <c r="C8" s="2984" t="s">
        <v>3107</v>
      </c>
      <c r="D8" s="2374"/>
      <c r="E8" s="2374"/>
      <c r="F8" s="1133"/>
      <c r="G8" s="1133"/>
      <c r="H8" s="2365"/>
      <c r="I8" s="2365"/>
      <c r="J8" s="2365"/>
      <c r="K8" s="2365"/>
      <c r="L8" s="2365"/>
      <c r="M8" s="2365"/>
      <c r="N8" s="2365"/>
      <c r="O8" s="2365"/>
      <c r="P8" s="2365"/>
      <c r="Q8" s="2365"/>
      <c r="R8" s="2365"/>
    </row>
    <row r="9" spans="1:29" ht="15">
      <c r="A9" s="431"/>
      <c r="B9" s="1795" t="s">
        <v>2098</v>
      </c>
      <c r="C9" s="2983" t="s">
        <v>3109</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42.75">
      <c r="A15" s="68" t="s">
        <v>2103</v>
      </c>
      <c r="B15" s="1267" t="s">
        <v>2084</v>
      </c>
      <c r="C15" s="2400">
        <f>C3</f>
        <v>0</v>
      </c>
      <c r="D15" s="2368"/>
      <c r="E15" s="2401" t="s">
        <v>2104</v>
      </c>
      <c r="F15" s="1267" t="s">
        <v>2105</v>
      </c>
      <c r="G15" s="135" t="str">
        <f>G3</f>
        <v>估价对象位于XX开发区，园区建设成熟度XX，产业集聚程度XX</v>
      </c>
    </row>
    <row r="16" spans="1:29" ht="42.75">
      <c r="A16" s="645"/>
      <c r="B16" s="2402" t="s">
        <v>2087</v>
      </c>
      <c r="C16" s="2403" t="str">
        <f>C4</f>
        <v>一般</v>
      </c>
      <c r="D16" s="2368"/>
      <c r="E16" s="2404"/>
      <c r="F16" s="2405" t="s">
        <v>2088</v>
      </c>
      <c r="G16" s="136" t="str">
        <f>G4</f>
        <v>估价对象周边道路状况、公共交通通达情况、停车便捷程度，综合评价交通便捷度较好</v>
      </c>
    </row>
    <row r="17" spans="1:18" ht="15">
      <c r="A17" s="645"/>
      <c r="B17" s="2402" t="s">
        <v>2090</v>
      </c>
      <c r="C17" s="2403">
        <f>C5</f>
        <v>0</v>
      </c>
      <c r="D17" s="2374"/>
      <c r="E17" s="2404"/>
      <c r="F17" s="2405" t="s">
        <v>2106</v>
      </c>
      <c r="G17" s="1569"/>
    </row>
    <row r="18" spans="1:18" ht="42.75">
      <c r="A18" s="645"/>
      <c r="B18" s="2405" t="s">
        <v>2093</v>
      </c>
      <c r="C18" s="136" t="str">
        <f>C6</f>
        <v>较好</v>
      </c>
      <c r="D18" s="2374"/>
      <c r="E18" s="2404"/>
      <c r="F18" s="2405" t="s">
        <v>2096</v>
      </c>
      <c r="G18" s="136" t="str">
        <f>G7</f>
        <v>该园区内是否有污染型企业，绿化情况，卫生条件，整体环境状况判断</v>
      </c>
    </row>
    <row r="19" spans="1:18" ht="28.5">
      <c r="A19" s="645"/>
      <c r="B19" s="2405" t="s">
        <v>2107</v>
      </c>
      <c r="C19" s="1569"/>
      <c r="D19" s="2368"/>
      <c r="E19" s="2404"/>
      <c r="F19" s="1795" t="s">
        <v>2091</v>
      </c>
      <c r="G19" s="136" t="str">
        <f>G5</f>
        <v>估价对象所在区域公共配套设施齐备情况</v>
      </c>
    </row>
    <row r="20" spans="1:18" ht="15">
      <c r="A20" s="645"/>
      <c r="B20" s="2405" t="s">
        <v>2108</v>
      </c>
      <c r="C20" s="2403" t="str">
        <f>C9</f>
        <v>一般</v>
      </c>
      <c r="D20" s="2374"/>
      <c r="E20" s="2404"/>
      <c r="F20" s="1795" t="s">
        <v>2109</v>
      </c>
      <c r="G20" s="136" t="str">
        <f>G6</f>
        <v>估价对象所在区域基础设施水平</v>
      </c>
    </row>
    <row r="21" spans="1:18" ht="15">
      <c r="A21" s="645"/>
      <c r="B21" s="1795" t="s">
        <v>2091</v>
      </c>
      <c r="C21" s="136" t="str">
        <f>C7</f>
        <v>较好</v>
      </c>
      <c r="D21" s="2368"/>
      <c r="E21" s="2404"/>
      <c r="F21" s="2405" t="s">
        <v>2110</v>
      </c>
      <c r="G21" s="2406"/>
    </row>
    <row r="22" spans="1:18" ht="13.5" customHeight="1">
      <c r="A22" s="645"/>
      <c r="B22" s="1795" t="s">
        <v>2094</v>
      </c>
      <c r="C22" s="136" t="str">
        <f>C8</f>
        <v>七通</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8" sqref="H28"/>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4376.09</v>
      </c>
      <c r="C1" s="1742"/>
      <c r="D1" s="1742"/>
      <c r="E1" s="1742"/>
      <c r="F1" s="1742"/>
      <c r="G1" s="1740"/>
    </row>
    <row r="2" spans="1:10" ht="16.5">
      <c r="A2" s="1743" t="s">
        <v>1349</v>
      </c>
      <c r="B2" s="1743">
        <f>SUM(C14:C23)</f>
        <v>4009</v>
      </c>
      <c r="C2" s="1742"/>
      <c r="D2" s="1742"/>
      <c r="E2" s="1742"/>
      <c r="F2" s="1742"/>
      <c r="G2" s="1740"/>
    </row>
    <row r="3" spans="1:10" ht="16.5">
      <c r="A3" s="1743" t="s">
        <v>1358</v>
      </c>
      <c r="B3" s="1744">
        <f>项目基本情况!D3</f>
        <v>43734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12454</v>
      </c>
      <c r="C5" s="1743">
        <f ca="1">ROUND(B5*10000/$B$1,0)</f>
        <v>28459</v>
      </c>
      <c r="D5" s="1743">
        <f ca="1">ROUND(B5*10000/$B$2,0)</f>
        <v>31065</v>
      </c>
      <c r="E5" s="1742"/>
      <c r="F5" s="1740"/>
      <c r="G5" s="1740"/>
    </row>
    <row r="6" spans="1:10" ht="16.5">
      <c r="A6" s="1743" t="s">
        <v>1352</v>
      </c>
      <c r="B6" s="1743">
        <f ca="1">SUM(G14:G23)</f>
        <v>12454</v>
      </c>
      <c r="C6" s="1743">
        <f ca="1">ROUND(B6*10000/$B$1,0)</f>
        <v>28459</v>
      </c>
      <c r="D6" s="1743">
        <f ca="1">ROUND(B6*10000/$B$2,0)</f>
        <v>31065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 ca="1">SUM(I14:I23)</f>
        <v>5399</v>
      </c>
      <c r="C8" s="1743">
        <f ca="1">ROUND(B8*10000/$B$1,0)</f>
        <v>12337</v>
      </c>
      <c r="D8" s="1743">
        <f ca="1">ROUND(B8*10000/$B$2,0)</f>
        <v>13467</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4376.09</v>
      </c>
      <c r="C14" s="1741">
        <f>结果表!C118</f>
        <v>4009</v>
      </c>
      <c r="D14" s="1741">
        <f ca="1">结果表!H118</f>
        <v>12454</v>
      </c>
      <c r="E14" s="1741">
        <f ca="1">ROUND(D14*10000/B14,0)</f>
        <v>28459</v>
      </c>
      <c r="F14" s="1741">
        <f ca="1">ROUND(D14*10000/C14,0)</f>
        <v>31065</v>
      </c>
      <c r="G14" s="1741">
        <f ca="1">结果表!D122</f>
        <v>12454</v>
      </c>
      <c r="H14" s="1741" t="str">
        <f>结果表!D124</f>
        <v>——</v>
      </c>
      <c r="I14" s="1741">
        <f ca="1">结果表!D126</f>
        <v>5399</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33" sqref="D3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7" t="s">
        <v>3086</v>
      </c>
      <c r="H1" s="2419" t="str">
        <f>IF(G1="现房","——","估价对象范围")</f>
        <v>——</v>
      </c>
      <c r="I1" s="2420" t="s">
        <v>3098</v>
      </c>
    </row>
    <row r="2" spans="1:12" ht="21.75" customHeight="1" thickBot="1">
      <c r="A2" s="3175" t="str">
        <f>项目基本情况!S2</f>
        <v>北京市丰台区万兴路1号院3、4号楼商业用房房地产房地产</v>
      </c>
      <c r="B2" s="3176"/>
      <c r="C2" s="3176"/>
      <c r="D2" s="3176"/>
      <c r="E2" s="3176"/>
      <c r="F2" s="3176"/>
      <c r="G2" s="3176"/>
      <c r="H2" s="3176"/>
      <c r="I2" s="3177"/>
    </row>
    <row r="3" spans="1:12" ht="12.75">
      <c r="A3" s="3178" t="s">
        <v>2115</v>
      </c>
      <c r="B3" s="3179"/>
      <c r="C3" s="3179"/>
      <c r="D3" s="3179"/>
      <c r="E3" s="3179"/>
      <c r="F3" s="3179"/>
      <c r="G3" s="3179"/>
      <c r="H3" s="3179"/>
      <c r="I3" s="3179"/>
    </row>
    <row r="4" spans="1:12" ht="14.25">
      <c r="A4" s="2423" t="s">
        <v>2116</v>
      </c>
      <c r="B4" s="2424" t="s">
        <v>2117</v>
      </c>
      <c r="C4" s="2425" t="s">
        <v>3178</v>
      </c>
      <c r="D4" s="2425" t="s">
        <v>3166</v>
      </c>
      <c r="E4" s="3159" t="s">
        <v>2118</v>
      </c>
      <c r="F4" s="3172"/>
      <c r="G4" s="3172"/>
      <c r="H4" s="3172"/>
      <c r="I4" s="3160"/>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0" t="s">
        <v>2119</v>
      </c>
      <c r="B5" s="3076">
        <v>25</v>
      </c>
      <c r="C5" s="3180"/>
      <c r="D5" s="3168"/>
      <c r="E5" s="140" t="s">
        <v>2120</v>
      </c>
      <c r="F5" s="2427"/>
      <c r="G5" s="2427"/>
      <c r="H5" s="2427"/>
      <c r="I5" s="1831"/>
    </row>
    <row r="6" spans="1:12" ht="12.75">
      <c r="A6" s="3150"/>
      <c r="B6" s="3076"/>
      <c r="C6" s="3182"/>
      <c r="D6" s="3168"/>
      <c r="E6" s="140" t="s">
        <v>2121</v>
      </c>
      <c r="F6" s="2427"/>
      <c r="G6" s="2427"/>
      <c r="H6" s="2427"/>
      <c r="I6" s="1831"/>
    </row>
    <row r="7" spans="1:12" ht="12.75">
      <c r="A7" s="3150"/>
      <c r="B7" s="3076"/>
      <c r="C7" s="3181"/>
      <c r="D7" s="3168"/>
      <c r="E7" s="140" t="s">
        <v>2122</v>
      </c>
      <c r="F7" s="2427"/>
      <c r="G7" s="2427"/>
      <c r="H7" s="2427"/>
      <c r="I7" s="1831"/>
    </row>
    <row r="8" spans="1:12" ht="12.75">
      <c r="A8" s="3150" t="s">
        <v>2123</v>
      </c>
      <c r="B8" s="3076">
        <v>15</v>
      </c>
      <c r="C8" s="3180"/>
      <c r="D8" s="3168"/>
      <c r="E8" s="140" t="s">
        <v>2124</v>
      </c>
      <c r="F8" s="2427"/>
      <c r="G8" s="2427"/>
      <c r="H8" s="2427"/>
      <c r="I8" s="1831"/>
    </row>
    <row r="9" spans="1:12" ht="12.75">
      <c r="A9" s="3150"/>
      <c r="B9" s="3076"/>
      <c r="C9" s="3181"/>
      <c r="D9" s="3168"/>
      <c r="E9" s="140" t="s">
        <v>2125</v>
      </c>
      <c r="F9" s="2427"/>
      <c r="G9" s="2427"/>
      <c r="H9" s="2427"/>
      <c r="I9" s="1831"/>
    </row>
    <row r="10" spans="1:12" ht="12.75">
      <c r="A10" s="3150" t="s">
        <v>2126</v>
      </c>
      <c r="B10" s="3076">
        <v>15</v>
      </c>
      <c r="C10" s="3180"/>
      <c r="D10" s="3168"/>
      <c r="E10" s="140" t="s">
        <v>2127</v>
      </c>
      <c r="F10" s="2427"/>
      <c r="G10" s="2427"/>
      <c r="H10" s="2427"/>
      <c r="I10" s="1831"/>
    </row>
    <row r="11" spans="1:12" ht="12.75">
      <c r="A11" s="3150"/>
      <c r="B11" s="3076"/>
      <c r="C11" s="3181"/>
      <c r="D11" s="3168"/>
      <c r="E11" s="140" t="s">
        <v>2128</v>
      </c>
      <c r="F11" s="2427"/>
      <c r="G11" s="2427"/>
      <c r="H11" s="2427"/>
      <c r="I11" s="1831"/>
    </row>
    <row r="12" spans="1:12" ht="12.75">
      <c r="A12" s="3150" t="s">
        <v>2129</v>
      </c>
      <c r="B12" s="3076">
        <v>15</v>
      </c>
      <c r="C12" s="3180"/>
      <c r="D12" s="3168"/>
      <c r="E12" s="140" t="s">
        <v>2130</v>
      </c>
      <c r="F12" s="2427"/>
      <c r="G12" s="2427"/>
      <c r="H12" s="2427"/>
      <c r="I12" s="1831"/>
    </row>
    <row r="13" spans="1:12" ht="12.75">
      <c r="A13" s="3150"/>
      <c r="B13" s="3076"/>
      <c r="C13" s="3181"/>
      <c r="D13" s="3168"/>
      <c r="E13" s="140" t="s">
        <v>2131</v>
      </c>
      <c r="F13" s="2427"/>
      <c r="G13" s="2427"/>
      <c r="H13" s="2427"/>
      <c r="I13" s="1831"/>
    </row>
    <row r="14" spans="1:12" ht="12.75">
      <c r="A14" s="3150" t="s">
        <v>2132</v>
      </c>
      <c r="B14" s="3076">
        <v>30</v>
      </c>
      <c r="C14" s="3180">
        <v>55</v>
      </c>
      <c r="D14" s="3168">
        <v>45</v>
      </c>
      <c r="E14" s="140" t="s">
        <v>2133</v>
      </c>
      <c r="F14" s="2427"/>
      <c r="G14" s="2427"/>
      <c r="H14" s="2427"/>
      <c r="I14" s="1831"/>
    </row>
    <row r="15" spans="1:12" ht="12.75">
      <c r="A15" s="3150"/>
      <c r="B15" s="3076"/>
      <c r="C15" s="3182"/>
      <c r="D15" s="3168"/>
      <c r="E15" s="140" t="s">
        <v>2134</v>
      </c>
      <c r="F15" s="2427"/>
      <c r="G15" s="2427"/>
      <c r="H15" s="2427"/>
      <c r="I15" s="1831"/>
    </row>
    <row r="16" spans="1:12" ht="12.75">
      <c r="A16" s="3150"/>
      <c r="B16" s="3076"/>
      <c r="C16" s="3181"/>
      <c r="D16" s="3168"/>
      <c r="E16" s="140" t="s">
        <v>2135</v>
      </c>
      <c r="F16" s="2427"/>
      <c r="G16" s="2427"/>
      <c r="H16" s="2427"/>
      <c r="I16" s="1831"/>
    </row>
    <row r="17" spans="1:35" ht="15">
      <c r="A17" s="2428" t="s">
        <v>2136</v>
      </c>
      <c r="B17" s="64"/>
      <c r="C17" s="141">
        <f>SUM(C5:C16)</f>
        <v>55</v>
      </c>
      <c r="D17" s="141">
        <f>SUM(D5:D16)</f>
        <v>45</v>
      </c>
      <c r="E17" s="138"/>
      <c r="F17" s="138"/>
      <c r="G17" s="138"/>
      <c r="H17" s="138"/>
      <c r="I17" s="138"/>
      <c r="K17" s="2426"/>
      <c r="L17" s="2429" t="s">
        <v>2137</v>
      </c>
      <c r="M17" s="2429" t="s">
        <v>2138</v>
      </c>
    </row>
    <row r="18" spans="1:35" ht="15.75" thickBot="1">
      <c r="A18" s="2430" t="s">
        <v>2139</v>
      </c>
      <c r="B18" s="2431"/>
      <c r="C18" s="142">
        <f>ROUND(C17/SUM(C17:D17),2)</f>
        <v>0.55000000000000004</v>
      </c>
      <c r="D18" s="142">
        <f>1-C18</f>
        <v>0.44999999999999996</v>
      </c>
      <c r="E18" s="138"/>
      <c r="F18" s="138"/>
      <c r="G18" s="138"/>
      <c r="H18" s="138"/>
      <c r="I18" s="138"/>
      <c r="K18" s="2426" t="s">
        <v>2140</v>
      </c>
      <c r="L18" s="2426">
        <f>IF(C1="",'数据-汇总表'!E3,SUMIF(项目类型,C1,'数据-汇总表'!E17:E26)+SUMIF(项目类型,C1,'数据-汇总表'!I17:I26))</f>
        <v>4376.09</v>
      </c>
      <c r="M18" s="2426">
        <f>IF(C1="",'数据-汇总表'!E3,SUMIF(项目类型,C1,'数据-汇总表'!E17:E26))</f>
        <v>4376.09</v>
      </c>
    </row>
    <row r="19" spans="1:35" ht="15">
      <c r="A19" s="2432" t="s">
        <v>2141</v>
      </c>
      <c r="B19" s="2433" t="s">
        <v>2142</v>
      </c>
      <c r="C19" s="143">
        <f ca="1">SUMIF(INDIRECT("'"&amp;C4&amp;"'"&amp;"!A:A"),结果表!B19,INDIRECT("'"&amp;C4&amp;"'"&amp;"!B:B"))</f>
        <v>10310</v>
      </c>
      <c r="D19" s="144">
        <f ca="1">SUMIF(INDIRECT("'"&amp;D4&amp;"'"&amp;"!A:A"),结果表!B19,INDIRECT("'"&amp;D4&amp;"'"&amp;"!B:B"))</f>
        <v>15074</v>
      </c>
      <c r="E19" s="2432" t="s">
        <v>2143</v>
      </c>
      <c r="F19" s="2433" t="s">
        <v>2142</v>
      </c>
      <c r="G19" s="145">
        <f ca="1">ROUND(C19*$C$18+D19*$D$18,0)</f>
        <v>12454</v>
      </c>
      <c r="H19" s="2434" t="s">
        <v>2144</v>
      </c>
      <c r="I19" s="138"/>
      <c r="K19" s="2426" t="s">
        <v>2145</v>
      </c>
      <c r="L19" s="2426">
        <f>IF(C1="",'数据-汇总表'!D3,SUMIF(项目类型,C1,'数据-汇总表'!D17:D26)+SUMIF(项目类型,C1,'数据-汇总表'!H17:H27))</f>
        <v>4009</v>
      </c>
      <c r="M19" s="2426">
        <f>IF(C1="",'数据-汇总表'!D3,SUMIF(项目类型,C1,'数据-汇总表'!D17:D26))</f>
        <v>4009</v>
      </c>
    </row>
    <row r="20" spans="1:35" ht="15">
      <c r="A20" s="2435"/>
      <c r="B20" s="1247" t="s">
        <v>2146</v>
      </c>
      <c r="C20" s="146">
        <f ca="1">SUMIF(INDIRECT("'"&amp;C4&amp;"'"&amp;"!A:A"),结果表!B20,INDIRECT("'"&amp;C4&amp;"'"&amp;"!B:B"))</f>
        <v>23560</v>
      </c>
      <c r="D20" s="147">
        <f ca="1">SUMIF(INDIRECT("'"&amp;D4&amp;"'"&amp;"!A:A"),结果表!B20,INDIRECT("'"&amp;D4&amp;"'"&amp;"!B:B"))</f>
        <v>37828</v>
      </c>
      <c r="E20" s="2435"/>
      <c r="F20" s="1247" t="s">
        <v>2146</v>
      </c>
      <c r="G20" s="148">
        <f ca="1">ROUND(C20*$C$18+D20*$D$18,0)</f>
        <v>29981</v>
      </c>
      <c r="H20" s="980" t="s">
        <v>2147</v>
      </c>
      <c r="I20" s="138"/>
    </row>
    <row r="21" spans="1:35" ht="15" customHeight="1" thickBot="1">
      <c r="A21" s="1000"/>
      <c r="B21" s="2436" t="s">
        <v>2148</v>
      </c>
      <c r="C21" s="789">
        <f ca="1">ROUND(C19*10000/L19,0)</f>
        <v>25717</v>
      </c>
      <c r="D21" s="790">
        <f ca="1">ROUND(D19*10000/L19,0)</f>
        <v>37600</v>
      </c>
      <c r="E21" s="1000"/>
      <c r="F21" s="2436" t="s">
        <v>2148</v>
      </c>
      <c r="G21" s="149">
        <f ca="1">ROUND(G19*10000/L19,0)</f>
        <v>31065</v>
      </c>
      <c r="H21" s="2437" t="s">
        <v>2147</v>
      </c>
      <c r="I21" s="138"/>
    </row>
    <row r="22" spans="1:35" ht="15" thickBot="1">
      <c r="A22" s="2278" t="s">
        <v>2149</v>
      </c>
      <c r="B22" s="2438"/>
      <c r="C22" s="2439"/>
      <c r="D22" s="791">
        <f ca="1">IF(C19&lt;D19,D19/C19-1,C19/D19-1)</f>
        <v>0.46207565470417067</v>
      </c>
      <c r="E22" s="138"/>
      <c r="F22" s="138"/>
      <c r="G22" s="138"/>
      <c r="H22" s="138"/>
      <c r="I22" s="138"/>
    </row>
    <row r="23" spans="1:35" ht="13.5" thickBot="1">
      <c r="A23" s="2416"/>
      <c r="B23" s="2416"/>
      <c r="C23" s="2416"/>
      <c r="D23" s="2416"/>
      <c r="E23" s="138"/>
      <c r="F23" s="138"/>
      <c r="G23" s="138"/>
      <c r="H23" s="138"/>
      <c r="I23" s="138"/>
      <c r="J23" s="795">
        <f ca="1">ROUND(G19/B118*10000,0)</f>
        <v>28459</v>
      </c>
    </row>
    <row r="24" spans="1:35" ht="14.25">
      <c r="A24" s="3189" t="s">
        <v>2150</v>
      </c>
      <c r="B24" s="2433" t="s">
        <v>2142</v>
      </c>
      <c r="C24" s="145">
        <f>IF(B30=0,0,D30)</f>
        <v>0</v>
      </c>
      <c r="D24" s="2440"/>
      <c r="E24" s="138"/>
      <c r="F24" s="138"/>
      <c r="G24" s="138"/>
      <c r="H24" s="138"/>
      <c r="I24" s="138"/>
      <c r="J24" s="795">
        <f ca="1">ROUND(D19/B118*10000,0)</f>
        <v>34446</v>
      </c>
    </row>
    <row r="25" spans="1:35" ht="14.25">
      <c r="A25" s="3190"/>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12454</v>
      </c>
      <c r="D32" s="2447" t="s">
        <v>2157</v>
      </c>
      <c r="E32" s="138"/>
      <c r="F32" s="138"/>
      <c r="G32" s="138"/>
      <c r="H32" s="138"/>
      <c r="I32" s="138"/>
    </row>
    <row r="33" spans="1:15" ht="15">
      <c r="A33" s="957" t="s">
        <v>2158</v>
      </c>
      <c r="B33" s="2448"/>
      <c r="C33" s="2449" t="s">
        <v>3210</v>
      </c>
      <c r="D33" s="2450" t="s">
        <v>3178</v>
      </c>
      <c r="E33" s="2451" t="s">
        <v>2159</v>
      </c>
      <c r="F33" s="2452" t="str">
        <f>IF(D32="楼面单价","取值（单价）","取值（总价）")</f>
        <v>取值（总价）</v>
      </c>
      <c r="G33" s="138"/>
      <c r="H33" s="138"/>
      <c r="I33" s="138"/>
    </row>
    <row r="34" spans="1:15" ht="15">
      <c r="A34" s="2453"/>
      <c r="B34" s="2454" t="s">
        <v>2160</v>
      </c>
      <c r="C34" s="157">
        <f ca="1">IF(C33="自定义",F34,C32-C35)</f>
        <v>12454</v>
      </c>
      <c r="D34" s="1055">
        <f ca="1">IF(C33="自定义",ROUND(C34/C32,3),IF(C33="收益比率",SUMIF(INDIRECT("'"&amp;D33&amp;"'"&amp;"!b:b"),"土地收益比率",INDIRECT("'"&amp;D33&amp;"'"&amp;"!c:c")),SUMIF(INDIRECT("'"&amp;D33&amp;"'"&amp;"!b:b"),"土地成本比率",INDIRECT("'"&amp;D33&amp;"'"&amp;"!c:c"))))</f>
        <v>0</v>
      </c>
      <c r="E34" s="2455" t="s">
        <v>2161</v>
      </c>
      <c r="F34" s="1736"/>
      <c r="G34" s="138"/>
      <c r="H34" s="138"/>
      <c r="I34" s="138"/>
    </row>
    <row r="35" spans="1:15" ht="15.75" thickBot="1">
      <c r="A35" s="2456"/>
      <c r="B35" s="2457" t="s">
        <v>2162</v>
      </c>
      <c r="C35" s="1441">
        <f ca="1">IF(C33="自定义",F35,ROUND(C32*D35,0))</f>
        <v>0</v>
      </c>
      <c r="D35" s="1442">
        <f ca="1">IF(C33="自定义",ROUND(C35/C32,3),IF(C33="收益比率",SUMIF(INDIRECT("'"&amp;D33&amp;"'"&amp;"!b:b"),"建筑物收益比率",INDIRECT("'"&amp;D33&amp;"'"&amp;"!c:c")),SUMIF(INDIRECT("'"&amp;D33&amp;"'"&amp;"!b:b"),"建筑物成本比率",INDIRECT("'"&amp;D33&amp;"'"&amp;"!c:c"))))</f>
        <v>0</v>
      </c>
      <c r="E35" s="2458" t="s">
        <v>2163</v>
      </c>
      <c r="F35" s="163"/>
      <c r="G35" s="138"/>
      <c r="H35" s="138"/>
      <c r="I35" s="138"/>
    </row>
    <row r="36" spans="1:15" ht="15.75" thickBot="1">
      <c r="A36" s="3169" t="s">
        <v>2164</v>
      </c>
      <c r="B36" s="2459" t="s">
        <v>2165</v>
      </c>
      <c r="C36" s="154"/>
      <c r="D36" s="2460"/>
      <c r="E36" s="2461"/>
      <c r="F36" s="2462"/>
      <c r="G36" s="138"/>
      <c r="H36" s="138"/>
      <c r="I36" s="138"/>
    </row>
    <row r="37" spans="1:15" ht="15.75" thickBot="1">
      <c r="A37" s="3170"/>
      <c r="B37" s="2264" t="s">
        <v>2166</v>
      </c>
      <c r="C37" s="156"/>
      <c r="D37" s="1392"/>
      <c r="E37" s="1392"/>
      <c r="F37" s="2462"/>
      <c r="G37" s="138"/>
      <c r="H37" s="138"/>
      <c r="I37" s="138"/>
    </row>
    <row r="38" spans="1:15" ht="15.75" thickBot="1">
      <c r="A38" s="3171"/>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186" t="s">
        <v>2178</v>
      </c>
      <c r="B45" s="3187"/>
      <c r="C45" s="3188"/>
      <c r="D45" s="164">
        <f ca="1">ROUND(H101*F45,0)</f>
        <v>12454</v>
      </c>
      <c r="E45" s="165" t="s">
        <v>2179</v>
      </c>
      <c r="F45" s="166">
        <v>1</v>
      </c>
      <c r="G45" s="167" t="s">
        <v>2180</v>
      </c>
      <c r="H45" s="138"/>
      <c r="I45" s="138"/>
      <c r="J45" s="3105" t="s">
        <v>2181</v>
      </c>
      <c r="K45" s="3105"/>
      <c r="L45" s="3105"/>
      <c r="M45" s="3105"/>
      <c r="N45" s="3105"/>
      <c r="O45" s="3105"/>
    </row>
    <row r="46" spans="1:15" ht="14.25" customHeight="1">
      <c r="A46" s="3183" t="s">
        <v>2182</v>
      </c>
      <c r="B46" s="3184"/>
      <c r="C46" s="3184"/>
      <c r="D46" s="3184"/>
      <c r="E46" s="3184"/>
      <c r="F46" s="3184"/>
      <c r="G46" s="3185"/>
      <c r="H46" s="2478"/>
      <c r="I46" s="168"/>
      <c r="J46" s="1809">
        <v>1</v>
      </c>
      <c r="K46" s="3105" t="s">
        <v>2183</v>
      </c>
      <c r="L46" s="3105"/>
      <c r="M46" s="3106"/>
      <c r="N46" s="3106"/>
      <c r="O46" s="3106"/>
    </row>
    <row r="47" spans="1:15" ht="12" customHeight="1">
      <c r="A47" s="169" t="s">
        <v>2184</v>
      </c>
      <c r="B47" s="170"/>
      <c r="C47" s="171"/>
      <c r="D47" s="172" t="s">
        <v>2185</v>
      </c>
      <c r="E47" s="24" t="s">
        <v>2186</v>
      </c>
      <c r="F47" s="173" t="s">
        <v>2187</v>
      </c>
      <c r="G47" s="174" t="s">
        <v>2188</v>
      </c>
      <c r="H47" s="2478"/>
      <c r="I47" s="168"/>
      <c r="J47" s="1809">
        <v>2</v>
      </c>
      <c r="K47" s="3105" t="s">
        <v>2189</v>
      </c>
      <c r="L47" s="3105"/>
      <c r="M47" s="3107">
        <f>'数据-取费表'!B2</f>
        <v>43734</v>
      </c>
      <c r="N47" s="3107"/>
      <c r="O47" s="3107"/>
    </row>
    <row r="48" spans="1:15" ht="25.5">
      <c r="A48" s="3173" t="s">
        <v>2190</v>
      </c>
      <c r="B48" s="3174"/>
      <c r="C48" s="3174"/>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105" t="s">
        <v>2193</v>
      </c>
      <c r="L48" s="3105"/>
      <c r="M48" s="3108">
        <f ca="1">H101</f>
        <v>12454</v>
      </c>
      <c r="N48" s="3108"/>
      <c r="O48" s="3108"/>
    </row>
    <row r="49" spans="1:35" ht="25.5" customHeight="1">
      <c r="A49" s="176" t="s">
        <v>2194</v>
      </c>
      <c r="B49" s="3153" t="s">
        <v>2195</v>
      </c>
      <c r="C49" s="3153"/>
      <c r="D49" s="177">
        <v>0</v>
      </c>
      <c r="E49" s="23" t="s">
        <v>2196</v>
      </c>
      <c r="F49" s="28" t="s">
        <v>34</v>
      </c>
      <c r="G49" s="3134"/>
      <c r="H49" s="138"/>
      <c r="I49" s="2481"/>
      <c r="J49" s="1809">
        <v>4</v>
      </c>
      <c r="K49" s="3105" t="str">
        <f>IF(项目基本情况!E8="房地产抵押价值","房地产抵押价值","抵押担保权已注销时的房地产抵押价值")</f>
        <v>房地产抵押价值</v>
      </c>
      <c r="L49" s="3105"/>
      <c r="M49" s="3108">
        <f ca="1">IF(项目基本情况!E8="房地产抵押价值",H107,H109)</f>
        <v>12454</v>
      </c>
      <c r="N49" s="3108"/>
      <c r="O49" s="3108"/>
    </row>
    <row r="50" spans="1:35" ht="25.5" customHeight="1">
      <c r="A50" s="178"/>
      <c r="B50" s="3153" t="s">
        <v>2197</v>
      </c>
      <c r="C50" s="3153"/>
      <c r="D50" s="179"/>
      <c r="E50" s="31"/>
      <c r="F50" s="180"/>
      <c r="G50" s="3135"/>
      <c r="H50" s="138"/>
      <c r="I50" s="2481"/>
      <c r="J50" s="3105" t="s">
        <v>2198</v>
      </c>
      <c r="K50" s="3105"/>
      <c r="L50" s="3105"/>
      <c r="M50" s="3105"/>
      <c r="N50" s="3105"/>
      <c r="O50" s="3105"/>
    </row>
    <row r="51" spans="1:35" ht="12" customHeight="1">
      <c r="A51" s="181"/>
      <c r="B51" s="3153" t="s">
        <v>2199</v>
      </c>
      <c r="C51" s="3153"/>
      <c r="D51" s="182"/>
      <c r="E51" s="30"/>
      <c r="F51" s="180"/>
      <c r="G51" s="3136"/>
      <c r="H51" s="138"/>
      <c r="I51" s="2481"/>
      <c r="J51" s="2482" t="s">
        <v>2200</v>
      </c>
      <c r="K51" s="3105" t="s">
        <v>2201</v>
      </c>
      <c r="L51" s="3105"/>
      <c r="M51" s="2482" t="s">
        <v>2202</v>
      </c>
      <c r="N51" s="2482" t="s">
        <v>2203</v>
      </c>
      <c r="O51" s="2482" t="s">
        <v>2204</v>
      </c>
    </row>
    <row r="52" spans="1:35" ht="24" customHeight="1">
      <c r="A52" s="183" t="s">
        <v>2205</v>
      </c>
      <c r="B52" s="3153" t="s">
        <v>2206</v>
      </c>
      <c r="C52" s="3153"/>
      <c r="D52" s="182">
        <f ca="1">ROUND(D45*'数据-取费表'!B41/(1+'数据-取费表'!C42),0)</f>
        <v>664</v>
      </c>
      <c r="E52" s="11" t="s">
        <v>2207</v>
      </c>
      <c r="F52" s="184">
        <f>'数据-取费表'!B41</f>
        <v>5.6000000000000001E-2</v>
      </c>
      <c r="G52" s="2483"/>
      <c r="H52" s="138"/>
      <c r="I52" s="2481"/>
      <c r="J52" s="1809">
        <v>1</v>
      </c>
      <c r="K52" s="3128" t="s">
        <v>2208</v>
      </c>
      <c r="L52" s="3128"/>
      <c r="M52" s="1751">
        <f>D48</f>
        <v>0</v>
      </c>
      <c r="N52" s="1809" t="str">
        <f>E48</f>
        <v>销售额×税（费）率</v>
      </c>
      <c r="O52" s="1752" t="str">
        <f>F48</f>
        <v>免征</v>
      </c>
    </row>
    <row r="53" spans="1:35" ht="12" customHeight="1">
      <c r="A53" s="183" t="s">
        <v>2209</v>
      </c>
      <c r="B53" s="3154" t="s">
        <v>2210</v>
      </c>
      <c r="C53" s="3155"/>
      <c r="D53" s="182">
        <f ca="1">ROUND(D45*'数据-取费表'!B41/(1+'数据-取费表'!C42),0)</f>
        <v>664</v>
      </c>
      <c r="E53" s="11" t="s">
        <v>2207</v>
      </c>
      <c r="F53" s="184">
        <f>'数据-取费表'!B41</f>
        <v>5.6000000000000001E-2</v>
      </c>
      <c r="G53" s="2483"/>
      <c r="H53" s="138"/>
      <c r="I53" s="2481"/>
      <c r="J53" s="1809">
        <v>2</v>
      </c>
      <c r="K53" s="3128" t="s">
        <v>2211</v>
      </c>
      <c r="L53" s="3128"/>
      <c r="M53" s="1751">
        <f t="shared" ref="M53:O54" ca="1" si="0">D55</f>
        <v>6</v>
      </c>
      <c r="N53" s="1809" t="str">
        <f t="shared" si="0"/>
        <v>销售额×税（费）率</v>
      </c>
      <c r="O53" s="1752">
        <f t="shared" si="0"/>
        <v>5.0000000000000001E-4</v>
      </c>
    </row>
    <row r="54" spans="1:35" ht="12" customHeight="1">
      <c r="A54" s="183" t="s">
        <v>2212</v>
      </c>
      <c r="B54" s="3154" t="s">
        <v>2213</v>
      </c>
      <c r="C54" s="3155"/>
      <c r="D54" s="182">
        <f ca="1">C68</f>
        <v>664</v>
      </c>
      <c r="E54" s="30" t="s">
        <v>2214</v>
      </c>
      <c r="F54" s="184">
        <f>'数据-取费表'!B41</f>
        <v>5.6000000000000001E-2</v>
      </c>
      <c r="G54" s="2483"/>
      <c r="H54" s="2484"/>
      <c r="I54" s="2481"/>
      <c r="J54" s="1809">
        <v>3</v>
      </c>
      <c r="K54" s="3128" t="s">
        <v>2215</v>
      </c>
      <c r="L54" s="3128"/>
      <c r="M54" s="1751">
        <f t="shared" ca="1" si="0"/>
        <v>7049</v>
      </c>
      <c r="N54" s="1809" t="str">
        <f t="shared" si="0"/>
        <v>增值额×税（费）率</v>
      </c>
      <c r="O54" s="1753" t="str">
        <f t="shared" si="0"/>
        <v>——</v>
      </c>
    </row>
    <row r="55" spans="1:35" ht="24" customHeight="1">
      <c r="A55" s="3192" t="s">
        <v>2216</v>
      </c>
      <c r="B55" s="3174"/>
      <c r="C55" s="3174"/>
      <c r="D55" s="185">
        <f ca="1">IF(H55="个人住宅",0,ROUND(D45*I55,0))</f>
        <v>6</v>
      </c>
      <c r="E55" s="11" t="s">
        <v>2217</v>
      </c>
      <c r="F55" s="184">
        <f>IF(H55="正常",I55,"免征")</f>
        <v>5.0000000000000001E-4</v>
      </c>
      <c r="G55" s="2483"/>
      <c r="H55" s="2480" t="s">
        <v>2218</v>
      </c>
      <c r="I55" s="186">
        <f>'数据-取费表'!B49</f>
        <v>5.0000000000000001E-4</v>
      </c>
      <c r="J55" s="1809" t="str">
        <f>IF(H59="非个人房产","",4)</f>
        <v/>
      </c>
      <c r="K55" s="3128" t="str">
        <f>IF(H59="非个人房产","——","个人所得税")</f>
        <v>——</v>
      </c>
      <c r="L55" s="3128"/>
      <c r="M55" s="1754" t="str">
        <f>D59</f>
        <v>——</v>
      </c>
      <c r="N55" s="1807" t="str">
        <f>E59</f>
        <v>——</v>
      </c>
      <c r="O55" s="1755" t="str">
        <f>F59</f>
        <v>——</v>
      </c>
    </row>
    <row r="56" spans="1:35" ht="24.75">
      <c r="A56" s="3192" t="s">
        <v>2219</v>
      </c>
      <c r="B56" s="3174"/>
      <c r="C56" s="3174"/>
      <c r="D56" s="185">
        <f ca="1">IF(H56="个人住宅",D57,D58)</f>
        <v>7049</v>
      </c>
      <c r="E56" s="11" t="s">
        <v>2220</v>
      </c>
      <c r="F56" s="184" t="str">
        <f>IF(H56="正常",F58,"免征")</f>
        <v>——</v>
      </c>
      <c r="G56" s="2485" t="s">
        <v>2221</v>
      </c>
      <c r="H56" s="2486" t="s">
        <v>2218</v>
      </c>
      <c r="I56" s="2487"/>
      <c r="J56" s="1809" t="str">
        <f>IF(项目基本情况!K6="上海银行",IF(J55="",4,J55+1),"")</f>
        <v/>
      </c>
      <c r="K56" s="3111" t="str">
        <f>IF(项目基本情况!K6="上海银行","其他处置费用","")</f>
        <v/>
      </c>
      <c r="L56" s="3112"/>
      <c r="M56" s="1751" t="str">
        <f>IF(项目基本情况!K6="上海银行",M69,"")</f>
        <v/>
      </c>
      <c r="N56" s="3114" t="str">
        <f>IF(项目基本情况!K6="上海银行","包含处置中涉及的律师、诉讼、拍卖、评估等费用","")</f>
        <v/>
      </c>
      <c r="O56" s="3115"/>
    </row>
    <row r="57" spans="1:35" ht="12.75">
      <c r="A57" s="183" t="s">
        <v>2194</v>
      </c>
      <c r="B57" s="3159" t="s">
        <v>2222</v>
      </c>
      <c r="C57" s="3160"/>
      <c r="D57" s="187">
        <v>0</v>
      </c>
      <c r="E57" s="23" t="s">
        <v>2196</v>
      </c>
      <c r="F57" s="155"/>
      <c r="G57" s="2483"/>
      <c r="H57" s="2487"/>
      <c r="I57" s="2487"/>
      <c r="J57" s="3128">
        <f>IF(AND(J55="",J56=""),4,IF(项目基本情况!K6="上海银行",结果表!J56+1,结果表!J55+1))</f>
        <v>4</v>
      </c>
      <c r="K57" s="3128" t="s">
        <v>2223</v>
      </c>
      <c r="L57" s="2488" t="s">
        <v>2224</v>
      </c>
      <c r="M57" s="1756"/>
      <c r="N57" s="1757">
        <f ca="1">SUMIF(M52:M56,"&lt;9e307")</f>
        <v>7055</v>
      </c>
      <c r="O57" s="2489"/>
      <c r="P57" s="1750">
        <f ca="1">N57/M49</f>
        <v>0.56648466356190785</v>
      </c>
    </row>
    <row r="58" spans="1:35" ht="24.75">
      <c r="A58" s="183" t="s">
        <v>2205</v>
      </c>
      <c r="B58" s="3159" t="s">
        <v>2225</v>
      </c>
      <c r="C58" s="3172"/>
      <c r="D58" s="185">
        <f ca="1">IF(H58="转让取得",C81,C97)</f>
        <v>7049</v>
      </c>
      <c r="E58" s="11" t="s">
        <v>2220</v>
      </c>
      <c r="F58" s="24" t="s">
        <v>34</v>
      </c>
      <c r="G58" s="2483"/>
      <c r="H58" s="2486" t="s">
        <v>2226</v>
      </c>
      <c r="I58" s="2487"/>
      <c r="J58" s="3128"/>
      <c r="K58" s="3128"/>
      <c r="L58" s="2488" t="s">
        <v>2227</v>
      </c>
      <c r="M58" s="1758"/>
      <c r="N58" s="2490" t="str">
        <f ca="1">NUMBERSTRING(INT(N57*10000),2)&amp;"元整"</f>
        <v>柒仟零伍拾伍万元整</v>
      </c>
      <c r="O58" s="2491"/>
    </row>
    <row r="59" spans="1:35" ht="24.75" thickBot="1">
      <c r="A59" s="3132" t="s">
        <v>2228</v>
      </c>
      <c r="B59" s="3133"/>
      <c r="C59" s="3133"/>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130">
        <f>J57+1</f>
        <v>5</v>
      </c>
      <c r="K59" s="3128" t="s">
        <v>2230</v>
      </c>
      <c r="L59" s="1809" t="s">
        <v>2224</v>
      </c>
      <c r="M59" s="1759"/>
      <c r="N59" s="1760">
        <f ca="1">M49-N57</f>
        <v>5399</v>
      </c>
      <c r="O59" s="2493"/>
    </row>
    <row r="60" spans="1:35" ht="12" customHeight="1">
      <c r="A60" s="2494"/>
      <c r="B60" s="2416"/>
      <c r="C60" s="2416"/>
      <c r="D60" s="2416"/>
      <c r="E60" s="2163"/>
      <c r="F60" s="2487"/>
      <c r="G60" s="2487"/>
      <c r="H60" s="2495"/>
      <c r="I60" s="138"/>
      <c r="J60" s="3131"/>
      <c r="K60" s="3128"/>
      <c r="L60" s="2488" t="s">
        <v>2227</v>
      </c>
      <c r="M60" s="1758"/>
      <c r="N60" s="2490" t="str">
        <f ca="1">NUMBERSTRING(INT(N59*10000),2)&amp;"元整"</f>
        <v>伍仟叁佰玖拾玖万元整</v>
      </c>
      <c r="O60" s="2491"/>
    </row>
    <row r="61" spans="1:35" ht="13.5" thickBot="1">
      <c r="A61" s="3191" t="s">
        <v>2231</v>
      </c>
      <c r="B61" s="3191"/>
      <c r="C61" s="3191"/>
      <c r="D61" s="3191"/>
      <c r="E61" s="3191"/>
      <c r="F61" s="2487"/>
      <c r="G61" s="2487"/>
      <c r="H61" s="2495"/>
      <c r="I61" s="138"/>
      <c r="J61" s="1809">
        <f>J59+1</f>
        <v>6</v>
      </c>
      <c r="K61" s="3128" t="s">
        <v>2232</v>
      </c>
      <c r="L61" s="3128"/>
      <c r="M61" s="1761"/>
      <c r="N61" s="1762">
        <f ca="1">ROUND(N59*10000/'数据-汇总表'!E3,0)</f>
        <v>12337</v>
      </c>
      <c r="O61" s="2496"/>
    </row>
    <row r="62" spans="1:35" ht="12.75">
      <c r="A62" s="3148" t="s">
        <v>2233</v>
      </c>
      <c r="B62" s="3149"/>
      <c r="C62" s="1801"/>
      <c r="D62" s="1801" t="s">
        <v>2234</v>
      </c>
      <c r="E62" s="192" t="s">
        <v>2235</v>
      </c>
      <c r="F62" s="2487"/>
      <c r="G62" s="2487"/>
      <c r="H62" s="2495"/>
      <c r="I62" s="138"/>
    </row>
    <row r="63" spans="1:35" ht="12.75">
      <c r="A63" s="203" t="s">
        <v>775</v>
      </c>
      <c r="B63" s="193" t="s">
        <v>2236</v>
      </c>
      <c r="C63" s="194">
        <f ca="1">ROUND((C64+C65)/(1+'数据-取费表'!C42),0)</f>
        <v>11861</v>
      </c>
      <c r="D63" s="195"/>
      <c r="E63" s="196"/>
      <c r="F63" s="2487"/>
      <c r="G63" s="2487"/>
      <c r="H63" s="2495"/>
      <c r="I63" s="138"/>
      <c r="J63" s="3113" t="s">
        <v>2237</v>
      </c>
      <c r="K63" s="2497" t="s">
        <v>2238</v>
      </c>
      <c r="L63" s="1749">
        <f ca="1">IF(M49&gt;10000,M49*0.5%,IF(AND(M49&gt;1000,M49&lt;=10000),M49*1%,IF(AND(M49&gt;100,M49&lt;=1000),M49*3%,IF(AND(M49&gt;10,M49&lt;=100),M49*5%,M49*8%))))</f>
        <v>62.27</v>
      </c>
      <c r="M63" s="24">
        <f ca="1">ROUND(L63,1)</f>
        <v>62.3</v>
      </c>
      <c r="Z63" s="2421"/>
      <c r="AI63" s="2422"/>
    </row>
    <row r="64" spans="1:35" ht="14.25" customHeight="1">
      <c r="A64" s="197" t="s">
        <v>770</v>
      </c>
      <c r="B64" s="198" t="s">
        <v>2239</v>
      </c>
      <c r="C64" s="199">
        <f ca="1">D45</f>
        <v>12454</v>
      </c>
      <c r="D64" s="200" t="s">
        <v>32</v>
      </c>
      <c r="E64" s="201"/>
      <c r="F64" s="2487"/>
      <c r="G64" s="2487"/>
      <c r="H64" s="2495"/>
      <c r="I64" s="138"/>
      <c r="J64" s="3113"/>
      <c r="K64" s="2497" t="s">
        <v>2240</v>
      </c>
      <c r="L64" s="1749">
        <f ca="1">IF(M49&gt;2000,M49*0.5%,IF(AND(M49&gt;1000,M49&lt;=2000),M49*0.6%,IF(AND(M49&gt;500,M49&lt;=1000),M49*0.7%,IF(AND(M49&gt;200,M49&lt;=500),M49*0.8%,IF(AND(M49&gt;100,M49&lt;=200),M49*0.9%,IF(AND(M49&gt;50,M49&lt;=100),M49*1%,IF(AND(M49&gt;20,M49&lt;=50),M49*1.5%,IF(AND(M49&gt;10,M49&lt;=20),M49*2%,IF(AND(M49&gt;1,M49&lt;=10),M49*2.5%)))))))))</f>
        <v>62.27</v>
      </c>
      <c r="M64" s="24">
        <f t="shared" ref="M64:M65" ca="1" si="1">ROUND(L64,1)</f>
        <v>62.3</v>
      </c>
      <c r="N64" s="138" t="s">
        <v>2241</v>
      </c>
      <c r="Z64" s="2421"/>
      <c r="AI64" s="2422"/>
    </row>
    <row r="65" spans="1:35" ht="14.25" customHeight="1">
      <c r="A65" s="197" t="s">
        <v>771</v>
      </c>
      <c r="B65" s="198" t="s">
        <v>2242</v>
      </c>
      <c r="C65" s="202"/>
      <c r="D65" s="200"/>
      <c r="E65" s="201"/>
      <c r="F65" s="2487"/>
      <c r="G65" s="2487"/>
      <c r="H65" s="2495"/>
      <c r="I65" s="138"/>
      <c r="J65" s="3113"/>
      <c r="K65" s="2497" t="s">
        <v>2243</v>
      </c>
      <c r="L65" s="1749">
        <f ca="1">IF(M49&gt;1000,M49*0.1%,IF(AND(M49&gt;500,M49&lt;=1000),M49*0.5%,IF(AND(M49&gt;50,M49&lt;=500),M49*1%,IF(AND(M49&gt;1,M49&lt;=50),M49*1.5%))))</f>
        <v>12.454000000000001</v>
      </c>
      <c r="M65" s="24">
        <f t="shared" ca="1" si="1"/>
        <v>12.5</v>
      </c>
      <c r="N65" s="138" t="s">
        <v>2241</v>
      </c>
      <c r="Z65" s="2421"/>
      <c r="AI65" s="2422"/>
    </row>
    <row r="66" spans="1:35" ht="14.25" customHeight="1">
      <c r="A66" s="203" t="s">
        <v>772</v>
      </c>
      <c r="B66" s="204" t="s">
        <v>2244</v>
      </c>
      <c r="C66" s="205"/>
      <c r="D66" s="206" t="s">
        <v>32</v>
      </c>
      <c r="E66" s="1773" t="s">
        <v>1367</v>
      </c>
      <c r="F66" s="2487"/>
      <c r="G66" s="2487"/>
      <c r="H66" s="2495"/>
      <c r="I66" s="138"/>
      <c r="J66" s="3113"/>
      <c r="K66" s="2497" t="s">
        <v>2245</v>
      </c>
      <c r="L66" s="1749">
        <f ca="1">M49*0.5%</f>
        <v>62.27</v>
      </c>
      <c r="M66" s="24">
        <f ca="1">IF(L66&gt;0.5,0.5,ROUND(L66,0))</f>
        <v>0.5</v>
      </c>
      <c r="N66" s="138" t="s">
        <v>2246</v>
      </c>
      <c r="Z66" s="2421"/>
      <c r="AI66" s="2422"/>
    </row>
    <row r="67" spans="1:35" ht="14.25" customHeight="1">
      <c r="A67" s="203" t="s">
        <v>773</v>
      </c>
      <c r="B67" s="204" t="s">
        <v>2247</v>
      </c>
      <c r="C67" s="207">
        <f ca="1">C63-C66</f>
        <v>11861</v>
      </c>
      <c r="D67" s="200" t="s">
        <v>32</v>
      </c>
      <c r="E67" s="201"/>
      <c r="F67" s="2487"/>
      <c r="G67" s="2487"/>
      <c r="H67" s="2495"/>
      <c r="I67" s="138"/>
      <c r="J67" s="3113"/>
      <c r="K67" s="2497" t="s">
        <v>2248</v>
      </c>
      <c r="L67" s="1749">
        <f ca="1">IF(M49&gt;=10000,(8.25+(M49-10000)*0.01%),IF(AND(M49&gt;=8000,M49&lt;10000),(7.85+(M49-8000)*0.02%),IF(AND(M49&gt;=5000,M49&lt;8000),(6.65+(M49-5000)*0.04%),IF(AND(M49&gt;=2000,M49&lt;5000),(4.25+(PM49-2000)*0.08%),IF(AND(M49&gt;=1000,M49&lt;2000),(2.75+(M49-1000)*0.15%),IF(AND(M49&gt;=100,M49&lt;1000),(0.5+(M49-100)*0.25%),IF(AND(M49&gt;0,M49&lt;100),M49*0.5%)))))))</f>
        <v>8.4954000000000001</v>
      </c>
      <c r="M67" s="24">
        <f ca="1">ROUND(L67*0.9,1)</f>
        <v>7.6</v>
      </c>
      <c r="Z67" s="2421"/>
      <c r="AI67" s="2422"/>
    </row>
    <row r="68" spans="1:35" ht="14.25" customHeight="1" thickBot="1">
      <c r="A68" s="208" t="s">
        <v>774</v>
      </c>
      <c r="B68" s="209" t="s">
        <v>2249</v>
      </c>
      <c r="C68" s="210">
        <f ca="1">IF(C67&lt;=0,0,ROUND(C67*D68,0))</f>
        <v>664</v>
      </c>
      <c r="D68" s="211">
        <f>'数据-取费表'!B41</f>
        <v>5.6000000000000001E-2</v>
      </c>
      <c r="E68" s="212"/>
      <c r="F68" s="2487"/>
      <c r="G68" s="2487"/>
      <c r="H68" s="2495"/>
      <c r="I68" s="138"/>
      <c r="J68" s="3113"/>
      <c r="K68" s="2497" t="s">
        <v>2250</v>
      </c>
      <c r="L68" s="1749">
        <f ca="1">IF(M49&gt;10000,M49*0.5%,IF(AND(M49&gt;5000,M49&lt;=10000),M49*1%,IF(AND(M49&gt;1000,M49&lt;=5000),M49*2%,IF(AND(M49&gt;200,M49&lt;=1000),M49*3%,M49*5%))))</f>
        <v>62.27</v>
      </c>
      <c r="M68" s="24">
        <f ca="1">ROUND(L68,1)</f>
        <v>62.3</v>
      </c>
      <c r="Z68" s="2421"/>
      <c r="AI68" s="2422"/>
    </row>
    <row r="69" spans="1:35" s="2444" customFormat="1" ht="16.5" customHeight="1">
      <c r="A69" s="2498"/>
      <c r="B69" s="2499"/>
      <c r="C69" s="2500"/>
      <c r="D69" s="2501"/>
      <c r="E69" s="2502"/>
      <c r="F69" s="2163"/>
      <c r="G69" s="2163"/>
      <c r="H69" s="2162"/>
      <c r="I69" s="2416"/>
      <c r="J69" s="3113"/>
      <c r="K69" s="2497" t="s">
        <v>2251</v>
      </c>
      <c r="L69" s="2503"/>
      <c r="M69" s="24">
        <f ca="1">ROUND(SUM(M63:M68),0)</f>
        <v>208</v>
      </c>
      <c r="N69" s="1750">
        <f ca="1">M69/M49</f>
        <v>1.6701461377870562E-2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7" t="s">
        <v>2252</v>
      </c>
      <c r="B70" s="3158"/>
      <c r="C70" s="3158"/>
      <c r="D70" s="3158"/>
      <c r="E70" s="3158"/>
      <c r="F70" s="3158"/>
      <c r="G70" s="3158"/>
      <c r="H70" s="315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8" t="s">
        <v>2233</v>
      </c>
      <c r="B71" s="3149"/>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11861</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71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154" t="s">
        <v>2261</v>
      </c>
      <c r="F76" s="3153"/>
      <c r="G76" s="3153"/>
      <c r="H76" s="315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71</v>
      </c>
      <c r="D78" s="226">
        <f>'数据-取费表'!B43</f>
        <v>6.000000000000001E-3</v>
      </c>
      <c r="E78" s="3145" t="s">
        <v>2266</v>
      </c>
      <c r="F78" s="3146"/>
      <c r="G78" s="3146"/>
      <c r="H78" s="314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11790</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166.05633802816902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7049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7" t="s">
        <v>2270</v>
      </c>
      <c r="B83" s="3158"/>
      <c r="C83" s="3158"/>
      <c r="D83" s="3158"/>
      <c r="E83" s="3158"/>
      <c r="F83" s="3158"/>
      <c r="G83" s="3158"/>
      <c r="H83" s="315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8" t="s">
        <v>2233</v>
      </c>
      <c r="B84" s="3149"/>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11861</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71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145" t="s">
        <v>2279</v>
      </c>
      <c r="F91" s="3146"/>
      <c r="G91" s="3146"/>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145" t="s">
        <v>2283</v>
      </c>
      <c r="F92" s="3146"/>
      <c r="G92" s="3146"/>
      <c r="H92" s="314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71</v>
      </c>
      <c r="D93" s="226">
        <f>'数据-取费表'!B43</f>
        <v>6.000000000000001E-3</v>
      </c>
      <c r="E93" s="3145" t="s">
        <v>2266</v>
      </c>
      <c r="F93" s="3146"/>
      <c r="G93" s="3146"/>
      <c r="H93" s="314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193" t="s">
        <v>2287</v>
      </c>
      <c r="F94" s="3194"/>
      <c r="G94" s="3194"/>
      <c r="H94" s="319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11790</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166.05633802816902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7049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97" t="s">
        <v>2289</v>
      </c>
      <c r="B100" s="3098"/>
      <c r="C100" s="3098"/>
      <c r="D100" s="3129"/>
      <c r="E100" s="3098" t="s">
        <v>2290</v>
      </c>
      <c r="F100" s="3098"/>
      <c r="G100" s="3098"/>
      <c r="H100" s="3129"/>
      <c r="I100" s="138"/>
    </row>
    <row r="101" spans="1:35" ht="18.75" customHeight="1">
      <c r="A101" s="3137" t="s">
        <v>2291</v>
      </c>
      <c r="B101" s="3138"/>
      <c r="C101" s="736" t="str">
        <f>C4</f>
        <v>收益法（汇总）</v>
      </c>
      <c r="D101" s="737" t="str">
        <f>D4</f>
        <v>典型户型修正</v>
      </c>
      <c r="E101" s="3109" t="s">
        <v>2292</v>
      </c>
      <c r="F101" s="3110"/>
      <c r="G101" s="2518" t="s">
        <v>2293</v>
      </c>
      <c r="H101" s="1045">
        <f ca="1">H118</f>
        <v>12454</v>
      </c>
      <c r="I101" s="138"/>
    </row>
    <row r="102" spans="1:35" ht="18.75" customHeight="1">
      <c r="A102" s="3139" t="s">
        <v>2294</v>
      </c>
      <c r="B102" s="2518" t="s">
        <v>2293</v>
      </c>
      <c r="C102" s="736">
        <f ca="1">C19</f>
        <v>10310</v>
      </c>
      <c r="D102" s="737">
        <f ca="1">D19</f>
        <v>15074</v>
      </c>
      <c r="E102" s="3109"/>
      <c r="F102" s="3110"/>
      <c r="G102" s="2518" t="s">
        <v>2295</v>
      </c>
      <c r="H102" s="371">
        <f ca="1">I118</f>
        <v>28459</v>
      </c>
      <c r="I102" s="138"/>
    </row>
    <row r="103" spans="1:35" ht="42.75" customHeight="1">
      <c r="A103" s="3139"/>
      <c r="B103" s="2518" t="s">
        <v>2295</v>
      </c>
      <c r="C103" s="738">
        <f ca="1">C20</f>
        <v>23560</v>
      </c>
      <c r="D103" s="739">
        <f ca="1">D20</f>
        <v>37828</v>
      </c>
      <c r="E103" s="3103" t="s">
        <v>2296</v>
      </c>
      <c r="F103" s="3104"/>
      <c r="G103" s="2519" t="s">
        <v>2297</v>
      </c>
      <c r="H103" s="1045">
        <f>IF(D36="正常操作",H104+H105+H106,H105+H106)</f>
        <v>0</v>
      </c>
      <c r="I103" s="138"/>
    </row>
    <row r="104" spans="1:35" ht="18.75" customHeight="1">
      <c r="A104" s="3139" t="s">
        <v>2298</v>
      </c>
      <c r="B104" s="2520" t="s">
        <v>2293</v>
      </c>
      <c r="C104" s="740">
        <f ca="1">H118</f>
        <v>12454</v>
      </c>
      <c r="D104" s="741"/>
      <c r="E104" s="2264" t="s">
        <v>2299</v>
      </c>
      <c r="F104" s="2255"/>
      <c r="G104" s="2519" t="s">
        <v>2297</v>
      </c>
      <c r="H104" s="1046">
        <f>IF(D36="同一抵押权人同一抵押物续贷",C36&amp;"（未扣减，详见特别提示）",C36)</f>
        <v>0</v>
      </c>
      <c r="I104" s="138"/>
    </row>
    <row r="105" spans="1:35" ht="18.75" customHeight="1" thickBot="1">
      <c r="A105" s="3151"/>
      <c r="B105" s="2521" t="s">
        <v>2295</v>
      </c>
      <c r="C105" s="742">
        <f ca="1">I118</f>
        <v>28459</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140" t="str">
        <f>IF(项目基本情况!E8="已注销","——","3.房地产抵押价值")</f>
        <v>3.房地产抵押价值</v>
      </c>
      <c r="F107" s="3110"/>
      <c r="G107" s="2518" t="s">
        <v>2293</v>
      </c>
      <c r="H107" s="1045">
        <f ca="1">IF(E107="——","——",H101-H103)</f>
        <v>12454</v>
      </c>
      <c r="I107" s="138"/>
    </row>
    <row r="108" spans="1:35" ht="18.75" customHeight="1">
      <c r="A108" s="138"/>
      <c r="B108" s="138"/>
      <c r="C108" s="138"/>
      <c r="D108" s="138"/>
      <c r="E108" s="3140"/>
      <c r="F108" s="3110"/>
      <c r="G108" s="2518" t="s">
        <v>2295</v>
      </c>
      <c r="H108" s="371">
        <f ca="1">ROUND(H107*10000/'数据-汇总表'!E3,0)</f>
        <v>28459</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18" t="s">
        <v>2293</v>
      </c>
      <c r="H109" s="348" t="str">
        <f>IF(E109="——","——",H101-H105-H106)</f>
        <v>——</v>
      </c>
      <c r="I109" s="138"/>
    </row>
    <row r="110" spans="1:35" ht="18.75" customHeight="1">
      <c r="A110" s="138"/>
      <c r="B110" s="138"/>
      <c r="C110" s="138"/>
      <c r="D110" s="138"/>
      <c r="E110" s="3140"/>
      <c r="F110" s="3110"/>
      <c r="G110" s="2518" t="s">
        <v>2295</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4.抵押净值</v>
      </c>
      <c r="F111" s="3142"/>
      <c r="G111" s="2518" t="s">
        <v>2293</v>
      </c>
      <c r="H111" s="1045">
        <f ca="1">IF(E111="——","——",N59)</f>
        <v>5399</v>
      </c>
      <c r="I111" s="138"/>
    </row>
    <row r="112" spans="1:35" ht="18.75" customHeight="1" thickBot="1">
      <c r="A112" s="138"/>
      <c r="B112" s="138"/>
      <c r="C112" s="138"/>
      <c r="D112" s="138"/>
      <c r="E112" s="3143"/>
      <c r="F112" s="3144"/>
      <c r="G112" s="2523" t="s">
        <v>2295</v>
      </c>
      <c r="H112" s="790">
        <f ca="1">IF(E111="——","——",N61)</f>
        <v>12337</v>
      </c>
      <c r="I112" s="138"/>
    </row>
    <row r="113" spans="1:11" ht="18.75" customHeight="1">
      <c r="A113" s="138"/>
      <c r="B113" s="138"/>
      <c r="C113" s="138"/>
      <c r="D113" s="138"/>
      <c r="E113" s="3152" t="s">
        <v>2301</v>
      </c>
      <c r="F113" s="3152"/>
      <c r="G113" s="3152"/>
      <c r="H113" s="3152"/>
      <c r="I113" s="138"/>
    </row>
    <row r="114" spans="1:11" ht="3.75" customHeight="1">
      <c r="A114" s="2416"/>
      <c r="B114" s="2416"/>
      <c r="C114" s="2416"/>
      <c r="D114" s="2416"/>
      <c r="E114" s="2494"/>
      <c r="F114" s="2494"/>
      <c r="G114" s="2494"/>
      <c r="H114" s="2494"/>
      <c r="I114" s="2416"/>
    </row>
    <row r="115" spans="1:11" ht="18.75" customHeight="1">
      <c r="A115" s="3165" t="s">
        <v>2303</v>
      </c>
      <c r="B115" s="3166"/>
      <c r="C115" s="3166"/>
      <c r="D115" s="3166"/>
      <c r="E115" s="3166"/>
      <c r="F115" s="3166"/>
      <c r="G115" s="3166"/>
      <c r="H115" s="3166"/>
      <c r="I115" s="3167"/>
    </row>
    <row r="116" spans="1:11" ht="27" customHeight="1">
      <c r="A116" s="3076" t="s">
        <v>2304</v>
      </c>
      <c r="B116" s="3119" t="s">
        <v>2305</v>
      </c>
      <c r="C116" s="3119" t="s">
        <v>2306</v>
      </c>
      <c r="D116" s="3125" t="s">
        <v>2307</v>
      </c>
      <c r="E116" s="3126"/>
      <c r="F116" s="3161" t="s">
        <v>2308</v>
      </c>
      <c r="G116" s="3161"/>
      <c r="H116" s="3076" t="s">
        <v>2309</v>
      </c>
      <c r="I116" s="3076"/>
    </row>
    <row r="117" spans="1:11" ht="18.75" customHeight="1">
      <c r="A117" s="3076"/>
      <c r="B117" s="3120"/>
      <c r="C117" s="3120"/>
      <c r="D117" s="1795" t="s">
        <v>2310</v>
      </c>
      <c r="E117" s="1795" t="s">
        <v>2311</v>
      </c>
      <c r="F117" s="1795" t="s">
        <v>2310</v>
      </c>
      <c r="G117" s="1795" t="s">
        <v>2312</v>
      </c>
      <c r="H117" s="1795" t="s">
        <v>2310</v>
      </c>
      <c r="I117" s="1795" t="s">
        <v>2312</v>
      </c>
    </row>
    <row r="118" spans="1:11" ht="24.75" customHeight="1">
      <c r="A118" s="2524" t="str">
        <f>项目基本情况!S2</f>
        <v>北京市丰台区万兴路1号院3、4号楼商业用房房地产房地产</v>
      </c>
      <c r="B118" s="1795">
        <f>M18</f>
        <v>4376.09</v>
      </c>
      <c r="C118" s="1795">
        <f>M19</f>
        <v>4009</v>
      </c>
      <c r="D118" s="1795">
        <f ca="1">ROUND(IF(D32="总价",C34,E118*B118/10000),0)</f>
        <v>12454</v>
      </c>
      <c r="E118" s="1795">
        <f ca="1">ROUND(IF(C33="自定义",IF(D32="楼面单价",C34,D118*10000/B118),I118-G118),0)</f>
        <v>28459</v>
      </c>
      <c r="F118" s="1795">
        <f ca="1">ROUND(IF(D32="总价",C35,G118*B118/10000),0)</f>
        <v>0</v>
      </c>
      <c r="G118" s="1795">
        <f ca="1">ROUND(IF(D32="楼面单价",C35,F118*10000/B118),0)</f>
        <v>0</v>
      </c>
      <c r="H118" s="1795">
        <f ca="1">ROUND(IF(D32="总价",C32,I118*B118/10000),0)</f>
        <v>12454</v>
      </c>
      <c r="I118" s="1795">
        <f ca="1">ROUND(IF(D32="楼面单价",C32,H118*10000/B118),0)</f>
        <v>28459</v>
      </c>
    </row>
    <row r="119" spans="1:11" ht="18.75" customHeight="1">
      <c r="A119" s="3076" t="s">
        <v>2313</v>
      </c>
      <c r="B119" s="3076"/>
      <c r="C119" s="3076"/>
      <c r="D119" s="3121" t="str">
        <f ca="1">NUMBERSTRING(INT(D118*10000),2)&amp;"元整"</f>
        <v>壹亿贰仟肆佰伍拾肆万元整</v>
      </c>
      <c r="E119" s="3122"/>
      <c r="F119" s="3121" t="str">
        <f ca="1">NUMBERSTRING(INT(F118*10000),2)&amp;"元整"</f>
        <v>零元整</v>
      </c>
      <c r="G119" s="3122"/>
      <c r="H119" s="3121" t="str">
        <f ca="1">NUMBERSTRING(INT(H118*10000),2)&amp;"元整"</f>
        <v>壹亿贰仟肆佰伍拾肆万元整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21" t="str">
        <f>IF(D120=0,"故，本次评估不存在"&amp;A120,"故，本次评估"&amp;A120&amp;"为人民币"&amp;D120&amp;"万元整。")</f>
        <v>故，本次评估不存在估价师知悉的法定优先受偿款</v>
      </c>
    </row>
    <row r="121" spans="1:11" ht="18.75" customHeight="1">
      <c r="A121" s="3162" t="s">
        <v>2313</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12454</v>
      </c>
      <c r="E122" s="3117"/>
      <c r="F122" s="3117"/>
      <c r="G122" s="3117"/>
      <c r="H122" s="3117"/>
      <c r="I122" s="3118"/>
    </row>
    <row r="123" spans="1:11" ht="18.75" customHeight="1">
      <c r="A123" s="3076" t="s">
        <v>2313</v>
      </c>
      <c r="B123" s="3076"/>
      <c r="C123" s="3076"/>
      <c r="D123" s="3121" t="str">
        <f ca="1">NUMBERSTRING(INT(D122*10000),2)&amp;"元整"</f>
        <v>壹亿贰仟肆佰伍拾肆万元整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6" t="s">
        <v>2313</v>
      </c>
      <c r="B125" s="3076"/>
      <c r="C125" s="3076"/>
      <c r="D125" s="3121" t="e">
        <f>NUMBERSTRING(INT(D124*10000),2)&amp;"元整"</f>
        <v>#VALUE!</v>
      </c>
      <c r="E125" s="3123"/>
      <c r="F125" s="3123"/>
      <c r="G125" s="3123"/>
      <c r="H125" s="3123"/>
      <c r="I125" s="3122"/>
    </row>
    <row r="126" spans="1:11" ht="18.75" customHeight="1">
      <c r="A126" s="3127" t="str">
        <f>IF(项目基本情况!B9="房地产市场价值","",MID(E111,3,LEN(E111)-2))</f>
        <v>抵押净值</v>
      </c>
      <c r="B126" s="3127"/>
      <c r="C126" s="3127"/>
      <c r="D126" s="3116">
        <f ca="1">H111</f>
        <v>5399</v>
      </c>
      <c r="E126" s="3117"/>
      <c r="F126" s="3117"/>
      <c r="G126" s="3117"/>
      <c r="H126" s="3117"/>
      <c r="I126" s="3118"/>
    </row>
    <row r="127" spans="1:11" ht="18.75" customHeight="1">
      <c r="A127" s="3076" t="s">
        <v>2313</v>
      </c>
      <c r="B127" s="3076"/>
      <c r="C127" s="3076"/>
      <c r="D127" s="3121" t="str">
        <f ca="1">NUMBERSTRING(INT(D126*10000),2)&amp;"元整"</f>
        <v>伍仟叁佰玖拾玖万元整</v>
      </c>
      <c r="E127" s="3123"/>
      <c r="F127" s="3123"/>
      <c r="G127" s="3123"/>
      <c r="H127" s="3123"/>
      <c r="I127" s="3122"/>
    </row>
    <row r="128" spans="1:11" ht="21.75" customHeight="1">
      <c r="A128" s="3124" t="s">
        <v>2314</v>
      </c>
      <c r="B128" s="3124"/>
      <c r="C128" s="3124"/>
      <c r="D128" s="3124"/>
      <c r="E128" s="3124"/>
      <c r="F128" s="3124"/>
      <c r="G128" s="3124"/>
      <c r="H128" s="3124"/>
      <c r="I128" s="3124"/>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4" sqref="K3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t="s">
        <v>3068</v>
      </c>
      <c r="D1" s="2416"/>
      <c r="E1" s="2416"/>
      <c r="F1" s="2418" t="s">
        <v>2114</v>
      </c>
      <c r="G1" s="2067" t="s">
        <v>3086</v>
      </c>
      <c r="H1" s="2419" t="str">
        <f>IF(G1="现房","——","估价对象范围")</f>
        <v>——</v>
      </c>
      <c r="I1" s="2420" t="s">
        <v>3098</v>
      </c>
    </row>
    <row r="2" spans="1:12" ht="21.75" customHeight="1" thickBot="1">
      <c r="A2" s="3175" t="str">
        <f>项目基本情况!S2</f>
        <v>北京市丰台区万兴路1号院3、4号楼商业用房房地产房地产</v>
      </c>
      <c r="B2" s="3176"/>
      <c r="C2" s="3176"/>
      <c r="D2" s="3176"/>
      <c r="E2" s="3176"/>
      <c r="F2" s="3176"/>
      <c r="G2" s="3176"/>
      <c r="H2" s="3176"/>
      <c r="I2" s="3177"/>
    </row>
    <row r="3" spans="1:12" ht="12.75">
      <c r="A3" s="3178" t="s">
        <v>2115</v>
      </c>
      <c r="B3" s="3179"/>
      <c r="C3" s="3179"/>
      <c r="D3" s="3179"/>
      <c r="E3" s="3179"/>
      <c r="F3" s="3179"/>
      <c r="G3" s="3179"/>
      <c r="H3" s="3179"/>
      <c r="I3" s="3179"/>
    </row>
    <row r="4" spans="1:12" ht="14.25">
      <c r="A4" s="2423" t="s">
        <v>2116</v>
      </c>
      <c r="B4" s="2424" t="s">
        <v>2117</v>
      </c>
      <c r="C4" s="2425" t="s">
        <v>3103</v>
      </c>
      <c r="D4" s="2425" t="s">
        <v>3110</v>
      </c>
      <c r="E4" s="3159" t="s">
        <v>2118</v>
      </c>
      <c r="F4" s="3172"/>
      <c r="G4" s="3172"/>
      <c r="H4" s="3172"/>
      <c r="I4" s="3160"/>
      <c r="K4" s="2426" t="str">
        <f>IF(ISNUMBER(FIND("比较法",'结果表 (3号楼)'!C4)),"比较法",IF(ISNUMBER(FIND("成本法",'结果表 (3号楼)'!C4)),"成本法",IF(ISNUMBER(FIND("假设开发法",'结果表 (3号楼)'!C4)),"假设开发法",IF(ISNUMBER(FIND("收益法",'结果表 (3号楼)'!C4)),"收益法","基准地价系数修正法"))))</f>
        <v>收益法</v>
      </c>
      <c r="L4" s="2426" t="str">
        <f>IF(ISNUMBER(FIND("比较法",'结果表 (3号楼)'!D4)),"比较法",IF(ISNUMBER(FIND("成本法",'结果表 (3号楼)'!D4)),"成本法",IF(ISNUMBER(FIND("假设开发法",'结果表 (3号楼)'!D4)),"假设开发法",IF(ISNUMBER(FIND("收益法",'结果表 (3号楼)'!D4)),"收益法","基准地价系数修正法"))))</f>
        <v>比较法</v>
      </c>
    </row>
    <row r="5" spans="1:12" ht="12.75">
      <c r="A5" s="3150" t="s">
        <v>2119</v>
      </c>
      <c r="B5" s="3076">
        <v>25</v>
      </c>
      <c r="C5" s="3180"/>
      <c r="D5" s="3168"/>
      <c r="E5" s="140" t="s">
        <v>2120</v>
      </c>
      <c r="F5" s="2427"/>
      <c r="G5" s="2427"/>
      <c r="H5" s="2427"/>
      <c r="I5" s="1831"/>
    </row>
    <row r="6" spans="1:12" ht="12.75">
      <c r="A6" s="3150"/>
      <c r="B6" s="3076"/>
      <c r="C6" s="3182"/>
      <c r="D6" s="3168"/>
      <c r="E6" s="140" t="s">
        <v>2121</v>
      </c>
      <c r="F6" s="2427"/>
      <c r="G6" s="2427"/>
      <c r="H6" s="2427"/>
      <c r="I6" s="1831"/>
    </row>
    <row r="7" spans="1:12" ht="12.75">
      <c r="A7" s="3150"/>
      <c r="B7" s="3076"/>
      <c r="C7" s="3181"/>
      <c r="D7" s="3168"/>
      <c r="E7" s="140" t="s">
        <v>2122</v>
      </c>
      <c r="F7" s="2427"/>
      <c r="G7" s="2427"/>
      <c r="H7" s="2427"/>
      <c r="I7" s="1831"/>
    </row>
    <row r="8" spans="1:12" ht="12.75">
      <c r="A8" s="3150" t="s">
        <v>2123</v>
      </c>
      <c r="B8" s="3076">
        <v>15</v>
      </c>
      <c r="C8" s="3180"/>
      <c r="D8" s="3168"/>
      <c r="E8" s="140" t="s">
        <v>2124</v>
      </c>
      <c r="F8" s="2427"/>
      <c r="G8" s="2427"/>
      <c r="H8" s="2427"/>
      <c r="I8" s="1831"/>
    </row>
    <row r="9" spans="1:12" ht="12.75">
      <c r="A9" s="3150"/>
      <c r="B9" s="3076"/>
      <c r="C9" s="3181"/>
      <c r="D9" s="3168"/>
      <c r="E9" s="140" t="s">
        <v>2125</v>
      </c>
      <c r="F9" s="2427"/>
      <c r="G9" s="2427"/>
      <c r="H9" s="2427"/>
      <c r="I9" s="1831"/>
    </row>
    <row r="10" spans="1:12" ht="12.75">
      <c r="A10" s="3150" t="s">
        <v>2126</v>
      </c>
      <c r="B10" s="3076">
        <v>15</v>
      </c>
      <c r="C10" s="3180"/>
      <c r="D10" s="3168"/>
      <c r="E10" s="140" t="s">
        <v>2127</v>
      </c>
      <c r="F10" s="2427"/>
      <c r="G10" s="2427"/>
      <c r="H10" s="2427"/>
      <c r="I10" s="1831"/>
    </row>
    <row r="11" spans="1:12" ht="12.75">
      <c r="A11" s="3150"/>
      <c r="B11" s="3076"/>
      <c r="C11" s="3181"/>
      <c r="D11" s="3168"/>
      <c r="E11" s="140" t="s">
        <v>2128</v>
      </c>
      <c r="F11" s="2427"/>
      <c r="G11" s="2427"/>
      <c r="H11" s="2427"/>
      <c r="I11" s="1831"/>
    </row>
    <row r="12" spans="1:12" ht="12.75">
      <c r="A12" s="3150" t="s">
        <v>2129</v>
      </c>
      <c r="B12" s="3076">
        <v>15</v>
      </c>
      <c r="C12" s="3180"/>
      <c r="D12" s="3168"/>
      <c r="E12" s="140" t="s">
        <v>2130</v>
      </c>
      <c r="F12" s="2427"/>
      <c r="G12" s="2427"/>
      <c r="H12" s="2427"/>
      <c r="I12" s="1831"/>
    </row>
    <row r="13" spans="1:12" ht="12.75">
      <c r="A13" s="3150"/>
      <c r="B13" s="3076"/>
      <c r="C13" s="3181"/>
      <c r="D13" s="3168"/>
      <c r="E13" s="140" t="s">
        <v>2131</v>
      </c>
      <c r="F13" s="2427"/>
      <c r="G13" s="2427"/>
      <c r="H13" s="2427"/>
      <c r="I13" s="1831"/>
    </row>
    <row r="14" spans="1:12" ht="12.75">
      <c r="A14" s="3150" t="s">
        <v>2132</v>
      </c>
      <c r="B14" s="3076">
        <v>30</v>
      </c>
      <c r="C14" s="3180">
        <v>55</v>
      </c>
      <c r="D14" s="3168">
        <v>45</v>
      </c>
      <c r="E14" s="140" t="s">
        <v>2133</v>
      </c>
      <c r="F14" s="2427"/>
      <c r="G14" s="2427"/>
      <c r="H14" s="2427"/>
      <c r="I14" s="1831"/>
    </row>
    <row r="15" spans="1:12" ht="12.75">
      <c r="A15" s="3150"/>
      <c r="B15" s="3076"/>
      <c r="C15" s="3182"/>
      <c r="D15" s="3168"/>
      <c r="E15" s="140" t="s">
        <v>2134</v>
      </c>
      <c r="F15" s="2427"/>
      <c r="G15" s="2427"/>
      <c r="H15" s="2427"/>
      <c r="I15" s="1831"/>
    </row>
    <row r="16" spans="1:12" ht="12.75">
      <c r="A16" s="3150"/>
      <c r="B16" s="3076"/>
      <c r="C16" s="3181"/>
      <c r="D16" s="3168"/>
      <c r="E16" s="140" t="s">
        <v>2135</v>
      </c>
      <c r="F16" s="2427"/>
      <c r="G16" s="2427"/>
      <c r="H16" s="2427"/>
      <c r="I16" s="1831"/>
    </row>
    <row r="17" spans="1:35" ht="15">
      <c r="A17" s="2428" t="s">
        <v>2136</v>
      </c>
      <c r="B17" s="64"/>
      <c r="C17" s="141">
        <f>SUM(C5:C16)</f>
        <v>55</v>
      </c>
      <c r="D17" s="141">
        <f>SUM(D5:D16)</f>
        <v>45</v>
      </c>
      <c r="E17" s="138"/>
      <c r="F17" s="138"/>
      <c r="G17" s="138"/>
      <c r="H17" s="138"/>
      <c r="I17" s="138"/>
      <c r="K17" s="2426"/>
      <c r="L17" s="2429" t="s">
        <v>2137</v>
      </c>
      <c r="M17" s="2429" t="s">
        <v>2138</v>
      </c>
    </row>
    <row r="18" spans="1:35" ht="15.75" thickBot="1">
      <c r="A18" s="2430" t="s">
        <v>2139</v>
      </c>
      <c r="B18" s="2431"/>
      <c r="C18" s="142">
        <f>ROUND(C17/SUM(C17:D17),2)</f>
        <v>0.55000000000000004</v>
      </c>
      <c r="D18" s="142">
        <f>1-C18</f>
        <v>0.44999999999999996</v>
      </c>
      <c r="E18" s="138"/>
      <c r="F18" s="138"/>
      <c r="G18" s="138"/>
      <c r="H18" s="138"/>
      <c r="I18" s="138"/>
      <c r="K18" s="2426" t="s">
        <v>2140</v>
      </c>
      <c r="L18" s="2426">
        <f>IF(C1="",'数据-汇总表'!E3,SUMIF(项目类型,C1,'数据-汇总表'!E17:E26)+SUMIF(项目类型,C1,'数据-汇总表'!I17:I26))</f>
        <v>1340.42</v>
      </c>
      <c r="M18" s="2426">
        <f>IF(C1="",'数据-汇总表'!E3,SUMIF(项目类型,C1,'数据-汇总表'!E17:E26))</f>
        <v>1340.42</v>
      </c>
    </row>
    <row r="19" spans="1:35" ht="15">
      <c r="A19" s="2432" t="s">
        <v>2141</v>
      </c>
      <c r="B19" s="2433" t="s">
        <v>2142</v>
      </c>
      <c r="C19" s="143" t="e">
        <f ca="1">SUMIF(INDIRECT("'"&amp;C4&amp;"'"&amp;"!A:A"),'结果表 (3号楼)'!B19,INDIRECT("'"&amp;C4&amp;"'"&amp;"!B:B"))</f>
        <v>#REF!</v>
      </c>
      <c r="D19" s="144">
        <f ca="1">SUMIF(INDIRECT("'"&amp;D4&amp;"'"&amp;"!A:A"),'结果表 (3号楼)'!B19,INDIRECT("'"&amp;D4&amp;"'"&amp;"!B:B"))</f>
        <v>5434</v>
      </c>
      <c r="E19" s="2432" t="s">
        <v>2143</v>
      </c>
      <c r="F19" s="2433" t="s">
        <v>2142</v>
      </c>
      <c r="G19" s="145" t="e">
        <f ca="1">ROUND(C19*$C$18+D19*$D$18,0)</f>
        <v>#REF!</v>
      </c>
      <c r="H19" s="2434" t="s">
        <v>2144</v>
      </c>
      <c r="I19" s="138"/>
      <c r="K19" s="2426" t="s">
        <v>2145</v>
      </c>
      <c r="L19" s="2426">
        <f>IF(C1="",'数据-汇总表'!D3,SUMIF(项目类型,C1,'数据-汇总表'!D17:D26)+SUMIF(项目类型,C1,'数据-汇总表'!H17:H27))</f>
        <v>1227.98</v>
      </c>
      <c r="M19" s="2426">
        <f>IF(C1="",'数据-汇总表'!D3,SUMIF(项目类型,C1,'数据-汇总表'!D17:D26))</f>
        <v>1227.98</v>
      </c>
    </row>
    <row r="20" spans="1:35" ht="15">
      <c r="A20" s="2435"/>
      <c r="B20" s="1247" t="s">
        <v>2146</v>
      </c>
      <c r="C20" s="146" t="e">
        <f ca="1">SUMIF(INDIRECT("'"&amp;C4&amp;"'"&amp;"!A:A"),'结果表 (3号楼)'!B20,INDIRECT("'"&amp;C4&amp;"'"&amp;"!B:B"))</f>
        <v>#REF!</v>
      </c>
      <c r="D20" s="147">
        <f ca="1">SUMIF(INDIRECT("'"&amp;D4&amp;"'"&amp;"!A:A"),'结果表 (3号楼)'!B20,INDIRECT("'"&amp;D4&amp;"'"&amp;"!B:B"))</f>
        <v>40537</v>
      </c>
      <c r="E20" s="2435"/>
      <c r="F20" s="1247" t="s">
        <v>2146</v>
      </c>
      <c r="G20" s="148" t="e">
        <f ca="1">ROUND(C20*$C$18+D20*$D$18,0)</f>
        <v>#REF!</v>
      </c>
      <c r="H20" s="980" t="s">
        <v>2147</v>
      </c>
      <c r="I20" s="138"/>
    </row>
    <row r="21" spans="1:35" ht="15" customHeight="1" thickBot="1">
      <c r="A21" s="1000"/>
      <c r="B21" s="2436" t="s">
        <v>2148</v>
      </c>
      <c r="C21" s="789" t="e">
        <f ca="1">ROUND(C19*10000/L19,0)</f>
        <v>#REF!</v>
      </c>
      <c r="D21" s="790">
        <f ca="1">ROUND(D19*10000/L19,0)</f>
        <v>44252</v>
      </c>
      <c r="E21" s="1000"/>
      <c r="F21" s="2436" t="s">
        <v>2148</v>
      </c>
      <c r="G21" s="149" t="e">
        <f ca="1">ROUND(G19*10000/L19,0)</f>
        <v>#REF!</v>
      </c>
      <c r="H21" s="2437" t="s">
        <v>2147</v>
      </c>
      <c r="I21" s="138"/>
    </row>
    <row r="22" spans="1:35" ht="15" thickBot="1">
      <c r="A22" s="2278" t="s">
        <v>2149</v>
      </c>
      <c r="B22" s="2438"/>
      <c r="C22" s="2439"/>
      <c r="D22" s="791" t="e">
        <f ca="1">IF(C19&lt;D19,D19/C19-1,C19/D19-1)</f>
        <v>#REF!</v>
      </c>
      <c r="E22" s="138"/>
      <c r="F22" s="138"/>
      <c r="G22" s="138"/>
      <c r="H22" s="138"/>
      <c r="I22" s="138"/>
    </row>
    <row r="23" spans="1:35" ht="13.5" thickBot="1">
      <c r="A23" s="2416"/>
      <c r="B23" s="2416"/>
      <c r="C23" s="2416"/>
      <c r="D23" s="2416"/>
      <c r="E23" s="138"/>
      <c r="F23" s="138"/>
      <c r="G23" s="138"/>
      <c r="H23" s="138"/>
      <c r="I23" s="138"/>
    </row>
    <row r="24" spans="1:35" ht="14.25">
      <c r="A24" s="3189" t="s">
        <v>2150</v>
      </c>
      <c r="B24" s="2433" t="s">
        <v>2142</v>
      </c>
      <c r="C24" s="145">
        <f>IF(B30=0,0,D30)</f>
        <v>0</v>
      </c>
      <c r="D24" s="2440"/>
      <c r="E24" s="138"/>
      <c r="F24" s="138"/>
      <c r="G24" s="138"/>
      <c r="H24" s="138"/>
      <c r="I24" s="138"/>
    </row>
    <row r="25" spans="1:35" ht="14.25">
      <c r="A25" s="3190"/>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t="e">
        <f ca="1">IF(D32="总价",G19-C24,G20-C25)</f>
        <v>#REF!</v>
      </c>
      <c r="D32" s="2447" t="s">
        <v>2157</v>
      </c>
      <c r="E32" s="138"/>
      <c r="F32" s="138"/>
      <c r="G32" s="138"/>
      <c r="H32" s="138"/>
      <c r="I32" s="138"/>
    </row>
    <row r="33" spans="1:15" ht="15">
      <c r="A33" s="957" t="s">
        <v>2158</v>
      </c>
      <c r="B33" s="2448"/>
      <c r="C33" s="2449"/>
      <c r="D33" s="2450"/>
      <c r="E33" s="2451" t="s">
        <v>2159</v>
      </c>
      <c r="F33" s="2953" t="str">
        <f>IF(D32="楼面单价","取值（单价）","取值（总价）")</f>
        <v>取值（总价）</v>
      </c>
      <c r="G33" s="138"/>
      <c r="H33" s="138"/>
      <c r="I33" s="138"/>
    </row>
    <row r="34" spans="1:15" ht="15">
      <c r="A34" s="2453"/>
      <c r="B34" s="2454"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2161</v>
      </c>
      <c r="F34" s="1736"/>
      <c r="G34" s="138"/>
      <c r="H34" s="138"/>
      <c r="I34" s="138"/>
    </row>
    <row r="35" spans="1:15" ht="15.75" thickBot="1">
      <c r="A35" s="2456"/>
      <c r="B35" s="2457"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2163</v>
      </c>
      <c r="F35" s="163"/>
      <c r="G35" s="138"/>
      <c r="H35" s="138"/>
      <c r="I35" s="138"/>
    </row>
    <row r="36" spans="1:15" ht="15.75" thickBot="1">
      <c r="A36" s="3169" t="s">
        <v>2164</v>
      </c>
      <c r="B36" s="2459" t="s">
        <v>2165</v>
      </c>
      <c r="C36" s="154"/>
      <c r="D36" s="2460"/>
      <c r="E36" s="2461"/>
      <c r="F36" s="2462"/>
      <c r="G36" s="138"/>
      <c r="H36" s="138"/>
      <c r="I36" s="138"/>
    </row>
    <row r="37" spans="1:15" ht="15.75" thickBot="1">
      <c r="A37" s="3170"/>
      <c r="B37" s="2264" t="s">
        <v>2166</v>
      </c>
      <c r="C37" s="156"/>
      <c r="D37" s="1392"/>
      <c r="E37" s="1392"/>
      <c r="F37" s="2462"/>
      <c r="G37" s="138"/>
      <c r="H37" s="138"/>
      <c r="I37" s="138"/>
    </row>
    <row r="38" spans="1:15" ht="15.75" thickBot="1">
      <c r="A38" s="3171"/>
      <c r="B38" s="2463" t="s">
        <v>2167</v>
      </c>
      <c r="C38" s="727"/>
      <c r="D38" s="2464" t="s">
        <v>2168</v>
      </c>
      <c r="E38" s="1392"/>
      <c r="F38" s="2462"/>
      <c r="G38" s="138"/>
      <c r="H38" s="138"/>
      <c r="I38" s="138"/>
    </row>
    <row r="39" spans="1:15" ht="15">
      <c r="A39" s="2435" t="s">
        <v>2169</v>
      </c>
      <c r="B39" s="2465" t="s">
        <v>2152</v>
      </c>
      <c r="C39" s="2466" t="s">
        <v>2153</v>
      </c>
      <c r="D39" s="2466" t="s">
        <v>2172</v>
      </c>
      <c r="E39" s="2467" t="s">
        <v>2154</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186" t="s">
        <v>2178</v>
      </c>
      <c r="B45" s="3187"/>
      <c r="C45" s="3188"/>
      <c r="D45" s="164" t="e">
        <f ca="1">ROUND(H101*F45,0)</f>
        <v>#REF!</v>
      </c>
      <c r="E45" s="165" t="s">
        <v>2179</v>
      </c>
      <c r="F45" s="166">
        <v>1</v>
      </c>
      <c r="G45" s="167" t="s">
        <v>2180</v>
      </c>
      <c r="H45" s="138"/>
      <c r="I45" s="138"/>
      <c r="J45" s="3105" t="s">
        <v>2181</v>
      </c>
      <c r="K45" s="3105"/>
      <c r="L45" s="3105"/>
      <c r="M45" s="3105"/>
      <c r="N45" s="3105"/>
      <c r="O45" s="3105"/>
    </row>
    <row r="46" spans="1:15" ht="14.25" customHeight="1">
      <c r="A46" s="3183" t="s">
        <v>2182</v>
      </c>
      <c r="B46" s="3184"/>
      <c r="C46" s="3184"/>
      <c r="D46" s="3184"/>
      <c r="E46" s="3184"/>
      <c r="F46" s="3184"/>
      <c r="G46" s="3185"/>
      <c r="H46" s="2478"/>
      <c r="I46" s="168"/>
      <c r="J46" s="2958">
        <v>1</v>
      </c>
      <c r="K46" s="3105" t="s">
        <v>2183</v>
      </c>
      <c r="L46" s="3105"/>
      <c r="M46" s="3106"/>
      <c r="N46" s="3106"/>
      <c r="O46" s="3106"/>
    </row>
    <row r="47" spans="1:15" ht="12" customHeight="1">
      <c r="A47" s="169" t="s">
        <v>2184</v>
      </c>
      <c r="B47" s="170"/>
      <c r="C47" s="171"/>
      <c r="D47" s="172" t="s">
        <v>2185</v>
      </c>
      <c r="E47" s="24" t="s">
        <v>2186</v>
      </c>
      <c r="F47" s="173" t="s">
        <v>2187</v>
      </c>
      <c r="G47" s="174" t="s">
        <v>2188</v>
      </c>
      <c r="H47" s="2478"/>
      <c r="I47" s="168"/>
      <c r="J47" s="2958">
        <v>2</v>
      </c>
      <c r="K47" s="3105" t="s">
        <v>2189</v>
      </c>
      <c r="L47" s="3105"/>
      <c r="M47" s="3107">
        <f>'数据-取费表'!B2</f>
        <v>43734</v>
      </c>
      <c r="N47" s="3107"/>
      <c r="O47" s="3107"/>
    </row>
    <row r="48" spans="1:15" ht="25.5">
      <c r="A48" s="3173" t="s">
        <v>2190</v>
      </c>
      <c r="B48" s="3174"/>
      <c r="C48" s="3174"/>
      <c r="D48" s="140">
        <f>IF(H48="情况1",0,IF(H48="情况2",D52,IF(H48="情况3",D53,IF(H48="情况4",D54))))</f>
        <v>0</v>
      </c>
      <c r="E48" s="2967" t="str">
        <f>IF(H48="情况4","(销售额-原购置价)×税（费）率","销售额×税（费）率")</f>
        <v>销售额×税（费）率</v>
      </c>
      <c r="F48" s="175" t="str">
        <f>IF(H48="情况1","免征",'数据-取费表'!B41)</f>
        <v>免征</v>
      </c>
      <c r="G48" s="2479" t="s">
        <v>2191</v>
      </c>
      <c r="H48" s="2480" t="s">
        <v>2192</v>
      </c>
      <c r="I48" s="2478"/>
      <c r="J48" s="2958">
        <v>3</v>
      </c>
      <c r="K48" s="3105" t="s">
        <v>2193</v>
      </c>
      <c r="L48" s="3105"/>
      <c r="M48" s="3108" t="e">
        <f ca="1">H101</f>
        <v>#REF!</v>
      </c>
      <c r="N48" s="3108"/>
      <c r="O48" s="3108"/>
    </row>
    <row r="49" spans="1:35" ht="25.5" customHeight="1">
      <c r="A49" s="176" t="s">
        <v>2194</v>
      </c>
      <c r="B49" s="3153" t="s">
        <v>2195</v>
      </c>
      <c r="C49" s="3153"/>
      <c r="D49" s="177">
        <v>0</v>
      </c>
      <c r="E49" s="23" t="s">
        <v>2196</v>
      </c>
      <c r="F49" s="28" t="s">
        <v>34</v>
      </c>
      <c r="G49" s="3134"/>
      <c r="H49" s="138"/>
      <c r="I49" s="2481"/>
      <c r="J49" s="2958">
        <v>4</v>
      </c>
      <c r="K49" s="3105" t="str">
        <f>IF(项目基本情况!E8="房地产抵押价值","房地产抵押价值","抵押担保权已注销时的房地产抵押价值")</f>
        <v>房地产抵押价值</v>
      </c>
      <c r="L49" s="3105"/>
      <c r="M49" s="3108" t="e">
        <f ca="1">IF(项目基本情况!E8="房地产抵押价值",H107,H109)</f>
        <v>#REF!</v>
      </c>
      <c r="N49" s="3108"/>
      <c r="O49" s="3108"/>
    </row>
    <row r="50" spans="1:35" ht="25.5" customHeight="1">
      <c r="A50" s="178"/>
      <c r="B50" s="3153" t="s">
        <v>2197</v>
      </c>
      <c r="C50" s="3153"/>
      <c r="D50" s="179"/>
      <c r="E50" s="31"/>
      <c r="F50" s="180"/>
      <c r="G50" s="3135"/>
      <c r="H50" s="138"/>
      <c r="I50" s="2481"/>
      <c r="J50" s="3105" t="s">
        <v>2198</v>
      </c>
      <c r="K50" s="3105"/>
      <c r="L50" s="3105"/>
      <c r="M50" s="3105"/>
      <c r="N50" s="3105"/>
      <c r="O50" s="3105"/>
    </row>
    <row r="51" spans="1:35" ht="12" customHeight="1">
      <c r="A51" s="181"/>
      <c r="B51" s="3153" t="s">
        <v>2199</v>
      </c>
      <c r="C51" s="3153"/>
      <c r="D51" s="182"/>
      <c r="E51" s="30"/>
      <c r="F51" s="180"/>
      <c r="G51" s="3136"/>
      <c r="H51" s="138"/>
      <c r="I51" s="2481"/>
      <c r="J51" s="2955" t="s">
        <v>2200</v>
      </c>
      <c r="K51" s="3105" t="s">
        <v>2201</v>
      </c>
      <c r="L51" s="3105"/>
      <c r="M51" s="2955" t="s">
        <v>2202</v>
      </c>
      <c r="N51" s="2955" t="s">
        <v>2203</v>
      </c>
      <c r="O51" s="2955" t="s">
        <v>2204</v>
      </c>
    </row>
    <row r="52" spans="1:35" ht="24" customHeight="1">
      <c r="A52" s="183" t="s">
        <v>2205</v>
      </c>
      <c r="B52" s="3153" t="s">
        <v>2206</v>
      </c>
      <c r="C52" s="3153"/>
      <c r="D52" s="182" t="e">
        <f ca="1">ROUND(D45*'数据-取费表'!B41/(1+'数据-取费表'!C42),0)</f>
        <v>#REF!</v>
      </c>
      <c r="E52" s="11" t="s">
        <v>2207</v>
      </c>
      <c r="F52" s="184">
        <f>'数据-取费表'!B41</f>
        <v>5.6000000000000001E-2</v>
      </c>
      <c r="G52" s="2483"/>
      <c r="H52" s="138"/>
      <c r="I52" s="2481"/>
      <c r="J52" s="2958">
        <v>1</v>
      </c>
      <c r="K52" s="3128" t="s">
        <v>2208</v>
      </c>
      <c r="L52" s="3128"/>
      <c r="M52" s="1751">
        <f>D48</f>
        <v>0</v>
      </c>
      <c r="N52" s="2958" t="str">
        <f>E48</f>
        <v>销售额×税（费）率</v>
      </c>
      <c r="O52" s="1752" t="str">
        <f>F48</f>
        <v>免征</v>
      </c>
    </row>
    <row r="53" spans="1:35" ht="12" customHeight="1">
      <c r="A53" s="183" t="s">
        <v>2209</v>
      </c>
      <c r="B53" s="3154" t="s">
        <v>2210</v>
      </c>
      <c r="C53" s="3155"/>
      <c r="D53" s="182" t="e">
        <f ca="1">ROUND(D45*'数据-取费表'!B41/(1+'数据-取费表'!C42),0)</f>
        <v>#REF!</v>
      </c>
      <c r="E53" s="11" t="s">
        <v>2207</v>
      </c>
      <c r="F53" s="184">
        <f>'数据-取费表'!B41</f>
        <v>5.6000000000000001E-2</v>
      </c>
      <c r="G53" s="2483"/>
      <c r="H53" s="138"/>
      <c r="I53" s="2481"/>
      <c r="J53" s="2958">
        <v>2</v>
      </c>
      <c r="K53" s="3128" t="s">
        <v>2211</v>
      </c>
      <c r="L53" s="3128"/>
      <c r="M53" s="1751" t="e">
        <f t="shared" ref="M53:O54" ca="1" si="0">D55</f>
        <v>#REF!</v>
      </c>
      <c r="N53" s="2958" t="str">
        <f t="shared" si="0"/>
        <v>销售额×税（费）率</v>
      </c>
      <c r="O53" s="1752">
        <f t="shared" si="0"/>
        <v>5.0000000000000001E-4</v>
      </c>
    </row>
    <row r="54" spans="1:35" ht="12" customHeight="1">
      <c r="A54" s="183" t="s">
        <v>2212</v>
      </c>
      <c r="B54" s="3154" t="s">
        <v>2213</v>
      </c>
      <c r="C54" s="3155"/>
      <c r="D54" s="182" t="e">
        <f ca="1">C68</f>
        <v>#REF!</v>
      </c>
      <c r="E54" s="30" t="s">
        <v>2214</v>
      </c>
      <c r="F54" s="184">
        <f>'数据-取费表'!B41</f>
        <v>5.6000000000000001E-2</v>
      </c>
      <c r="G54" s="2483"/>
      <c r="H54" s="2484"/>
      <c r="I54" s="2481"/>
      <c r="J54" s="2958">
        <v>3</v>
      </c>
      <c r="K54" s="3128" t="s">
        <v>2215</v>
      </c>
      <c r="L54" s="3128"/>
      <c r="M54" s="1751" t="e">
        <f t="shared" ca="1" si="0"/>
        <v>#REF!</v>
      </c>
      <c r="N54" s="2958" t="str">
        <f t="shared" si="0"/>
        <v>增值额×税（费）率</v>
      </c>
      <c r="O54" s="1753" t="str">
        <f t="shared" si="0"/>
        <v>——</v>
      </c>
    </row>
    <row r="55" spans="1:35" ht="24" customHeight="1">
      <c r="A55" s="3192" t="s">
        <v>2216</v>
      </c>
      <c r="B55" s="3174"/>
      <c r="C55" s="3174"/>
      <c r="D55" s="185" t="e">
        <f ca="1">IF(H55="个人住宅",0,ROUND(D45*I55,0))</f>
        <v>#REF!</v>
      </c>
      <c r="E55" s="11" t="s">
        <v>2217</v>
      </c>
      <c r="F55" s="184">
        <f>IF(H55="正常",I55,"免征")</f>
        <v>5.0000000000000001E-4</v>
      </c>
      <c r="G55" s="2483"/>
      <c r="H55" s="2480" t="s">
        <v>2218</v>
      </c>
      <c r="I55" s="186">
        <f>'数据-取费表'!B49</f>
        <v>5.0000000000000001E-4</v>
      </c>
      <c r="J55" s="2958" t="str">
        <f>IF(H59="非个人房产","",4)</f>
        <v/>
      </c>
      <c r="K55" s="3128" t="str">
        <f>IF(H59="非个人房产","——","个人所得税")</f>
        <v>——</v>
      </c>
      <c r="L55" s="3128"/>
      <c r="M55" s="1754" t="str">
        <f>D59</f>
        <v>——</v>
      </c>
      <c r="N55" s="2959" t="str">
        <f>E59</f>
        <v>——</v>
      </c>
      <c r="O55" s="1755" t="str">
        <f>F59</f>
        <v>——</v>
      </c>
    </row>
    <row r="56" spans="1:35" ht="24.75">
      <c r="A56" s="3192" t="s">
        <v>2219</v>
      </c>
      <c r="B56" s="3174"/>
      <c r="C56" s="3174"/>
      <c r="D56" s="185" t="e">
        <f ca="1">IF(H56="个人住宅",D57,D58)</f>
        <v>#REF!</v>
      </c>
      <c r="E56" s="11" t="s">
        <v>2220</v>
      </c>
      <c r="F56" s="184" t="str">
        <f>IF(H56="正常",F58,"免征")</f>
        <v>——</v>
      </c>
      <c r="G56" s="2485" t="s">
        <v>2221</v>
      </c>
      <c r="H56" s="2486" t="s">
        <v>2218</v>
      </c>
      <c r="I56" s="2487"/>
      <c r="J56" s="2958" t="str">
        <f>IF(项目基本情况!K6="上海银行",IF(J55="",4,J55+1),"")</f>
        <v/>
      </c>
      <c r="K56" s="3111" t="str">
        <f>IF(项目基本情况!K6="上海银行","其他处置费用","")</f>
        <v/>
      </c>
      <c r="L56" s="3112"/>
      <c r="M56" s="1751" t="str">
        <f>IF(项目基本情况!K6="上海银行",M69,"")</f>
        <v/>
      </c>
      <c r="N56" s="3114" t="str">
        <f>IF(项目基本情况!K6="上海银行","包含处置中涉及的律师、诉讼、拍卖、评估等费用","")</f>
        <v/>
      </c>
      <c r="O56" s="3115"/>
    </row>
    <row r="57" spans="1:35" ht="12.75">
      <c r="A57" s="183" t="s">
        <v>2194</v>
      </c>
      <c r="B57" s="3159" t="s">
        <v>2222</v>
      </c>
      <c r="C57" s="3160"/>
      <c r="D57" s="187">
        <v>0</v>
      </c>
      <c r="E57" s="23" t="s">
        <v>2196</v>
      </c>
      <c r="F57" s="155"/>
      <c r="G57" s="2483"/>
      <c r="H57" s="2487"/>
      <c r="I57" s="2487"/>
      <c r="J57" s="3128">
        <f>IF(AND(J55="",J56=""),4,IF(项目基本情况!K6="上海银行",'结果表 (3号楼)'!J56+1,'结果表 (3号楼)'!J55+1))</f>
        <v>4</v>
      </c>
      <c r="K57" s="3128" t="s">
        <v>2223</v>
      </c>
      <c r="L57" s="2488" t="s">
        <v>2224</v>
      </c>
      <c r="M57" s="1756"/>
      <c r="N57" s="1757">
        <f ca="1">SUMIF(M52:M56,"&lt;9e307")</f>
        <v>0</v>
      </c>
      <c r="O57" s="2489"/>
      <c r="P57" s="1750" t="e">
        <f ca="1">N57/M49</f>
        <v>#REF!</v>
      </c>
    </row>
    <row r="58" spans="1:35" ht="24.75">
      <c r="A58" s="183" t="s">
        <v>2205</v>
      </c>
      <c r="B58" s="3159" t="s">
        <v>2225</v>
      </c>
      <c r="C58" s="3172"/>
      <c r="D58" s="185" t="e">
        <f ca="1">IF(H58="转让取得",C81,C97)</f>
        <v>#REF!</v>
      </c>
      <c r="E58" s="11" t="s">
        <v>2220</v>
      </c>
      <c r="F58" s="24" t="s">
        <v>34</v>
      </c>
      <c r="G58" s="2483"/>
      <c r="H58" s="2486" t="s">
        <v>2226</v>
      </c>
      <c r="I58" s="2487"/>
      <c r="J58" s="3128"/>
      <c r="K58" s="3128"/>
      <c r="L58" s="2488" t="s">
        <v>2227</v>
      </c>
      <c r="M58" s="1758"/>
      <c r="N58" s="2490" t="str">
        <f ca="1">NUMBERSTRING(INT(N57*10000),2)&amp;"元整"</f>
        <v>零元整</v>
      </c>
      <c r="O58" s="2491"/>
    </row>
    <row r="59" spans="1:35" ht="24.75" thickBot="1">
      <c r="A59" s="3132" t="s">
        <v>2228</v>
      </c>
      <c r="B59" s="3133"/>
      <c r="C59" s="3133"/>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130">
        <f>J57+1</f>
        <v>5</v>
      </c>
      <c r="K59" s="3128" t="s">
        <v>2230</v>
      </c>
      <c r="L59" s="2958" t="s">
        <v>2224</v>
      </c>
      <c r="M59" s="1759"/>
      <c r="N59" s="1760" t="e">
        <f ca="1">M49-N57</f>
        <v>#REF!</v>
      </c>
      <c r="O59" s="2493"/>
    </row>
    <row r="60" spans="1:35" ht="12" customHeight="1">
      <c r="A60" s="2494"/>
      <c r="B60" s="2416"/>
      <c r="C60" s="2416"/>
      <c r="D60" s="2416"/>
      <c r="E60" s="2163"/>
      <c r="F60" s="2487"/>
      <c r="G60" s="2487"/>
      <c r="H60" s="2495"/>
      <c r="I60" s="138"/>
      <c r="J60" s="3131"/>
      <c r="K60" s="3128"/>
      <c r="L60" s="2488" t="s">
        <v>2227</v>
      </c>
      <c r="M60" s="1758"/>
      <c r="N60" s="2490" t="e">
        <f ca="1">NUMBERSTRING(INT(N59*10000),2)&amp;"元整"</f>
        <v>#REF!</v>
      </c>
      <c r="O60" s="2491"/>
    </row>
    <row r="61" spans="1:35" ht="13.5" thickBot="1">
      <c r="A61" s="3191" t="s">
        <v>2231</v>
      </c>
      <c r="B61" s="3191"/>
      <c r="C61" s="3191"/>
      <c r="D61" s="3191"/>
      <c r="E61" s="3191"/>
      <c r="F61" s="2487"/>
      <c r="G61" s="2487"/>
      <c r="H61" s="2495"/>
      <c r="I61" s="138"/>
      <c r="J61" s="2958">
        <f>J59+1</f>
        <v>6</v>
      </c>
      <c r="K61" s="3128" t="s">
        <v>2232</v>
      </c>
      <c r="L61" s="3128"/>
      <c r="M61" s="1761"/>
      <c r="N61" s="1762" t="e">
        <f ca="1">ROUND(N59*10000/'数据-汇总表'!E3,0)</f>
        <v>#REF!</v>
      </c>
      <c r="O61" s="2496"/>
    </row>
    <row r="62" spans="1:35" ht="12.75">
      <c r="A62" s="3148" t="s">
        <v>2233</v>
      </c>
      <c r="B62" s="3149"/>
      <c r="C62" s="2963"/>
      <c r="D62" s="2963" t="s">
        <v>2234</v>
      </c>
      <c r="E62" s="192" t="s">
        <v>2235</v>
      </c>
      <c r="F62" s="2487"/>
      <c r="G62" s="2487"/>
      <c r="H62" s="2495"/>
      <c r="I62" s="138"/>
    </row>
    <row r="63" spans="1:35" ht="12.75">
      <c r="A63" s="203" t="s">
        <v>775</v>
      </c>
      <c r="B63" s="193" t="s">
        <v>2236</v>
      </c>
      <c r="C63" s="194" t="e">
        <f ca="1">ROUND((C64+C65)/(1+'数据-取费表'!C42),0)</f>
        <v>#REF!</v>
      </c>
      <c r="D63" s="195"/>
      <c r="E63" s="196"/>
      <c r="F63" s="2487"/>
      <c r="G63" s="2487"/>
      <c r="H63" s="2495"/>
      <c r="I63" s="138"/>
      <c r="J63" s="3113" t="s">
        <v>2237</v>
      </c>
      <c r="K63" s="2956" t="s">
        <v>2238</v>
      </c>
      <c r="L63" s="1749" t="e">
        <f ca="1">IF(M49&gt;10000,M49*0.5%,IF(AND(M49&gt;1000,M49&lt;=10000),M49*1%,IF(AND(M49&gt;100,M49&lt;=1000),M49*3%,IF(AND(M49&gt;10,M49&lt;=100),M49*5%,M49*8%))))</f>
        <v>#REF!</v>
      </c>
      <c r="M63" s="24" t="e">
        <f ca="1">ROUND(L63,1)</f>
        <v>#REF!</v>
      </c>
      <c r="Z63" s="2421"/>
      <c r="AI63" s="2422"/>
    </row>
    <row r="64" spans="1:35" ht="14.25" customHeight="1">
      <c r="A64" s="197" t="s">
        <v>770</v>
      </c>
      <c r="B64" s="198" t="s">
        <v>2239</v>
      </c>
      <c r="C64" s="199" t="e">
        <f ca="1">D45</f>
        <v>#REF!</v>
      </c>
      <c r="D64" s="200" t="s">
        <v>32</v>
      </c>
      <c r="E64" s="201"/>
      <c r="F64" s="2487"/>
      <c r="G64" s="2487"/>
      <c r="H64" s="2495"/>
      <c r="I64" s="138"/>
      <c r="J64" s="3113"/>
      <c r="K64" s="2956" t="s">
        <v>2240</v>
      </c>
      <c r="L64" s="174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2241</v>
      </c>
      <c r="Z64" s="2421"/>
      <c r="AI64" s="2422"/>
    </row>
    <row r="65" spans="1:35" ht="14.25" customHeight="1">
      <c r="A65" s="197" t="s">
        <v>771</v>
      </c>
      <c r="B65" s="198" t="s">
        <v>2242</v>
      </c>
      <c r="C65" s="202"/>
      <c r="D65" s="200"/>
      <c r="E65" s="201"/>
      <c r="F65" s="2487"/>
      <c r="G65" s="2487"/>
      <c r="H65" s="2495"/>
      <c r="I65" s="138"/>
      <c r="J65" s="3113"/>
      <c r="K65" s="2956" t="s">
        <v>2243</v>
      </c>
      <c r="L65" s="1749" t="e">
        <f ca="1">IF(M49&gt;1000,M49*0.1%,IF(AND(M49&gt;500,M49&lt;=1000),M49*0.5%,IF(AND(M49&gt;50,M49&lt;=500),M49*1%,IF(AND(M49&gt;1,M49&lt;=50),M49*1.5%))))</f>
        <v>#REF!</v>
      </c>
      <c r="M65" s="24" t="e">
        <f t="shared" ca="1" si="1"/>
        <v>#REF!</v>
      </c>
      <c r="N65" s="138" t="s">
        <v>2241</v>
      </c>
      <c r="Z65" s="2421"/>
      <c r="AI65" s="2422"/>
    </row>
    <row r="66" spans="1:35" ht="14.25" customHeight="1">
      <c r="A66" s="203" t="s">
        <v>772</v>
      </c>
      <c r="B66" s="204" t="s">
        <v>2244</v>
      </c>
      <c r="C66" s="205"/>
      <c r="D66" s="206" t="s">
        <v>32</v>
      </c>
      <c r="E66" s="1773" t="s">
        <v>1367</v>
      </c>
      <c r="F66" s="2487"/>
      <c r="G66" s="2487"/>
      <c r="H66" s="2495"/>
      <c r="I66" s="138"/>
      <c r="J66" s="3113"/>
      <c r="K66" s="2956" t="s">
        <v>2245</v>
      </c>
      <c r="L66" s="1749" t="e">
        <f ca="1">M49*0.5%</f>
        <v>#REF!</v>
      </c>
      <c r="M66" s="24" t="e">
        <f ca="1">IF(L66&gt;0.5,0.5,ROUND(L66,0))</f>
        <v>#REF!</v>
      </c>
      <c r="N66" s="138" t="s">
        <v>2246</v>
      </c>
      <c r="Z66" s="2421"/>
      <c r="AI66" s="2422"/>
    </row>
    <row r="67" spans="1:35" ht="14.25" customHeight="1">
      <c r="A67" s="203" t="s">
        <v>773</v>
      </c>
      <c r="B67" s="204" t="s">
        <v>2247</v>
      </c>
      <c r="C67" s="207" t="e">
        <f ca="1">C63-C66</f>
        <v>#REF!</v>
      </c>
      <c r="D67" s="200" t="s">
        <v>32</v>
      </c>
      <c r="E67" s="201"/>
      <c r="F67" s="2487"/>
      <c r="G67" s="2487"/>
      <c r="H67" s="2495"/>
      <c r="I67" s="138"/>
      <c r="J67" s="3113"/>
      <c r="K67" s="2956" t="s">
        <v>2248</v>
      </c>
      <c r="L67" s="174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1"/>
      <c r="AI67" s="2422"/>
    </row>
    <row r="68" spans="1:35" ht="14.25" customHeight="1" thickBot="1">
      <c r="A68" s="208" t="s">
        <v>774</v>
      </c>
      <c r="B68" s="209" t="s">
        <v>2249</v>
      </c>
      <c r="C68" s="210" t="e">
        <f ca="1">IF(C67&lt;=0,0,ROUND(C67*D68,0))</f>
        <v>#REF!</v>
      </c>
      <c r="D68" s="211">
        <f>'数据-取费表'!B41</f>
        <v>5.6000000000000001E-2</v>
      </c>
      <c r="E68" s="212"/>
      <c r="F68" s="2487"/>
      <c r="G68" s="2487"/>
      <c r="H68" s="2495"/>
      <c r="I68" s="138"/>
      <c r="J68" s="3113"/>
      <c r="K68" s="2956" t="s">
        <v>2250</v>
      </c>
      <c r="L68" s="1749" t="e">
        <f ca="1">IF(M49&gt;10000,M49*0.5%,IF(AND(M49&gt;5000,M49&lt;=10000),M49*1%,IF(AND(M49&gt;1000,M49&lt;=5000),M49*2%,IF(AND(M49&gt;200,M49&lt;=1000),M49*3%,M49*5%))))</f>
        <v>#REF!</v>
      </c>
      <c r="M68" s="24" t="e">
        <f ca="1">ROUND(L68,1)</f>
        <v>#REF!</v>
      </c>
      <c r="Z68" s="2421"/>
      <c r="AI68" s="2422"/>
    </row>
    <row r="69" spans="1:35" s="2444" customFormat="1" ht="16.5" customHeight="1">
      <c r="A69" s="2498"/>
      <c r="B69" s="2499"/>
      <c r="C69" s="2500"/>
      <c r="D69" s="2501"/>
      <c r="E69" s="2502"/>
      <c r="F69" s="2163"/>
      <c r="G69" s="2163"/>
      <c r="H69" s="2162"/>
      <c r="I69" s="2416"/>
      <c r="J69" s="3113"/>
      <c r="K69" s="2956" t="s">
        <v>2251</v>
      </c>
      <c r="L69" s="2503"/>
      <c r="M69" s="24" t="e">
        <f ca="1">ROUND(SUM(M63:M68),0)</f>
        <v>#REF!</v>
      </c>
      <c r="N69" s="1750" t="e">
        <f ca="1">M69/M49</f>
        <v>#REF!</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7" t="s">
        <v>2252</v>
      </c>
      <c r="B70" s="3158"/>
      <c r="C70" s="3158"/>
      <c r="D70" s="3158"/>
      <c r="E70" s="3158"/>
      <c r="F70" s="3158"/>
      <c r="G70" s="3158"/>
      <c r="H70" s="315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8" t="s">
        <v>2233</v>
      </c>
      <c r="B71" s="3149"/>
      <c r="C71" s="2963"/>
      <c r="D71" s="2963"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t="e">
        <f ca="1">ROUND(D45/(1+'数据-取费表'!C42),0)</f>
        <v>#REF!</v>
      </c>
      <c r="D72" s="200" t="s">
        <v>32</v>
      </c>
      <c r="E72" s="2965"/>
      <c r="F72" s="2964"/>
      <c r="G72" s="296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t="e">
        <f ca="1">C74+C78</f>
        <v>#REF!</v>
      </c>
      <c r="D73" s="200" t="s">
        <v>32</v>
      </c>
      <c r="E73" s="2965"/>
      <c r="F73" s="2964"/>
      <c r="G73" s="296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2965"/>
      <c r="F74" s="2964"/>
      <c r="G74" s="296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154" t="s">
        <v>2261</v>
      </c>
      <c r="F76" s="3153"/>
      <c r="G76" s="3153"/>
      <c r="H76" s="315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2957" t="s">
        <v>2263</v>
      </c>
      <c r="F77" s="224"/>
      <c r="G77" s="2511" t="s">
        <v>2264</v>
      </c>
      <c r="H77" s="296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t="e">
        <f ca="1">ROUND(D45*D78/(1+'数据-取费表'!C42),0)</f>
        <v>#REF!</v>
      </c>
      <c r="D78" s="226">
        <f>'数据-取费表'!B43</f>
        <v>6.000000000000001E-3</v>
      </c>
      <c r="E78" s="3145" t="s">
        <v>2266</v>
      </c>
      <c r="F78" s="3146"/>
      <c r="G78" s="3146"/>
      <c r="H78" s="314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4" t="s">
        <v>2267</v>
      </c>
      <c r="C79" s="207" t="e">
        <f ca="1">C72-C73</f>
        <v>#REF!</v>
      </c>
      <c r="D79" s="200" t="s">
        <v>32</v>
      </c>
      <c r="E79" s="2965"/>
      <c r="F79" s="2964"/>
      <c r="G79" s="296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t="e">
        <f ca="1">IF(C79&lt;=0,0,C79/C73)</f>
        <v>#REF!</v>
      </c>
      <c r="D80" s="200" t="s">
        <v>32</v>
      </c>
      <c r="E80" s="2957" t="e">
        <f ca="1">IF(C80&gt;=200%,"增值额超过扣除项目金额200%",IF(C80&gt;=100%,"增值额超过扣除项目金额100%，未超过200%",IF(C80&gt;=50%,"增值额超过扣除项目金额50%，未超过100%",IF(C80&lt;50%,"增值额未超过扣除项目金额50%"))))</f>
        <v>#REF!</v>
      </c>
      <c r="F80" s="2964"/>
      <c r="G80" s="296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7" t="s">
        <v>2270</v>
      </c>
      <c r="B83" s="3158"/>
      <c r="C83" s="3158"/>
      <c r="D83" s="3158"/>
      <c r="E83" s="3158"/>
      <c r="F83" s="3158"/>
      <c r="G83" s="3158"/>
      <c r="H83" s="315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8" t="s">
        <v>2233</v>
      </c>
      <c r="B84" s="3149"/>
      <c r="C84" s="2963"/>
      <c r="D84" s="2963"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t="e">
        <f ca="1">ROUND(D45/(1+'数据-取费表'!C42),0)</f>
        <v>#REF!</v>
      </c>
      <c r="D85" s="200" t="s">
        <v>32</v>
      </c>
      <c r="E85" s="2965"/>
      <c r="F85" s="2964"/>
      <c r="G85" s="296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t="e">
        <f ca="1">IF(H88="仅含出让金",C87+C90+C91+C92+C93+C94,C87+C91+C92+C93+C94)</f>
        <v>#REF!</v>
      </c>
      <c r="D86" s="235"/>
      <c r="E86" s="2965"/>
      <c r="F86" s="2964"/>
      <c r="G86" s="296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2960"/>
      <c r="F87" s="2961"/>
      <c r="G87" s="2961"/>
      <c r="H87" s="296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2961"/>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2961"/>
      <c r="G89" s="2961"/>
      <c r="H89" s="296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2961"/>
      <c r="G90" s="2961"/>
      <c r="H90" s="296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145" t="s">
        <v>2279</v>
      </c>
      <c r="F91" s="3146"/>
      <c r="G91" s="3146"/>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145" t="s">
        <v>2283</v>
      </c>
      <c r="F92" s="3146"/>
      <c r="G92" s="3146"/>
      <c r="H92" s="314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t="e">
        <f ca="1">ROUND(D45*D93/(1+'数据-取费表'!C42),0)</f>
        <v>#REF!</v>
      </c>
      <c r="D93" s="226">
        <f>'数据-取费表'!B43</f>
        <v>6.000000000000001E-3</v>
      </c>
      <c r="E93" s="3145" t="s">
        <v>2266</v>
      </c>
      <c r="F93" s="3146"/>
      <c r="G93" s="3146"/>
      <c r="H93" s="314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193" t="s">
        <v>2287</v>
      </c>
      <c r="F94" s="3194"/>
      <c r="G94" s="3194"/>
      <c r="H94" s="319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4" t="s">
        <v>2267</v>
      </c>
      <c r="C95" s="207" t="e">
        <f ca="1">ROUND(C85-C86,0)</f>
        <v>#REF!</v>
      </c>
      <c r="D95" s="200" t="s">
        <v>32</v>
      </c>
      <c r="E95" s="2965"/>
      <c r="F95" s="2964"/>
      <c r="G95" s="296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t="e">
        <f ca="1">IF(C95&lt;=0,0,C95/C86)</f>
        <v>#REF!</v>
      </c>
      <c r="D96" s="200" t="s">
        <v>32</v>
      </c>
      <c r="E96" s="2957" t="e">
        <f ca="1">IF(C96&gt;=200%,"增值额超过扣除项目金额200%",IF(C96&gt;=100%,"增值额超过扣除项目金额100%，未超过200%",IF(C96&gt;=50%,"增值额超过扣除项目金额50%，未超过100%",IF(C96&lt;50%,"增值额未超过扣除项目金额50%"))))</f>
        <v>#REF!</v>
      </c>
      <c r="F96" s="2964"/>
      <c r="G96" s="296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97" t="s">
        <v>2289</v>
      </c>
      <c r="B100" s="3098"/>
      <c r="C100" s="3098"/>
      <c r="D100" s="3129"/>
      <c r="E100" s="3098" t="s">
        <v>2290</v>
      </c>
      <c r="F100" s="3098"/>
      <c r="G100" s="3098"/>
      <c r="H100" s="3129"/>
      <c r="I100" s="138"/>
    </row>
    <row r="101" spans="1:35" ht="18.75" customHeight="1">
      <c r="A101" s="3137" t="s">
        <v>2291</v>
      </c>
      <c r="B101" s="3138"/>
      <c r="C101" s="736" t="str">
        <f>C4</f>
        <v>收益法</v>
      </c>
      <c r="D101" s="737" t="str">
        <f>D4</f>
        <v>比较法-商业</v>
      </c>
      <c r="E101" s="3109" t="s">
        <v>2292</v>
      </c>
      <c r="F101" s="3110"/>
      <c r="G101" s="2518" t="s">
        <v>2293</v>
      </c>
      <c r="H101" s="1045" t="e">
        <f ca="1">H118</f>
        <v>#REF!</v>
      </c>
      <c r="I101" s="138"/>
    </row>
    <row r="102" spans="1:35" ht="18.75" customHeight="1">
      <c r="A102" s="3139" t="s">
        <v>2294</v>
      </c>
      <c r="B102" s="2518" t="s">
        <v>2293</v>
      </c>
      <c r="C102" s="736" t="e">
        <f ca="1">C19</f>
        <v>#REF!</v>
      </c>
      <c r="D102" s="737">
        <f ca="1">D19</f>
        <v>5434</v>
      </c>
      <c r="E102" s="3109"/>
      <c r="F102" s="3110"/>
      <c r="G102" s="2518" t="s">
        <v>2295</v>
      </c>
      <c r="H102" s="371" t="e">
        <f ca="1">I118</f>
        <v>#REF!</v>
      </c>
      <c r="I102" s="138"/>
    </row>
    <row r="103" spans="1:35" ht="42.75" customHeight="1">
      <c r="A103" s="3139"/>
      <c r="B103" s="2518" t="s">
        <v>2295</v>
      </c>
      <c r="C103" s="738" t="e">
        <f ca="1">C20</f>
        <v>#REF!</v>
      </c>
      <c r="D103" s="739">
        <f ca="1">D20</f>
        <v>40537</v>
      </c>
      <c r="E103" s="3103" t="s">
        <v>2296</v>
      </c>
      <c r="F103" s="3104"/>
      <c r="G103" s="2519" t="s">
        <v>2297</v>
      </c>
      <c r="H103" s="1045">
        <f>IF(D36="正常操作",H104+H105+H106,H105+H106)</f>
        <v>0</v>
      </c>
      <c r="I103" s="138"/>
    </row>
    <row r="104" spans="1:35" ht="18.75" customHeight="1">
      <c r="A104" s="3139" t="s">
        <v>2298</v>
      </c>
      <c r="B104" s="2520" t="s">
        <v>2293</v>
      </c>
      <c r="C104" s="740" t="e">
        <f ca="1">H118</f>
        <v>#REF!</v>
      </c>
      <c r="D104" s="741"/>
      <c r="E104" s="2264" t="s">
        <v>2299</v>
      </c>
      <c r="F104" s="2255"/>
      <c r="G104" s="2519" t="s">
        <v>2297</v>
      </c>
      <c r="H104" s="1046">
        <f>IF(D36="同一抵押权人同一抵押物续贷",C36&amp;"（未扣减，详见特别提示）",C36)</f>
        <v>0</v>
      </c>
      <c r="I104" s="138"/>
    </row>
    <row r="105" spans="1:35" ht="18.75" customHeight="1" thickBot="1">
      <c r="A105" s="3151"/>
      <c r="B105" s="2521" t="s">
        <v>2295</v>
      </c>
      <c r="C105" s="742" t="e">
        <f ca="1">I118</f>
        <v>#REF!</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140" t="str">
        <f>IF(项目基本情况!E8="已注销","——","3.房地产抵押价值")</f>
        <v>3.房地产抵押价值</v>
      </c>
      <c r="F107" s="3110"/>
      <c r="G107" s="2518" t="s">
        <v>2293</v>
      </c>
      <c r="H107" s="1045" t="e">
        <f ca="1">IF(E107="——","——",H101-H103)</f>
        <v>#REF!</v>
      </c>
      <c r="I107" s="138"/>
    </row>
    <row r="108" spans="1:35" ht="18.75" customHeight="1">
      <c r="A108" s="138"/>
      <c r="B108" s="138"/>
      <c r="C108" s="138"/>
      <c r="D108" s="138"/>
      <c r="E108" s="3140"/>
      <c r="F108" s="3110"/>
      <c r="G108" s="2518" t="s">
        <v>2295</v>
      </c>
      <c r="H108" s="371" t="e">
        <f ca="1">ROUND(H107*10000/'数据-汇总表'!E3,0)</f>
        <v>#REF!</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18" t="s">
        <v>2293</v>
      </c>
      <c r="H109" s="348" t="str">
        <f>IF(E109="——","——",H101-H105-H106)</f>
        <v>——</v>
      </c>
      <c r="I109" s="138"/>
    </row>
    <row r="110" spans="1:35" ht="18.75" customHeight="1">
      <c r="A110" s="138"/>
      <c r="B110" s="138"/>
      <c r="C110" s="138"/>
      <c r="D110" s="138"/>
      <c r="E110" s="3140"/>
      <c r="F110" s="3110"/>
      <c r="G110" s="2518" t="s">
        <v>2295</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4.抵押净值</v>
      </c>
      <c r="F111" s="3142"/>
      <c r="G111" s="2518" t="s">
        <v>2293</v>
      </c>
      <c r="H111" s="1045" t="e">
        <f ca="1">IF(E111="——","——",N59)</f>
        <v>#REF!</v>
      </c>
      <c r="I111" s="138"/>
    </row>
    <row r="112" spans="1:35" ht="18.75" customHeight="1" thickBot="1">
      <c r="A112" s="138"/>
      <c r="B112" s="138"/>
      <c r="C112" s="138"/>
      <c r="D112" s="138"/>
      <c r="E112" s="3143"/>
      <c r="F112" s="3144"/>
      <c r="G112" s="2523" t="s">
        <v>2295</v>
      </c>
      <c r="H112" s="790" t="e">
        <f ca="1">IF(E111="——","——",N61)</f>
        <v>#REF!</v>
      </c>
      <c r="I112" s="138"/>
    </row>
    <row r="113" spans="1:11" ht="18.75" customHeight="1">
      <c r="A113" s="138"/>
      <c r="B113" s="138"/>
      <c r="C113" s="138"/>
      <c r="D113" s="138"/>
      <c r="E113" s="3152" t="s">
        <v>2301</v>
      </c>
      <c r="F113" s="3152"/>
      <c r="G113" s="3152"/>
      <c r="H113" s="3152"/>
      <c r="I113" s="138"/>
    </row>
    <row r="114" spans="1:11" ht="3.75" customHeight="1">
      <c r="A114" s="2416"/>
      <c r="B114" s="2416"/>
      <c r="C114" s="2416"/>
      <c r="D114" s="2416"/>
      <c r="E114" s="2494"/>
      <c r="F114" s="2494"/>
      <c r="G114" s="2494"/>
      <c r="H114" s="2494"/>
      <c r="I114" s="2416"/>
    </row>
    <row r="115" spans="1:11" ht="18.75" customHeight="1">
      <c r="A115" s="3165" t="s">
        <v>2303</v>
      </c>
      <c r="B115" s="3166"/>
      <c r="C115" s="3166"/>
      <c r="D115" s="3166"/>
      <c r="E115" s="3166"/>
      <c r="F115" s="3166"/>
      <c r="G115" s="3166"/>
      <c r="H115" s="3166"/>
      <c r="I115" s="3167"/>
    </row>
    <row r="116" spans="1:11" ht="27" customHeight="1">
      <c r="A116" s="3076" t="s">
        <v>2304</v>
      </c>
      <c r="B116" s="3119" t="s">
        <v>2305</v>
      </c>
      <c r="C116" s="3119" t="s">
        <v>2306</v>
      </c>
      <c r="D116" s="3125" t="s">
        <v>2307</v>
      </c>
      <c r="E116" s="3126"/>
      <c r="F116" s="3161" t="s">
        <v>2308</v>
      </c>
      <c r="G116" s="3161"/>
      <c r="H116" s="3076" t="s">
        <v>2309</v>
      </c>
      <c r="I116" s="3076"/>
    </row>
    <row r="117" spans="1:11" ht="18.75" customHeight="1">
      <c r="A117" s="3076"/>
      <c r="B117" s="3120"/>
      <c r="C117" s="3120"/>
      <c r="D117" s="2954" t="s">
        <v>2310</v>
      </c>
      <c r="E117" s="2954" t="s">
        <v>2311</v>
      </c>
      <c r="F117" s="2954" t="s">
        <v>2310</v>
      </c>
      <c r="G117" s="2954" t="s">
        <v>2312</v>
      </c>
      <c r="H117" s="2954" t="s">
        <v>2310</v>
      </c>
      <c r="I117" s="2954" t="s">
        <v>2312</v>
      </c>
    </row>
    <row r="118" spans="1:11" ht="24.75" customHeight="1">
      <c r="A118" s="2524" t="str">
        <f>项目基本情况!S2</f>
        <v>北京市丰台区万兴路1号院3、4号楼商业用房房地产房地产</v>
      </c>
      <c r="B118" s="2954">
        <f>M18</f>
        <v>1340.42</v>
      </c>
      <c r="C118" s="2954">
        <f>M19</f>
        <v>1227.98</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t="e">
        <f ca="1">ROUND(IF(D32="总价",C32,I118*B118/10000),0)</f>
        <v>#REF!</v>
      </c>
      <c r="I118" s="2954" t="e">
        <f ca="1">ROUND(IF(D32="楼面单价",C32,H118*10000/B118),0)</f>
        <v>#REF!</v>
      </c>
    </row>
    <row r="119" spans="1:11" ht="18.75" customHeight="1">
      <c r="A119" s="3076" t="s">
        <v>2313</v>
      </c>
      <c r="B119" s="3076"/>
      <c r="C119" s="3076"/>
      <c r="D119" s="3121" t="e">
        <f ca="1">NUMBERSTRING(INT(D118*10000),2)&amp;"元整"</f>
        <v>#REF!</v>
      </c>
      <c r="E119" s="3122"/>
      <c r="F119" s="3121" t="e">
        <f ca="1">NUMBERSTRING(INT(F118*10000),2)&amp;"元整"</f>
        <v>#REF!</v>
      </c>
      <c r="G119" s="3122"/>
      <c r="H119" s="3121" t="e">
        <f ca="1">NUMBERSTRING(INT(H118*10000),2)&amp;"元整"</f>
        <v>#REF!</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21" t="str">
        <f>IF(D120=0,"故，本次评估不存在"&amp;A120,"故，本次评估"&amp;A120&amp;"为人民币"&amp;D120&amp;"万元整。")</f>
        <v>故，本次评估不存在估价师知悉的法定优先受偿款</v>
      </c>
    </row>
    <row r="121" spans="1:11" ht="18.75" customHeight="1">
      <c r="A121" s="3162" t="s">
        <v>2313</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t="e">
        <f ca="1">H107</f>
        <v>#REF!</v>
      </c>
      <c r="E122" s="3117"/>
      <c r="F122" s="3117"/>
      <c r="G122" s="3117"/>
      <c r="H122" s="3117"/>
      <c r="I122" s="3118"/>
    </row>
    <row r="123" spans="1:11" ht="18.75" customHeight="1">
      <c r="A123" s="3076" t="s">
        <v>2313</v>
      </c>
      <c r="B123" s="3076"/>
      <c r="C123" s="3076"/>
      <c r="D123" s="3121" t="e">
        <f ca="1">NUMBERSTRING(INT(D122*10000),2)&amp;"元整"</f>
        <v>#REF!</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6" t="s">
        <v>2313</v>
      </c>
      <c r="B125" s="3076"/>
      <c r="C125" s="3076"/>
      <c r="D125" s="3121" t="e">
        <f>NUMBERSTRING(INT(D124*10000),2)&amp;"元整"</f>
        <v>#VALUE!</v>
      </c>
      <c r="E125" s="3123"/>
      <c r="F125" s="3123"/>
      <c r="G125" s="3123"/>
      <c r="H125" s="3123"/>
      <c r="I125" s="3122"/>
    </row>
    <row r="126" spans="1:11" ht="18.75" customHeight="1">
      <c r="A126" s="3127" t="str">
        <f>IF(项目基本情况!B9="房地产市场价值","",MID(E111,3,LEN(E111)-2))</f>
        <v>抵押净值</v>
      </c>
      <c r="B126" s="3127"/>
      <c r="C126" s="3127"/>
      <c r="D126" s="3116" t="e">
        <f ca="1">H111</f>
        <v>#REF!</v>
      </c>
      <c r="E126" s="3117"/>
      <c r="F126" s="3117"/>
      <c r="G126" s="3117"/>
      <c r="H126" s="3117"/>
      <c r="I126" s="3118"/>
    </row>
    <row r="127" spans="1:11" ht="18.75" customHeight="1">
      <c r="A127" s="3076" t="s">
        <v>2313</v>
      </c>
      <c r="B127" s="3076"/>
      <c r="C127" s="3076"/>
      <c r="D127" s="3121" t="e">
        <f ca="1">NUMBERSTRING(INT(D126*10000),2)&amp;"元整"</f>
        <v>#REF!</v>
      </c>
      <c r="E127" s="3123"/>
      <c r="F127" s="3123"/>
      <c r="G127" s="3123"/>
      <c r="H127" s="3123"/>
      <c r="I127" s="3122"/>
    </row>
    <row r="128" spans="1:11" ht="21.75" customHeight="1">
      <c r="A128" s="3124" t="s">
        <v>2314</v>
      </c>
      <c r="B128" s="3124"/>
      <c r="C128" s="3124"/>
      <c r="D128" s="3124"/>
      <c r="E128" s="3124"/>
      <c r="F128" s="3124"/>
      <c r="G128" s="3124"/>
      <c r="H128" s="3124"/>
      <c r="I128" s="3124"/>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0" t="str">
        <f>项目基本情况!B1</f>
        <v>北京市丰台区万兴路1号院3、4号楼商业用房房地产房地产抵押价值预评估</v>
      </c>
      <c r="C37" s="3010"/>
      <c r="D37" s="3010"/>
      <c r="E37" s="3010"/>
      <c r="F37" s="3010"/>
      <c r="G37" s="3010"/>
      <c r="H37" s="3010"/>
      <c r="I37" s="3010"/>
    </row>
    <row r="38" spans="1:9">
      <c r="A38" s="1016"/>
      <c r="B38" s="1016"/>
    </row>
    <row r="39" spans="1:9">
      <c r="A39" s="1014" t="s">
        <v>818</v>
      </c>
      <c r="B39" s="1014" t="s">
        <v>820</v>
      </c>
    </row>
    <row r="40" spans="1:9">
      <c r="A40" s="1014"/>
      <c r="B40" s="1941" t="str">
        <f>项目基本情况!B5</f>
        <v>北京万年基业建设投资有限公司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8</v>
      </c>
    </row>
    <row r="2" spans="1:9" s="244" customFormat="1" ht="18" customHeight="1">
      <c r="A2" s="245" t="s">
        <v>2323</v>
      </c>
      <c r="B2" s="246">
        <f ca="1">IF(D2="——",C52,C52-E2)</f>
        <v>1899</v>
      </c>
      <c r="C2" s="243" t="s">
        <v>2324</v>
      </c>
      <c r="D2" s="2547" t="s">
        <v>70</v>
      </c>
      <c r="E2" s="1440" t="e">
        <f ca="1">SUMIF(INDIRECT("'"&amp;G2&amp;"'"&amp;"!A:A"),"承租人权益价值",INDIRECT("'"&amp;G2&amp;"'"&amp;"!c:c"))</f>
        <v>#REF!</v>
      </c>
      <c r="F2" s="2548" t="s">
        <v>2324</v>
      </c>
      <c r="G2" s="2549"/>
    </row>
    <row r="3" spans="1:9" s="244" customFormat="1" ht="18" customHeight="1" thickBot="1">
      <c r="A3" s="247" t="s">
        <v>2325</v>
      </c>
      <c r="B3" s="248">
        <f ca="1">ROUND(B2*10000/(IF(B1="",'数据-汇总表'!E3,INDIRECT("'数据-取费表'!k"&amp;$G$1))),0)</f>
        <v>4339</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0</v>
      </c>
      <c r="D8" s="266"/>
      <c r="E8" s="264"/>
      <c r="F8" s="265"/>
      <c r="G8" s="2550"/>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1"/>
      <c r="H9" s="1390"/>
      <c r="I9" s="2552" t="s">
        <v>2340</v>
      </c>
    </row>
    <row r="10" spans="1:9" s="258" customFormat="1" ht="13.5" customHeight="1">
      <c r="A10" s="950" t="s">
        <v>801</v>
      </c>
      <c r="B10" s="268" t="s">
        <v>2341</v>
      </c>
      <c r="C10" s="269">
        <f ca="1">ROUND(D10*E10/10000,0)</f>
        <v>88</v>
      </c>
      <c r="D10" s="1032">
        <f ca="1">IF(B1="",'数据-汇总表'!E6,IF(INDIRECT("'数据-取费表'!c"&amp;$G$1)="住宅",INDIRECT("'数据-取费表'!s"&amp;$G$1),INDIRECT("'数据-取费表'!k"&amp;$G$1)+INDIRECT("'数据-取费表'!s"&amp;$G$1)))</f>
        <v>4376.09</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88</v>
      </c>
      <c r="D19" s="1036">
        <f ca="1">D9+D10</f>
        <v>4376.09</v>
      </c>
      <c r="E19" s="255">
        <f>'数据-取费表'!B31</f>
        <v>200</v>
      </c>
      <c r="F19" s="275"/>
      <c r="G19" s="2550"/>
    </row>
    <row r="20" spans="1:7" s="258" customFormat="1" ht="13.5" customHeight="1">
      <c r="A20" s="299" t="s">
        <v>2354</v>
      </c>
      <c r="B20" s="254" t="s">
        <v>2355</v>
      </c>
      <c r="C20" s="276">
        <f ca="1">ROUND((C5+C19)*F20,0)</f>
        <v>2</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9</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0</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9</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14</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14</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122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1460</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1313</v>
      </c>
      <c r="D34" s="261"/>
      <c r="E34" s="264"/>
      <c r="F34" s="301">
        <f ca="1">IF('数据-取费表'!B24=0,1,IF(B1="",'数据-取费表'!N16,INDIRECT("'数据-取费表'!n"&amp;$G$1)))</f>
        <v>1</v>
      </c>
      <c r="G34" s="263" t="s">
        <v>2387</v>
      </c>
    </row>
    <row r="35" spans="1:7" ht="13.5" customHeight="1">
      <c r="A35" s="951" t="s">
        <v>796</v>
      </c>
      <c r="B35" s="259" t="s">
        <v>2388</v>
      </c>
      <c r="C35" s="264">
        <f ca="1">ROUND(C34*F35,0)</f>
        <v>39</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88</v>
      </c>
      <c r="D37" s="261">
        <f ca="1">D19</f>
        <v>4376.09</v>
      </c>
      <c r="E37" s="293">
        <f>'数据-取费表'!B35</f>
        <v>200</v>
      </c>
      <c r="F37" s="303"/>
      <c r="G37" s="305" t="s">
        <v>2393</v>
      </c>
    </row>
    <row r="38" spans="1:7" ht="13.5" customHeight="1">
      <c r="A38" s="951" t="s">
        <v>799</v>
      </c>
      <c r="B38" s="259" t="s">
        <v>2394</v>
      </c>
      <c r="C38" s="264">
        <f ca="1">ROUND(C34*F38,0)</f>
        <v>20</v>
      </c>
      <c r="D38" s="264"/>
      <c r="E38" s="264"/>
      <c r="F38" s="303">
        <f>'数据-取费表'!B36</f>
        <v>1.4999999999999999E-2</v>
      </c>
      <c r="G38" s="263" t="s">
        <v>2389</v>
      </c>
    </row>
    <row r="39" spans="1:7" s="258" customFormat="1" ht="13.5" customHeight="1">
      <c r="A39" s="299" t="s">
        <v>2395</v>
      </c>
      <c r="B39" s="254" t="s">
        <v>2396</v>
      </c>
      <c r="C39" s="276">
        <f ca="1">ROUND(C33*F20,0)</f>
        <v>29</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70</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69</v>
      </c>
      <c r="D42" s="282"/>
      <c r="E42" s="282"/>
      <c r="F42" s="283"/>
      <c r="G42" s="3196" t="s">
        <v>2405</v>
      </c>
    </row>
    <row r="43" spans="1:7" ht="13.5" customHeight="1">
      <c r="A43" s="951" t="s">
        <v>792</v>
      </c>
      <c r="B43" s="259" t="s">
        <v>2406</v>
      </c>
      <c r="C43" s="282">
        <f ca="1">ROUND(IF('数据-取费表'!B22&lt;=1,C39*F22*'数据-取费表'!B21/2,C39*(POWER((1+F22),'数据-取费表'!B21/2)-1)),0)</f>
        <v>1</v>
      </c>
      <c r="D43" s="282"/>
      <c r="E43" s="282"/>
      <c r="F43" s="283"/>
      <c r="G43" s="3197"/>
    </row>
    <row r="44" spans="1:7" ht="13.5" customHeight="1">
      <c r="A44" s="951" t="s">
        <v>793</v>
      </c>
      <c r="B44" s="259" t="s">
        <v>2407</v>
      </c>
      <c r="C44" s="282">
        <f ca="1">ROUND(IF('数据-取费表'!B22&lt;=1,C40*F22*'数据-取费表'!B21/2,C40*(POWER((1+F22),'数据-取费表'!B21/2)-1)),4)</f>
        <v>1E-3</v>
      </c>
      <c r="D44" s="282"/>
      <c r="E44" s="282"/>
      <c r="F44" s="283"/>
      <c r="G44" s="3198"/>
    </row>
    <row r="45" spans="1:7" s="258" customFormat="1" ht="13.5" customHeight="1">
      <c r="A45" s="299" t="s">
        <v>2408</v>
      </c>
      <c r="B45" s="288" t="s">
        <v>2374</v>
      </c>
      <c r="C45" s="289">
        <f ca="1">C46</f>
        <v>223</v>
      </c>
      <c r="D45" s="279">
        <f ca="1">C47</f>
        <v>3.0000000000000001E-3</v>
      </c>
      <c r="E45" s="280" t="s">
        <v>2400</v>
      </c>
      <c r="F45" s="290"/>
      <c r="G45" s="291" t="s">
        <v>2409</v>
      </c>
    </row>
    <row r="46" spans="1:7" s="258" customFormat="1" ht="13.5" customHeight="1">
      <c r="A46" s="951" t="s">
        <v>791</v>
      </c>
      <c r="B46" s="292" t="s">
        <v>2410</v>
      </c>
      <c r="C46" s="293">
        <f ca="1">ROUND((C33+C39)*F27,0)</f>
        <v>223</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1931</v>
      </c>
      <c r="D49" s="276"/>
      <c r="E49" s="276"/>
      <c r="F49" s="308"/>
      <c r="G49" s="278" t="s">
        <v>2415</v>
      </c>
    </row>
    <row r="50" spans="1:7" s="302" customFormat="1" ht="24">
      <c r="A50" s="299" t="s">
        <v>2416</v>
      </c>
      <c r="B50" s="254" t="s">
        <v>2417</v>
      </c>
      <c r="C50" s="276"/>
      <c r="D50" s="276"/>
      <c r="E50" s="276"/>
      <c r="F50" s="308">
        <f>IF('数据-取费表'!B24=0,'数据-取费表'!N16,1)</f>
        <v>0.92</v>
      </c>
      <c r="G50" s="291" t="s">
        <v>2418</v>
      </c>
    </row>
    <row r="51" spans="1:7" ht="16.5" customHeight="1">
      <c r="A51" s="299" t="s">
        <v>2419</v>
      </c>
      <c r="B51" s="254" t="s">
        <v>2420</v>
      </c>
      <c r="C51" s="276">
        <f ca="1">ROUND(C49*F50,0)</f>
        <v>1777</v>
      </c>
      <c r="D51" s="276"/>
      <c r="E51" s="276"/>
      <c r="F51" s="308"/>
      <c r="G51" s="278" t="s">
        <v>2421</v>
      </c>
    </row>
    <row r="52" spans="1:7" s="252" customFormat="1" ht="16.5" thickBot="1">
      <c r="A52" s="309" t="s">
        <v>2422</v>
      </c>
      <c r="B52" s="310"/>
      <c r="C52" s="311">
        <f ca="1">C31+C51</f>
        <v>1899</v>
      </c>
      <c r="D52" s="310"/>
      <c r="E52" s="310"/>
      <c r="F52" s="310"/>
      <c r="G52" s="312"/>
    </row>
    <row r="55" spans="1:7" ht="15">
      <c r="B55" s="314" t="s">
        <v>2423</v>
      </c>
      <c r="C55" s="315"/>
    </row>
    <row r="56" spans="1:7">
      <c r="B56" s="317" t="s">
        <v>1507</v>
      </c>
      <c r="C56" s="319">
        <f ca="1">1-C57</f>
        <v>6.3999999999999946E-2</v>
      </c>
    </row>
    <row r="57" spans="1:7">
      <c r="B57" s="317" t="s">
        <v>1508</v>
      </c>
      <c r="C57" s="318">
        <f ca="1">ROUND(C51/C52,3)</f>
        <v>0.93600000000000005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3" t="s">
        <v>2424</v>
      </c>
      <c r="D1" s="242"/>
      <c r="E1" s="242"/>
      <c r="F1" s="242"/>
      <c r="G1" s="1379">
        <f>MATCH(B1,'数据-取费表'!A6:A16,0)+5</f>
        <v>8</v>
      </c>
      <c r="H1" s="1282" t="str">
        <f>IF(ISERROR(FIND("住宅",B1)),"非住宅","住宅")</f>
        <v>非住宅</v>
      </c>
    </row>
    <row r="2" spans="1:8" s="244" customFormat="1" ht="18" customHeight="1">
      <c r="A2" s="245" t="s">
        <v>2323</v>
      </c>
      <c r="B2" s="246">
        <f ca="1">ROUND(IF(D2="——",C52/10000,C52/10000-E2),0)</f>
        <v>2019</v>
      </c>
      <c r="C2" s="243" t="s">
        <v>2324</v>
      </c>
      <c r="D2" s="2547" t="s">
        <v>70</v>
      </c>
      <c r="E2" s="1440" t="e">
        <f ca="1">SUMIF(INDIRECT("'"&amp;G2&amp;"'"&amp;"!A:A"),"承租人权益价值",INDIRECT("'"&amp;G2&amp;"'"&amp;"!c:c"))</f>
        <v>#REF!</v>
      </c>
      <c r="F2" s="2548" t="s">
        <v>2324</v>
      </c>
      <c r="G2" s="2549"/>
    </row>
    <row r="3" spans="1:8" s="244" customFormat="1" ht="18" customHeight="1" thickBot="1">
      <c r="A3" s="247" t="s">
        <v>2325</v>
      </c>
      <c r="B3" s="248">
        <f ca="1">ROUND(B2*10000/(IF(B1="",'数据-汇总表'!E3,INDIRECT("'数据-取费表'!k"&amp;$G$1))),0)</f>
        <v>4614</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875218</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875218</v>
      </c>
      <c r="D8" s="266"/>
      <c r="E8" s="264"/>
      <c r="F8" s="265"/>
      <c r="G8" s="2550"/>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875218</v>
      </c>
      <c r="D10" s="1032">
        <f ca="1">IF(B1="",'数据-汇总表'!E6,IF(INDIRECT("'数据-取费表'!c"&amp;$G$1)="住宅",INDIRECT("'数据-取费表'!s"&amp;$G$1),INDIRECT("'数据-取费表'!k"&amp;$G$1)+INDIRECT("'数据-取费表'!s"&amp;$G$1)))</f>
        <v>4376.09</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875218</v>
      </c>
      <c r="D19" s="1036">
        <f ca="1">D9+D10</f>
        <v>4376.09</v>
      </c>
      <c r="E19" s="255">
        <f>'数据-取费表'!B31</f>
        <v>200</v>
      </c>
      <c r="F19" s="275"/>
      <c r="G19" s="2550"/>
    </row>
    <row r="20" spans="1:7" s="258" customFormat="1" ht="13.5" customHeight="1">
      <c r="A20" s="299" t="s">
        <v>2435</v>
      </c>
      <c r="B20" s="254" t="s">
        <v>2436</v>
      </c>
      <c r="C20" s="276">
        <f ca="1">ROUND((C5+C19)*F20,0)</f>
        <v>35009</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171903</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85120</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85120</v>
      </c>
      <c r="D24" s="282"/>
      <c r="E24" s="282"/>
      <c r="F24" s="283"/>
      <c r="G24" s="284" t="s">
        <v>2447</v>
      </c>
    </row>
    <row r="25" spans="1:7" s="258" customFormat="1" ht="24">
      <c r="A25" s="951" t="s">
        <v>2337</v>
      </c>
      <c r="B25" s="259" t="s">
        <v>2448</v>
      </c>
      <c r="C25" s="1381">
        <f ca="1">ROUND(IF('数据-取费表'!B22&lt;=1,C20*F22*'数据-取费表'!B22/2,C20*(POWER((1+F22),'数据-取费表'!B22/2)-1)),0)</f>
        <v>1663</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267817</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267817</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2411580</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14594260</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13128270</v>
      </c>
      <c r="D34" s="261"/>
      <c r="E34" s="264"/>
      <c r="F34" s="301"/>
      <c r="G34" s="263"/>
    </row>
    <row r="35" spans="1:7" ht="13.5" customHeight="1">
      <c r="A35" s="951" t="s">
        <v>796</v>
      </c>
      <c r="B35" s="259" t="s">
        <v>2388</v>
      </c>
      <c r="C35" s="264">
        <f ca="1">ROUND(C34*F35,0)</f>
        <v>393848</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875218</v>
      </c>
      <c r="D37" s="261">
        <f ca="1">D19</f>
        <v>4376.09</v>
      </c>
      <c r="E37" s="293">
        <f>'数据-取费表'!B35</f>
        <v>200</v>
      </c>
      <c r="F37" s="303"/>
      <c r="G37" s="305"/>
    </row>
    <row r="38" spans="1:7" ht="13.5" customHeight="1">
      <c r="A38" s="951" t="s">
        <v>799</v>
      </c>
      <c r="B38" s="259" t="s">
        <v>2394</v>
      </c>
      <c r="C38" s="264">
        <f ca="1">ROUND(C34*F38,0)</f>
        <v>196924</v>
      </c>
      <c r="D38" s="264"/>
      <c r="E38" s="264"/>
      <c r="F38" s="303">
        <f>'数据-取费表'!B36</f>
        <v>1.4999999999999999E-2</v>
      </c>
      <c r="G38" s="263" t="s">
        <v>2389</v>
      </c>
    </row>
    <row r="39" spans="1:7" s="258" customFormat="1" ht="13.5" customHeight="1">
      <c r="A39" s="299" t="s">
        <v>2395</v>
      </c>
      <c r="B39" s="254" t="s">
        <v>2396</v>
      </c>
      <c r="C39" s="276">
        <f ca="1">ROUND(C33*F20,0)</f>
        <v>291885</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707092</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693227</v>
      </c>
      <c r="D42" s="282"/>
      <c r="E42" s="282"/>
      <c r="F42" s="283"/>
      <c r="G42" s="3196" t="s">
        <v>2452</v>
      </c>
    </row>
    <row r="43" spans="1:7" ht="13.5" customHeight="1">
      <c r="A43" s="951" t="s">
        <v>792</v>
      </c>
      <c r="B43" s="259" t="s">
        <v>2406</v>
      </c>
      <c r="C43" s="282">
        <f ca="1">ROUND(IF('数据-取费表'!B22&lt;=1,C39*F22*'数据-取费表'!B20/2,C39*(POWER((1+F22),'数据-取费表'!B20/2)-1)),0)</f>
        <v>13865</v>
      </c>
      <c r="D43" s="282"/>
      <c r="E43" s="282"/>
      <c r="F43" s="283"/>
      <c r="G43" s="3197"/>
    </row>
    <row r="44" spans="1:7" ht="13.5" customHeight="1">
      <c r="A44" s="951" t="s">
        <v>793</v>
      </c>
      <c r="B44" s="259" t="s">
        <v>2407</v>
      </c>
      <c r="C44" s="282">
        <f ca="1">ROUND(IF('数据-取费表'!B22&lt;=1,C40*F22*'数据-取费表'!B20/2,C40*(POWER((1+F22),'数据-取费表'!B20/2)-1)),4)</f>
        <v>1E-3</v>
      </c>
      <c r="D44" s="282"/>
      <c r="E44" s="282"/>
      <c r="F44" s="283"/>
      <c r="G44" s="3198"/>
    </row>
    <row r="45" spans="1:7" s="258" customFormat="1" ht="13.5" customHeight="1">
      <c r="A45" s="299" t="s">
        <v>2408</v>
      </c>
      <c r="B45" s="288" t="s">
        <v>2374</v>
      </c>
      <c r="C45" s="289">
        <f ca="1">C46</f>
        <v>2232922</v>
      </c>
      <c r="D45" s="279">
        <f ca="1">C47</f>
        <v>3.0000000000000001E-3</v>
      </c>
      <c r="E45" s="280" t="s">
        <v>2400</v>
      </c>
      <c r="F45" s="290"/>
      <c r="G45" s="291" t="s">
        <v>2409</v>
      </c>
    </row>
    <row r="46" spans="1:7" s="258" customFormat="1" ht="13.5" customHeight="1">
      <c r="A46" s="951" t="s">
        <v>791</v>
      </c>
      <c r="B46" s="292" t="s">
        <v>2410</v>
      </c>
      <c r="C46" s="293">
        <f ca="1">ROUND((C33+C39)*F27,0)</f>
        <v>2232922</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19319561</v>
      </c>
      <c r="D49" s="276"/>
      <c r="E49" s="276"/>
      <c r="F49" s="308"/>
      <c r="G49" s="278" t="s">
        <v>2415</v>
      </c>
    </row>
    <row r="50" spans="1:7" s="302" customFormat="1">
      <c r="A50" s="299" t="s">
        <v>2416</v>
      </c>
      <c r="B50" s="254" t="s">
        <v>2417</v>
      </c>
      <c r="C50" s="276"/>
      <c r="D50" s="276"/>
      <c r="E50" s="276"/>
      <c r="F50" s="308">
        <f>IF('数据-取费表'!B24=0,'数据-取费表'!N16,1)</f>
        <v>0.92</v>
      </c>
      <c r="G50" s="291"/>
    </row>
    <row r="51" spans="1:7" ht="16.5" customHeight="1">
      <c r="A51" s="299" t="s">
        <v>2419</v>
      </c>
      <c r="B51" s="254" t="s">
        <v>2454</v>
      </c>
      <c r="C51" s="276">
        <f ca="1">ROUND(C49*F50,0)</f>
        <v>17773996</v>
      </c>
      <c r="D51" s="276"/>
      <c r="E51" s="276"/>
      <c r="F51" s="308"/>
      <c r="G51" s="278" t="s">
        <v>2421</v>
      </c>
    </row>
    <row r="52" spans="1:7" s="252" customFormat="1" ht="16.5" thickBot="1">
      <c r="A52" s="309" t="s">
        <v>2422</v>
      </c>
      <c r="B52" s="310"/>
      <c r="C52" s="311">
        <f ca="1">C31+C51</f>
        <v>20185576</v>
      </c>
      <c r="D52" s="310"/>
      <c r="E52" s="310"/>
      <c r="F52" s="310"/>
      <c r="G52" s="312"/>
    </row>
    <row r="55" spans="1:7" ht="15">
      <c r="B55" s="314" t="s">
        <v>2423</v>
      </c>
      <c r="C55" s="315"/>
    </row>
    <row r="56" spans="1:7">
      <c r="B56" s="317" t="s">
        <v>1507</v>
      </c>
      <c r="C56" s="319">
        <f ca="1">1-C57</f>
        <v>0.11899999999999999</v>
      </c>
    </row>
    <row r="57" spans="1:7">
      <c r="B57" s="317" t="s">
        <v>1508</v>
      </c>
      <c r="C57" s="318">
        <f ca="1">ROUND(C51/C52,3)</f>
        <v>0.88100000000000001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8</v>
      </c>
    </row>
    <row r="2" spans="1:33" ht="18" customHeight="1">
      <c r="A2" s="245" t="s">
        <v>2323</v>
      </c>
      <c r="B2" s="248">
        <f ca="1">C32</f>
        <v>-225</v>
      </c>
      <c r="C2" s="320" t="s">
        <v>2456</v>
      </c>
      <c r="D2" s="320"/>
      <c r="E2" s="320"/>
      <c r="F2" s="320"/>
      <c r="G2" s="320"/>
      <c r="H2" s="320"/>
      <c r="I2" s="320"/>
      <c r="J2" s="320"/>
      <c r="K2" s="320"/>
    </row>
    <row r="3" spans="1:33" ht="18" customHeight="1" thickBot="1">
      <c r="A3" s="247" t="s">
        <v>2325</v>
      </c>
      <c r="B3" s="248">
        <f ca="1">ROUND(B2*10000/IF(C1="",'数据-汇总表'!E3,INDIRECT("'数据-取费表'!K"&amp;$K$1)),0)</f>
        <v>-514</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4" t="s">
        <v>2461</v>
      </c>
      <c r="D5" s="2554" t="s">
        <v>2462</v>
      </c>
      <c r="E5" s="2554" t="s">
        <v>2463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105</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3</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4376.09</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2</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110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4376.09</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88</v>
      </c>
      <c r="D18" s="1033"/>
      <c r="E18" s="24"/>
      <c r="F18" s="976"/>
      <c r="G18" s="2556"/>
      <c r="H18" s="1577"/>
      <c r="I18" s="2557"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88</v>
      </c>
      <c r="D20" s="1033">
        <f ca="1">IF(C1="",'数据-汇总表'!E6,IF(INDIRECT("'数据-取费表'!c"&amp;$K$1)="住宅",INDIRECT("'数据-取费表'!s"&amp;$K$1),INDIRECT("'数据-取费表'!k"&amp;$K$1)+INDIRECT("'数据-取费表'!s"&amp;$K$1)))</f>
        <v>4376.09</v>
      </c>
      <c r="E20" s="24">
        <f>'数据-取费表'!B28</f>
        <v>200</v>
      </c>
      <c r="F20" s="976"/>
      <c r="G20" s="15"/>
      <c r="H20" s="981"/>
      <c r="I20" s="981"/>
      <c r="J20" s="981"/>
      <c r="K20" s="982"/>
    </row>
    <row r="21" spans="1:33" s="975" customFormat="1" ht="13.5" customHeight="1">
      <c r="A21" s="961" t="s">
        <v>802</v>
      </c>
      <c r="B21" s="985" t="s">
        <v>2492</v>
      </c>
      <c r="C21" s="986">
        <f ca="1">C16+C17+C18</f>
        <v>198</v>
      </c>
      <c r="D21" s="987"/>
      <c r="E21" s="325"/>
      <c r="F21" s="325"/>
      <c r="G21" s="140" t="s">
        <v>2493</v>
      </c>
      <c r="H21" s="979"/>
      <c r="I21" s="979"/>
      <c r="J21" s="979"/>
      <c r="K21" s="980"/>
    </row>
    <row r="22" spans="1:33" s="975" customFormat="1" ht="13.5" customHeight="1">
      <c r="A22" s="961" t="s">
        <v>2465</v>
      </c>
      <c r="B22" s="985" t="s">
        <v>2494</v>
      </c>
      <c r="C22" s="986">
        <f ca="1">ROUND(C21*F22,0)</f>
        <v>4</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2505</v>
      </c>
      <c r="B28" s="2559" t="s">
        <v>2506</v>
      </c>
      <c r="C28" s="331">
        <f ca="1">C30</f>
        <v>30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30</v>
      </c>
      <c r="D30" s="328"/>
      <c r="E30" s="329"/>
      <c r="F30" s="334"/>
      <c r="G30" s="140"/>
      <c r="H30" s="979"/>
      <c r="I30" s="979"/>
      <c r="J30" s="979"/>
      <c r="K30" s="980"/>
    </row>
    <row r="31" spans="1:33" s="975" customFormat="1" ht="13.5" customHeight="1" thickBot="1">
      <c r="A31" s="2560"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-225</v>
      </c>
      <c r="D32" s="1001"/>
      <c r="E32" s="1001"/>
      <c r="F32" s="1001"/>
      <c r="G32" s="1003" t="s">
        <v>2514</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30" sqref="C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3068</v>
      </c>
      <c r="D1" s="1820" t="s">
        <v>70</v>
      </c>
      <c r="E1" s="1821" t="s">
        <v>1382</v>
      </c>
      <c r="F1" s="1283">
        <f ca="1">J53</f>
        <v>31.46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3868</v>
      </c>
      <c r="C2" s="1845" t="s">
        <v>1510</v>
      </c>
      <c r="D2" s="1845"/>
      <c r="E2" s="1846"/>
      <c r="F2" s="1847"/>
      <c r="G2" s="1848"/>
      <c r="H2" s="1840"/>
      <c r="I2" s="1840"/>
      <c r="J2" s="1840"/>
      <c r="K2" s="1841"/>
      <c r="L2" s="1840"/>
      <c r="M2" s="1840"/>
    </row>
    <row r="3" spans="1:37" ht="18" customHeight="1" thickBot="1">
      <c r="A3" s="1849" t="s">
        <v>1511</v>
      </c>
      <c r="B3" s="1850">
        <f ca="1">IF(ISERROR(B2*10000/F43),0,ROUND(B2*10000/F43,0))</f>
        <v>28857</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220</v>
      </c>
      <c r="D5" s="1822" t="s">
        <v>1397</v>
      </c>
      <c r="E5" s="1293"/>
      <c r="F5" s="1294"/>
      <c r="G5" s="1851"/>
      <c r="H5" s="344">
        <v>1</v>
      </c>
      <c r="I5" s="345" t="s">
        <v>1396</v>
      </c>
      <c r="J5" s="1292">
        <f ca="1">J6+J10+J12</f>
        <v>0</v>
      </c>
      <c r="K5" s="1822" t="s">
        <v>1397</v>
      </c>
      <c r="L5" s="1293"/>
      <c r="M5" s="1294"/>
    </row>
    <row r="6" spans="1:37" ht="18" customHeight="1">
      <c r="A6" s="1291" t="s">
        <v>1032</v>
      </c>
      <c r="B6" s="3201" t="s">
        <v>1398</v>
      </c>
      <c r="C6" s="1296">
        <f ca="1">ROUND(F6*F8*F7*(1-F9)/10000,0)</f>
        <v>220</v>
      </c>
      <c r="D6" s="164" t="s">
        <v>3026</v>
      </c>
      <c r="E6" s="347" t="s">
        <v>1400</v>
      </c>
      <c r="F6" s="348">
        <f ca="1">INDIRECT("'数据-取费表'!u"&amp;$G$1)</f>
        <v>5</v>
      </c>
      <c r="G6" s="1851"/>
      <c r="H6" s="1291" t="s">
        <v>1032</v>
      </c>
      <c r="I6" s="3201" t="s">
        <v>1398</v>
      </c>
      <c r="J6" s="346">
        <f ca="1">ROUND(M6*M8*M7*(1-M9)/10000,0)</f>
        <v>0</v>
      </c>
      <c r="K6" s="164" t="s">
        <v>3025</v>
      </c>
      <c r="L6" s="347" t="s">
        <v>1400</v>
      </c>
      <c r="M6" s="348">
        <f ca="1">INDIRECT("'数据-取费表'!z"&amp;$G$1)</f>
        <v>0</v>
      </c>
    </row>
    <row r="7" spans="1:37" ht="18" customHeight="1">
      <c r="A7" s="1295"/>
      <c r="B7" s="3202"/>
      <c r="C7" s="1297"/>
      <c r="D7" s="352"/>
      <c r="E7" s="1298" t="s">
        <v>1401</v>
      </c>
      <c r="F7" s="348">
        <f ca="1">IF(INDIRECT("'数据-取费表'!ah"&amp;$G$1)="",INDIRECT("'数据-取费表'!k"&amp;$G$1),INDIRECT("'数据-取费表'!ah"&amp;$G$1))</f>
        <v>1340.42</v>
      </c>
      <c r="G7" s="1851"/>
      <c r="H7" s="349"/>
      <c r="I7" s="3202"/>
      <c r="J7" s="351"/>
      <c r="K7" s="352"/>
      <c r="L7" s="347" t="s">
        <v>1401</v>
      </c>
      <c r="M7" s="348">
        <f ca="1">F7</f>
        <v>1340.42</v>
      </c>
    </row>
    <row r="8" spans="1:37" ht="18" customHeight="1">
      <c r="A8" s="349"/>
      <c r="B8" s="3202"/>
      <c r="C8" s="351"/>
      <c r="D8" s="352"/>
      <c r="E8" s="347" t="s">
        <v>1402</v>
      </c>
      <c r="F8" s="348">
        <f ca="1">INDIRECT("'数据-取费表'!ai"&amp;$G$1)</f>
        <v>365</v>
      </c>
      <c r="G8" s="1851"/>
      <c r="H8" s="349"/>
      <c r="I8" s="3202"/>
      <c r="J8" s="351"/>
      <c r="K8" s="352"/>
      <c r="L8" s="347" t="s">
        <v>1402</v>
      </c>
      <c r="M8" s="348">
        <f ca="1">INDIRECT("'数据-取费表'!ai"&amp;$G$1)</f>
        <v>365</v>
      </c>
    </row>
    <row r="9" spans="1:37" ht="18" customHeight="1">
      <c r="A9" s="349"/>
      <c r="B9" s="3203"/>
      <c r="C9" s="351"/>
      <c r="D9" s="352"/>
      <c r="E9" s="347" t="s">
        <v>1403</v>
      </c>
      <c r="F9" s="357">
        <f ca="1">INDIRECT("'数据-取费表'!w"&amp;$G$1)</f>
        <v>0.1</v>
      </c>
      <c r="G9" s="1851"/>
      <c r="H9" s="349"/>
      <c r="I9" s="320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t="s">
        <v>3099</v>
      </c>
      <c r="G10" s="1851"/>
      <c r="H10" s="1291" t="s">
        <v>1036</v>
      </c>
      <c r="I10" s="1823" t="s">
        <v>1404</v>
      </c>
      <c r="J10" s="346">
        <f ca="1">ROUND(IF(M10="押一",J6/12*M11,IF(M10="押二",J6/12*2*M11,IF(M10="押三",J6/12*3*M11,J11*M11))),0)</f>
        <v>0</v>
      </c>
      <c r="K10" s="1824" t="s">
        <v>3034</v>
      </c>
      <c r="L10" s="358" t="s">
        <v>1405</v>
      </c>
      <c r="M10" s="1366" t="s">
        <v>3182</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544</v>
      </c>
      <c r="D13" s="1331" t="s">
        <v>1409</v>
      </c>
      <c r="E13" s="1331" t="s">
        <v>1410</v>
      </c>
      <c r="F13" s="1332">
        <f ca="1">INDIRECT("'数据-取费表'!y"&amp;$G$1)</f>
        <v>0.92</v>
      </c>
      <c r="G13" s="1851"/>
      <c r="H13" s="1329">
        <v>2</v>
      </c>
      <c r="I13" s="1330" t="s">
        <v>1408</v>
      </c>
      <c r="J13" s="1290">
        <f ca="1">ROUND(J14*J15,0)</f>
        <v>0</v>
      </c>
      <c r="K13" s="1337" t="s">
        <v>1409</v>
      </c>
      <c r="L13" s="1852"/>
      <c r="M13" s="1853"/>
    </row>
    <row r="14" spans="1:37" ht="18" customHeight="1">
      <c r="A14" s="1201" t="s">
        <v>1031</v>
      </c>
      <c r="B14" s="347" t="s">
        <v>1411</v>
      </c>
      <c r="C14" s="363">
        <f ca="1">INDIRECT("'数据-取费表'!m"&amp;$G$1)+INDIRECT("'数据-取费表'!t"&amp;$G$1)</f>
        <v>402</v>
      </c>
      <c r="D14" s="1800" t="s">
        <v>1412</v>
      </c>
      <c r="E14" s="1794"/>
      <c r="F14" s="364"/>
      <c r="G14" s="1851"/>
      <c r="H14" s="1201" t="s">
        <v>1032</v>
      </c>
      <c r="I14" s="347" t="s">
        <v>1413</v>
      </c>
      <c r="J14" s="24">
        <f ca="1">C29</f>
        <v>591</v>
      </c>
      <c r="K14" s="15"/>
      <c r="L14" s="979"/>
      <c r="M14" s="980"/>
    </row>
    <row r="15" spans="1:37" s="1858" customFormat="1" ht="18" customHeight="1" thickBot="1">
      <c r="A15" s="1201" t="s">
        <v>1033</v>
      </c>
      <c r="B15" s="347" t="s">
        <v>1414</v>
      </c>
      <c r="C15" s="24">
        <f ca="1">ROUND(C14*F15,0)</f>
        <v>12</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14</v>
      </c>
      <c r="K16" s="1337" t="s">
        <v>1419</v>
      </c>
      <c r="L16" s="1338"/>
      <c r="M16" s="1294"/>
    </row>
    <row r="17" spans="1:37" s="1858" customFormat="1" ht="18" customHeight="1">
      <c r="A17" s="1201" t="s">
        <v>1385</v>
      </c>
      <c r="B17" s="347" t="s">
        <v>1420</v>
      </c>
      <c r="C17" s="24">
        <f ca="1">ROUND(F17*(F43+INDIRECT("'数据-取费表'!S"&amp;$G$1))/10000,0)</f>
        <v>27</v>
      </c>
      <c r="D17" s="347" t="s">
        <v>1421</v>
      </c>
      <c r="E17" s="347" t="s">
        <v>1422</v>
      </c>
      <c r="F17" s="26">
        <f>'数据-取费表'!B35</f>
        <v>200</v>
      </c>
      <c r="G17" s="1854"/>
      <c r="H17" s="1201" t="s">
        <v>1032</v>
      </c>
      <c r="I17" s="347" t="s">
        <v>1423</v>
      </c>
      <c r="J17" s="24">
        <f ca="1">ROUND(IF(项目基本情况!B11="自然人",J6*M17/(1+'数据-取费表'!C42),J18+J19+J20),1)</f>
        <v>5.3</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6</v>
      </c>
      <c r="D18" s="347" t="s">
        <v>1415</v>
      </c>
      <c r="E18" s="347" t="s">
        <v>1416</v>
      </c>
      <c r="F18" s="367">
        <f>'数据-取费表'!B36</f>
        <v>1.4999999999999999E-2</v>
      </c>
      <c r="G18" s="1854"/>
      <c r="H18" s="1201" t="s">
        <v>1031</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447</v>
      </c>
      <c r="D19" s="140" t="s">
        <v>1430</v>
      </c>
      <c r="E19" s="1818"/>
      <c r="F19" s="26"/>
      <c r="G19" s="1851"/>
      <c r="H19" s="1201" t="s">
        <v>1033</v>
      </c>
      <c r="I19" s="347" t="s">
        <v>1431</v>
      </c>
      <c r="J19" s="24">
        <f ca="1">IF(K19="按租金收入计税",ROUND(J6*M19/(1+'数据-取费表'!C42),2),ROUND(C29*M19*0.7,2))</f>
        <v>4.96</v>
      </c>
      <c r="K19" s="1828" t="s">
        <v>1432</v>
      </c>
      <c r="L19" s="347" t="s">
        <v>1416</v>
      </c>
      <c r="M19" s="367">
        <f>IF(K19="按租金收入计税",'数据-取费表'!B51,'数据-取费表'!B50)</f>
        <v>1.2E-2</v>
      </c>
    </row>
    <row r="20" spans="1:37" s="1858" customFormat="1" ht="18" customHeight="1">
      <c r="A20" s="1201" t="s">
        <v>1036</v>
      </c>
      <c r="B20" s="347" t="s">
        <v>1433</v>
      </c>
      <c r="C20" s="24">
        <f ca="1">ROUND(C19*F20,0)</f>
        <v>9</v>
      </c>
      <c r="D20" s="369" t="s">
        <v>1434</v>
      </c>
      <c r="E20" s="347" t="s">
        <v>1416</v>
      </c>
      <c r="F20" s="367">
        <f>'数据-取费表'!B37</f>
        <v>0.02</v>
      </c>
      <c r="G20" s="1854"/>
      <c r="H20" s="1201" t="s">
        <v>1384</v>
      </c>
      <c r="I20" s="164" t="s">
        <v>1435</v>
      </c>
      <c r="J20" s="25">
        <f ca="1">ROUND(M20*M21/10000,2)</f>
        <v>0.37</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0.02</v>
      </c>
      <c r="G21" s="1854"/>
      <c r="H21" s="372"/>
      <c r="I21" s="356"/>
      <c r="J21" s="29"/>
      <c r="K21" s="373"/>
      <c r="L21" s="347" t="s">
        <v>1441</v>
      </c>
      <c r="M21" s="348">
        <f ca="1">INDIRECT("'数据-取费表'!r"&amp;$G$1)</f>
        <v>1227.98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8.9</v>
      </c>
      <c r="K22" s="1798"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-14</v>
      </c>
      <c r="K25" s="1345" t="s">
        <v>1458</v>
      </c>
      <c r="L25" s="1346"/>
      <c r="M25" s="1347"/>
    </row>
    <row r="26" spans="1:37">
      <c r="A26" s="1201" t="s">
        <v>1031</v>
      </c>
      <c r="B26" s="347" t="s">
        <v>1459</v>
      </c>
      <c r="C26" s="24">
        <f ca="1">ROUND((C19+C20)*F26,0)</f>
        <v>68</v>
      </c>
      <c r="D26" s="369" t="s">
        <v>1460</v>
      </c>
      <c r="E26" s="358" t="s">
        <v>1461</v>
      </c>
      <c r="F26" s="357">
        <f ca="1">INDIRECT("'数据-取费表'!q"&amp;$G$1)</f>
        <v>0.15</v>
      </c>
      <c r="G26" s="1851"/>
      <c r="H26" s="344" t="s">
        <v>1029</v>
      </c>
      <c r="I26" s="345" t="s">
        <v>1462</v>
      </c>
      <c r="J26" s="346">
        <f ca="1">IF(J5&lt;&gt;0,ROUND(J25*(1-((1+M28)/(1+M26))^M27)/(M26-M28),0),0)</f>
        <v>0</v>
      </c>
      <c r="K26" s="370" t="s">
        <v>1463</v>
      </c>
      <c r="L26" s="347" t="s">
        <v>1464</v>
      </c>
      <c r="M26" s="357">
        <f ca="1">INDIRECT("'数据-取费表'!I"&amp;$G$1)</f>
        <v>5.5E-2</v>
      </c>
    </row>
    <row r="27" spans="1:37" ht="18" customHeight="1">
      <c r="A27" s="1201" t="s">
        <v>1033</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591</v>
      </c>
      <c r="D29" s="1342"/>
      <c r="E29" s="1340"/>
      <c r="F29" s="1343"/>
      <c r="G29" s="1854"/>
      <c r="H29" s="380" t="s">
        <v>1030</v>
      </c>
      <c r="I29" s="381" t="s">
        <v>1473</v>
      </c>
      <c r="J29" s="382">
        <f ca="1">ROUND(J26/(1+F40)^F41,0)</f>
        <v>0</v>
      </c>
      <c r="K29" s="383" t="s">
        <v>1474</v>
      </c>
      <c r="L29" s="384"/>
      <c r="M29" s="385">
        <f ca="1">INDIRECT("'数据-取费表'!k"&amp;$G$1)</f>
        <v>1340.42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49</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37.200000000000003</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11.73</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25.14</v>
      </c>
      <c r="D33" s="1828" t="s">
        <v>3100</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0.37</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1227.98</v>
      </c>
      <c r="G35" s="1851"/>
      <c r="H35" s="745"/>
      <c r="I35" s="1860"/>
      <c r="J35" s="1861"/>
      <c r="K35" s="1862"/>
      <c r="L35" s="1859"/>
      <c r="M35" s="1859"/>
    </row>
    <row r="36" spans="1:18" ht="18" customHeight="1">
      <c r="A36" s="1352" t="s">
        <v>1036</v>
      </c>
      <c r="B36" s="347" t="s">
        <v>1443</v>
      </c>
      <c r="C36" s="24">
        <f ca="1">ROUND(C29*F36,1)</f>
        <v>8.9</v>
      </c>
      <c r="D36" s="1798"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0.8</v>
      </c>
      <c r="D37" s="1798"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2.2000000000000002</v>
      </c>
      <c r="D38" s="1342" t="s">
        <v>1453</v>
      </c>
      <c r="E38" s="1340" t="s">
        <v>1449</v>
      </c>
      <c r="F38" s="1336">
        <f ca="1">INDIRECT("'数据-取费表'!Am"&amp;$G$1)</f>
        <v>0.01</v>
      </c>
      <c r="G38" s="1851"/>
      <c r="H38" s="1859"/>
      <c r="I38" s="1860"/>
      <c r="J38" s="1861"/>
      <c r="K38" s="1865"/>
      <c r="L38" s="1859"/>
      <c r="M38" s="1859"/>
    </row>
    <row r="39" spans="1:18" ht="24.6" customHeight="1" thickTop="1">
      <c r="A39" s="1329" t="s">
        <v>1028</v>
      </c>
      <c r="B39" s="1344" t="s">
        <v>1477</v>
      </c>
      <c r="C39" s="355">
        <f ca="1">C5-C30</f>
        <v>171</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3868</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1471</v>
      </c>
      <c r="F42" s="357">
        <f ca="1">INDIRECT("'数据-取费表'!v"&amp;$G$1)</f>
        <v>3.5000000000000003E-2</v>
      </c>
      <c r="G42" s="1851"/>
      <c r="H42" s="732"/>
      <c r="I42" s="1860"/>
      <c r="J42" s="1861"/>
      <c r="K42" s="751"/>
      <c r="L42" s="732"/>
      <c r="M42" s="732"/>
    </row>
    <row r="43" spans="1:18" ht="18" customHeight="1" thickBot="1">
      <c r="A43" s="380" t="s">
        <v>1030</v>
      </c>
      <c r="B43" s="381" t="s">
        <v>1481</v>
      </c>
      <c r="C43" s="382">
        <f ca="1">ROUND(C40*10000/F43,0)</f>
        <v>28857</v>
      </c>
      <c r="D43" s="383" t="s">
        <v>1482</v>
      </c>
      <c r="E43" s="384" t="s">
        <v>1483</v>
      </c>
      <c r="F43" s="385">
        <f ca="1">INDIRECT("'数据-取费表'!k"&amp;$G$1)</f>
        <v>1340.42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-4756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3101</v>
      </c>
      <c r="K47" s="1882" t="s">
        <v>1521</v>
      </c>
      <c r="L47" s="1883">
        <f ca="1">INDIRECT("'数据-取费表'!d"&amp;$G$1)</f>
        <v>40</v>
      </c>
      <c r="M47" s="1838" t="str">
        <f>IF(ISNUMBER(FIND("住宅",C1)),"住宅","非住宅")</f>
        <v>非住宅</v>
      </c>
      <c r="O47" s="1884" t="s">
        <v>1037</v>
      </c>
      <c r="P47" s="1885" t="s">
        <v>1522</v>
      </c>
      <c r="Q47" s="1886">
        <f ca="1">C40+J29</f>
        <v>3868</v>
      </c>
      <c r="R47" s="1886" t="s">
        <v>1523</v>
      </c>
    </row>
    <row r="48" spans="1:18" s="1842" customFormat="1" ht="28.5" thickBot="1">
      <c r="A48" s="1360" t="s">
        <v>1132</v>
      </c>
      <c r="B48" s="345" t="s">
        <v>1396</v>
      </c>
      <c r="C48" s="1817">
        <f ca="1">C49+C53+C55</f>
        <v>0</v>
      </c>
      <c r="D48" s="1362"/>
      <c r="E48" s="1363"/>
      <c r="F48" s="1181"/>
      <c r="G48" s="792"/>
      <c r="H48" s="793"/>
      <c r="I48" s="1887" t="s">
        <v>1524</v>
      </c>
      <c r="J48" s="1888" t="s">
        <v>3102</v>
      </c>
      <c r="K48" s="1889" t="s">
        <v>1525</v>
      </c>
      <c r="L48" s="1890">
        <f ca="1">INDIRECT("'数据-取费表'!f"&amp;$G$1)</f>
        <v>31.46</v>
      </c>
      <c r="O48" s="1884" t="s">
        <v>1038</v>
      </c>
      <c r="P48" s="1885" t="s">
        <v>1526</v>
      </c>
      <c r="Q48" s="1886" t="str">
        <f ca="1">J60</f>
        <v>0</v>
      </c>
      <c r="R48" s="1886" t="s">
        <v>1527</v>
      </c>
    </row>
    <row r="49" spans="1:18" s="1842" customFormat="1" ht="13.5" thickBot="1">
      <c r="A49" s="1194" t="s">
        <v>1133</v>
      </c>
      <c r="B49" s="1829" t="s">
        <v>1484</v>
      </c>
      <c r="C49" s="1364">
        <f ca="1">ROUND(F49*F51*F50*(1-F52)/10000,0)</f>
        <v>0</v>
      </c>
      <c r="D49" s="1276" t="s">
        <v>3027</v>
      </c>
      <c r="E49" s="1830" t="s">
        <v>1485</v>
      </c>
      <c r="F49" s="1281"/>
      <c r="G49" s="1891"/>
      <c r="H49" s="793"/>
      <c r="I49" s="1887" t="s">
        <v>1528</v>
      </c>
      <c r="J49" s="1892">
        <v>2014</v>
      </c>
      <c r="K49" s="1889" t="s">
        <v>1529</v>
      </c>
      <c r="L49" s="1893"/>
      <c r="O49" s="1894" t="s">
        <v>1039</v>
      </c>
      <c r="P49" s="1885" t="s">
        <v>1530</v>
      </c>
      <c r="Q49" s="1886">
        <f ca="1">C29</f>
        <v>591</v>
      </c>
      <c r="R49" s="1886" t="s">
        <v>1523</v>
      </c>
    </row>
    <row r="50" spans="1:18" s="1842" customFormat="1" ht="13.5" thickBot="1">
      <c r="A50" s="1195"/>
      <c r="B50" s="1198"/>
      <c r="C50" s="1368"/>
      <c r="D50" s="1172"/>
      <c r="E50" s="1277" t="s">
        <v>1401</v>
      </c>
      <c r="F50" s="1278">
        <f ca="1">F7</f>
        <v>1340.42</v>
      </c>
      <c r="H50" s="793"/>
      <c r="I50" s="1887" t="s">
        <v>1531</v>
      </c>
      <c r="J50" s="1895">
        <f>SUMPRODUCT((I63:I65=J47)*(J62:L62=J48)*(J63:L65))</f>
        <v>60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55</v>
      </c>
      <c r="K51" s="1900" t="s">
        <v>1535</v>
      </c>
      <c r="L51" s="1901">
        <f ca="1">ROUND(-PV(INDIRECT("'数据-取费表'!h"&amp;$G$1),L48,(C39-C13*C76),0),0)</f>
        <v>1958</v>
      </c>
      <c r="M51" s="1902"/>
      <c r="O51" s="1894" t="s">
        <v>1041</v>
      </c>
      <c r="P51" s="1885" t="s">
        <v>1536</v>
      </c>
      <c r="Q51" s="1897">
        <f>J52</f>
        <v>0.09</v>
      </c>
      <c r="R51" s="1886"/>
    </row>
    <row r="52" spans="1:18" s="1842" customFormat="1" ht="13.5" thickBot="1">
      <c r="A52" s="1196"/>
      <c r="B52" s="1198"/>
      <c r="C52" s="1199"/>
      <c r="D52" s="1172"/>
      <c r="E52" s="1200" t="s">
        <v>1403</v>
      </c>
      <c r="F52" s="1275"/>
      <c r="I52" s="1903" t="s">
        <v>1537</v>
      </c>
      <c r="J52" s="1904">
        <v>0.09</v>
      </c>
      <c r="K52" s="1903" t="s">
        <v>1538</v>
      </c>
      <c r="L52" s="1904"/>
      <c r="O52" s="1894" t="s">
        <v>1042</v>
      </c>
      <c r="P52" s="1885" t="s">
        <v>1539</v>
      </c>
      <c r="Q52" s="1886">
        <f ca="1">J53</f>
        <v>31.46</v>
      </c>
      <c r="R52" s="1886" t="s">
        <v>1540</v>
      </c>
    </row>
    <row r="53" spans="1:18" s="1842" customFormat="1" ht="24.75" thickBot="1">
      <c r="A53" s="1405" t="s">
        <v>1134</v>
      </c>
      <c r="B53" s="1831" t="s">
        <v>1404</v>
      </c>
      <c r="C53" s="361">
        <f ca="1">ROUND(IF(F53="押一",C49/12*F11,IF(F53="押二",C49/12*2*F11,IF(F53="押三",C49/12*3*F11,C54*F11))),0)</f>
        <v>0</v>
      </c>
      <c r="D53" s="1824" t="s">
        <v>3034</v>
      </c>
      <c r="E53" s="358" t="s">
        <v>1405</v>
      </c>
      <c r="F53" s="1366"/>
      <c r="I53" s="1905" t="s">
        <v>1541</v>
      </c>
      <c r="J53" s="2950">
        <f ca="1">IF(M47="住宅",IF(D1="——",MAX(J51,L48),MAX(J51,L48-'数据-取费表'!B24)),IF(D1="——",MIN(J51,L48),MIN(J51,L48-'数据-取费表'!B24)))</f>
        <v>31.46</v>
      </c>
      <c r="K53" s="3199" t="s">
        <v>1542</v>
      </c>
      <c r="L53" s="3200"/>
      <c r="O53" s="1884" t="s">
        <v>1043</v>
      </c>
      <c r="P53" s="1885" t="s">
        <v>1543</v>
      </c>
      <c r="Q53" s="1886">
        <f ca="1">Q47+Q48</f>
        <v>3868</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544</v>
      </c>
      <c r="D56" s="1913"/>
      <c r="E56" s="1914"/>
      <c r="F56" s="1906"/>
      <c r="I56" s="1915" t="s">
        <v>1548</v>
      </c>
      <c r="J56" s="1916" t="s">
        <v>3095</v>
      </c>
      <c r="K56" s="1887" t="s">
        <v>1549</v>
      </c>
      <c r="L56" s="1890" t="str">
        <f ca="1">IF(L48&lt;J51,"——",L48-J53)</f>
        <v>——</v>
      </c>
      <c r="O56" s="1884" t="s">
        <v>1037</v>
      </c>
      <c r="P56" s="1885" t="s">
        <v>1522</v>
      </c>
      <c r="Q56" s="1886">
        <f ca="1">C40+J29</f>
        <v>3868</v>
      </c>
      <c r="R56" s="1886" t="s">
        <v>1523</v>
      </c>
    </row>
    <row r="57" spans="1:18" s="1842" customFormat="1" ht="24.75" thickBot="1">
      <c r="A57" s="1917"/>
      <c r="B57" s="1169" t="s">
        <v>1472</v>
      </c>
      <c r="C57" s="282">
        <f ca="1">C29</f>
        <v>591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60</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50</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49.64</v>
      </c>
      <c r="D61" s="1828" t="s">
        <v>1432</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0.37</v>
      </c>
      <c r="D62" s="1184" t="s">
        <v>1491</v>
      </c>
      <c r="E62" s="1169" t="s">
        <v>1492</v>
      </c>
      <c r="F62" s="371">
        <f t="shared" si="0"/>
        <v>3</v>
      </c>
      <c r="I62" s="1928" t="s">
        <v>1564</v>
      </c>
      <c r="J62" s="1929" t="s">
        <v>1565</v>
      </c>
      <c r="K62" s="1929" t="s">
        <v>1566</v>
      </c>
      <c r="L62" s="1929" t="s">
        <v>1567</v>
      </c>
      <c r="M62" s="1930" t="s">
        <v>1568</v>
      </c>
      <c r="O62" s="1884" t="s">
        <v>1043</v>
      </c>
      <c r="P62" s="1885" t="s">
        <v>1569</v>
      </c>
      <c r="Q62" s="1886">
        <f ca="1">Q56+Q57</f>
        <v>3868</v>
      </c>
      <c r="R62" s="1886" t="s">
        <v>1044</v>
      </c>
    </row>
    <row r="63" spans="1:18" s="1842" customFormat="1" ht="13.5" thickBot="1">
      <c r="A63" s="372"/>
      <c r="B63" s="1175"/>
      <c r="C63" s="29"/>
      <c r="D63" s="1185"/>
      <c r="E63" s="1169" t="s">
        <v>1493</v>
      </c>
      <c r="F63" s="348">
        <f t="shared" ca="1" si="0"/>
        <v>1227.98</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8.9</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0.8</v>
      </c>
      <c r="D65" s="1183" t="s">
        <v>1448</v>
      </c>
      <c r="E65" s="1169" t="s">
        <v>1449</v>
      </c>
      <c r="F65" s="376">
        <f t="shared" ca="1" si="0"/>
        <v>1.5E-3</v>
      </c>
      <c r="I65" s="1928" t="s">
        <v>1573</v>
      </c>
      <c r="J65" s="1929">
        <v>40</v>
      </c>
      <c r="K65" s="1929">
        <v>30</v>
      </c>
      <c r="L65" s="1929">
        <v>50</v>
      </c>
      <c r="M65" s="1931">
        <v>0.02</v>
      </c>
      <c r="O65" s="1884" t="s">
        <v>1037</v>
      </c>
      <c r="P65" s="1885" t="s">
        <v>1574</v>
      </c>
      <c r="Q65" s="1886">
        <f ca="1">C40+J29</f>
        <v>3868</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1038</v>
      </c>
      <c r="P66" s="1885" t="s">
        <v>1552</v>
      </c>
      <c r="Q66" s="1886">
        <f ca="1">L60</f>
        <v>0</v>
      </c>
      <c r="R66" s="1886" t="s">
        <v>1575</v>
      </c>
    </row>
    <row r="67" spans="1:18" s="1842" customFormat="1" ht="16.5" thickBot="1">
      <c r="A67" s="1176" t="s">
        <v>1028</v>
      </c>
      <c r="B67" s="1186" t="s">
        <v>1457</v>
      </c>
      <c r="C67" s="361">
        <f ca="1">C48-C58</f>
        <v>-60</v>
      </c>
      <c r="D67" s="1182" t="s">
        <v>1458</v>
      </c>
      <c r="E67" s="1187"/>
      <c r="F67" s="1188"/>
      <c r="O67" s="1894" t="s">
        <v>1039</v>
      </c>
      <c r="P67" s="1885" t="s">
        <v>1556</v>
      </c>
      <c r="Q67" s="1932">
        <f ca="1">L51</f>
        <v>1958</v>
      </c>
      <c r="R67" s="1886" t="s">
        <v>1576</v>
      </c>
    </row>
    <row r="68" spans="1:18" s="1842" customFormat="1" ht="16.5" thickBot="1">
      <c r="A68" s="1166" t="s">
        <v>1029</v>
      </c>
      <c r="B68" s="1167" t="s">
        <v>1479</v>
      </c>
      <c r="C68" s="346">
        <f ca="1">ROUND(C67*(1-((1+F70)/(1+F68))^F69)/(F68-F70),0)</f>
        <v>-888</v>
      </c>
      <c r="D68" s="1184" t="s">
        <v>1463</v>
      </c>
      <c r="E68" s="1169" t="s">
        <v>1464</v>
      </c>
      <c r="F68" s="357">
        <f ca="1">F40</f>
        <v>5.5E-2</v>
      </c>
      <c r="O68" s="1894" t="s">
        <v>1040</v>
      </c>
      <c r="P68" s="1933" t="s">
        <v>1577</v>
      </c>
      <c r="Q68" s="1886">
        <f ca="1">ROUND(Q69-Q70*Q71,0)</f>
        <v>125</v>
      </c>
      <c r="R68" s="1886" t="s">
        <v>1048</v>
      </c>
    </row>
    <row r="69" spans="1:18" s="1842" customFormat="1" ht="13.5" thickBot="1">
      <c r="A69" s="1170"/>
      <c r="B69" s="1171"/>
      <c r="C69" s="351"/>
      <c r="D69" s="1189" t="s">
        <v>1467</v>
      </c>
      <c r="E69" s="1169" t="s">
        <v>1468</v>
      </c>
      <c r="F69" s="379">
        <f ca="1">F41</f>
        <v>31.46</v>
      </c>
      <c r="O69" s="1894" t="s">
        <v>1045</v>
      </c>
      <c r="P69" s="1933" t="s">
        <v>1578</v>
      </c>
      <c r="Q69" s="1886">
        <f ca="1">C39</f>
        <v>171</v>
      </c>
      <c r="R69" s="1886" t="s">
        <v>1523</v>
      </c>
    </row>
    <row r="70" spans="1:18" s="1842" customFormat="1" ht="13.5" thickBot="1">
      <c r="A70" s="1173"/>
      <c r="B70" s="1174"/>
      <c r="C70" s="355"/>
      <c r="D70" s="1185"/>
      <c r="E70" s="1169" t="s">
        <v>1471</v>
      </c>
      <c r="F70" s="1275"/>
      <c r="O70" s="1894" t="s">
        <v>1046</v>
      </c>
      <c r="P70" s="1933" t="s">
        <v>1579</v>
      </c>
      <c r="Q70" s="1886">
        <f ca="1">C13</f>
        <v>544</v>
      </c>
      <c r="R70" s="1886" t="s">
        <v>1523</v>
      </c>
    </row>
    <row r="71" spans="1:18" s="1842" customFormat="1" ht="13.5" thickBot="1">
      <c r="A71" s="1190" t="s">
        <v>1030</v>
      </c>
      <c r="B71" s="1191" t="s">
        <v>1481</v>
      </c>
      <c r="C71" s="382">
        <f ca="1">ROUND(C68*10000/F71,0)</f>
        <v>-6625</v>
      </c>
      <c r="D71" s="1192" t="s">
        <v>1482</v>
      </c>
      <c r="E71" s="1193" t="s">
        <v>1483</v>
      </c>
      <c r="F71" s="385">
        <f ca="1">F43</f>
        <v>1340.42</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46</v>
      </c>
      <c r="D75" s="1842"/>
      <c r="E75" s="1842"/>
      <c r="F75" s="1842"/>
      <c r="K75" s="1868"/>
      <c r="L75" s="1842"/>
      <c r="O75" s="1884" t="s">
        <v>1043</v>
      </c>
      <c r="P75" s="1885" t="s">
        <v>1543</v>
      </c>
      <c r="Q75" s="1886">
        <f ca="1">Q65+Q66</f>
        <v>3868</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0.73099999999999998</v>
      </c>
    </row>
    <row r="80" spans="1:18">
      <c r="B80" s="386" t="s">
        <v>1505</v>
      </c>
      <c r="C80" s="318">
        <f ca="1">ROUND(C75/C39,3)</f>
        <v>0.26900000000000002</v>
      </c>
    </row>
    <row r="81" spans="2:3">
      <c r="B81" s="314" t="s">
        <v>1506</v>
      </c>
      <c r="C81" s="282"/>
    </row>
    <row r="82" spans="2:3">
      <c r="B82" s="317" t="s">
        <v>1507</v>
      </c>
      <c r="C82" s="319">
        <f ca="1">1-C83</f>
        <v>0.85899999999999999</v>
      </c>
    </row>
    <row r="83" spans="2:3">
      <c r="B83" s="317" t="s">
        <v>1508</v>
      </c>
      <c r="C83" s="318">
        <f ca="1">ROUND(C13/C40,3)</f>
        <v>0.14099999999999999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201" t="s">
        <v>1398</v>
      </c>
      <c r="C6" s="1296">
        <f ca="1">ROUND(F6*F8*F7*(1-F9),0)</f>
        <v>0</v>
      </c>
      <c r="D6" s="164" t="s">
        <v>3023</v>
      </c>
      <c r="E6" s="347" t="s">
        <v>1400</v>
      </c>
      <c r="F6" s="348">
        <f ca="1">INDIRECT("'数据-取费表'!u"&amp;$G$1)</f>
        <v>0</v>
      </c>
      <c r="G6" s="1851"/>
      <c r="H6" s="1291" t="s">
        <v>1032</v>
      </c>
      <c r="I6" s="3201" t="s">
        <v>1398</v>
      </c>
      <c r="J6" s="346">
        <f ca="1">ROUND(M6*M8*M7*(1-M9),0)</f>
        <v>0</v>
      </c>
      <c r="K6" s="1834" t="s">
        <v>3024</v>
      </c>
      <c r="L6" s="347" t="s">
        <v>1400</v>
      </c>
      <c r="M6" s="348">
        <f ca="1">INDIRECT("'数据-取费表'!z"&amp;$G$1)</f>
        <v>0</v>
      </c>
    </row>
    <row r="7" spans="1:37" ht="18" customHeight="1">
      <c r="A7" s="1295"/>
      <c r="B7" s="3202"/>
      <c r="C7" s="1297"/>
      <c r="D7" s="352"/>
      <c r="E7" s="1298" t="s">
        <v>1401</v>
      </c>
      <c r="F7" s="348">
        <f ca="1">IF(INDIRECT("'数据-取费表'!ah"&amp;$G$1)="",INDIRECT("'数据-取费表'!k"&amp;$G$1),INDIRECT("'数据-取费表'!ah"&amp;$G$1))</f>
        <v>0</v>
      </c>
      <c r="G7" s="1851"/>
      <c r="H7" s="349"/>
      <c r="I7" s="3202"/>
      <c r="J7" s="351"/>
      <c r="K7" s="352"/>
      <c r="L7" s="347" t="s">
        <v>1401</v>
      </c>
      <c r="M7" s="348">
        <f ca="1">F7</f>
        <v>0</v>
      </c>
    </row>
    <row r="8" spans="1:37" ht="18" customHeight="1">
      <c r="A8" s="349"/>
      <c r="B8" s="3202"/>
      <c r="C8" s="351"/>
      <c r="D8" s="352"/>
      <c r="E8" s="347" t="s">
        <v>1402</v>
      </c>
      <c r="F8" s="348">
        <f ca="1">INDIRECT("'数据-取费表'!ai"&amp;$G$1)</f>
        <v>0</v>
      </c>
      <c r="G8" s="1851"/>
      <c r="H8" s="349"/>
      <c r="I8" s="3202"/>
      <c r="J8" s="351"/>
      <c r="K8" s="352"/>
      <c r="L8" s="347" t="s">
        <v>1402</v>
      </c>
      <c r="M8" s="348">
        <f ca="1">INDIRECT("'数据-取费表'!ai"&amp;$G$1)</f>
        <v>0</v>
      </c>
    </row>
    <row r="9" spans="1:37" ht="18" customHeight="1">
      <c r="A9" s="349"/>
      <c r="B9" s="3203"/>
      <c r="C9" s="351"/>
      <c r="D9" s="352"/>
      <c r="E9" s="347" t="s">
        <v>1403</v>
      </c>
      <c r="F9" s="357">
        <f ca="1">INDIRECT("'数据-取费表'!w"&amp;$G$1)</f>
        <v>0</v>
      </c>
      <c r="G9" s="1851"/>
      <c r="H9" s="349"/>
      <c r="I9" s="320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3034</v>
      </c>
      <c r="E10" s="358" t="s">
        <v>1405</v>
      </c>
      <c r="F10" s="1366"/>
      <c r="G10" s="1851"/>
      <c r="H10" s="1291" t="s">
        <v>1036</v>
      </c>
      <c r="I10" s="1823" t="s">
        <v>1404</v>
      </c>
      <c r="J10" s="346">
        <f ca="1">ROUND(IF(M10="押一",J6/12*M11,IF(M10="押二",J6/12*2*M11,IF(M10="押三",J6/12*3*M11,J11*M11))),0)</f>
        <v>0</v>
      </c>
      <c r="K10" s="1835" t="s">
        <v>3036</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200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0.02</v>
      </c>
      <c r="G20" s="1854"/>
      <c r="H20" s="1201" t="s">
        <v>1384</v>
      </c>
      <c r="I20" s="164" t="s">
        <v>1435</v>
      </c>
      <c r="J20" s="25">
        <f ca="1">ROUND(M20*M21,0)</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3037</v>
      </c>
      <c r="E53" s="358" t="s">
        <v>1405</v>
      </c>
      <c r="F53" s="1366"/>
      <c r="I53" s="1905" t="s">
        <v>1541</v>
      </c>
      <c r="J53" s="2950">
        <f ca="1">IF(M47="住宅",IF(D1="——",MAX(J51,L48),MAX(J51,L48-'数据-取费表'!B24)),IF(D1="——",MIN(J51,L48),MIN(J51,L48-'数据-取费表'!B24)))</f>
        <v>0</v>
      </c>
      <c r="K53" s="3199" t="s">
        <v>1542</v>
      </c>
      <c r="L53" s="3200"/>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3</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3.5"/>
  <cols>
    <col min="1" max="1" width="10.5" customWidth="1"/>
    <col min="2" max="2" width="12.875" customWidth="1"/>
    <col min="3" max="3" width="8.75" customWidth="1"/>
  </cols>
  <sheetData>
    <row r="1" spans="1:9" ht="14.25">
      <c r="A1" s="3204" t="s">
        <v>1073</v>
      </c>
      <c r="B1" s="3205"/>
      <c r="C1" s="3206"/>
      <c r="D1" s="3207">
        <f>SUM(I10,I15,I20,I21,I23)</f>
        <v>0</v>
      </c>
      <c r="E1" s="3207"/>
      <c r="F1" s="3207"/>
      <c r="G1" s="3207"/>
      <c r="H1" s="3207"/>
      <c r="I1" s="3208"/>
    </row>
    <row r="2" spans="1:9">
      <c r="A2" s="3209" t="s">
        <v>1074</v>
      </c>
      <c r="B2" s="3210" t="s">
        <v>1075</v>
      </c>
      <c r="C2" s="3210"/>
      <c r="D2" s="1301" t="s">
        <v>1076</v>
      </c>
      <c r="E2" s="1301" t="s">
        <v>1077</v>
      </c>
      <c r="F2" s="1301" t="s">
        <v>1078</v>
      </c>
      <c r="G2" s="1301" t="s">
        <v>1079</v>
      </c>
      <c r="H2" s="1301" t="s">
        <v>1080</v>
      </c>
      <c r="I2" s="1302" t="s">
        <v>1081</v>
      </c>
    </row>
    <row r="3" spans="1:9">
      <c r="A3" s="3209"/>
      <c r="B3" s="3210" t="s">
        <v>1082</v>
      </c>
      <c r="C3" s="3210"/>
      <c r="D3" s="1303"/>
      <c r="E3" s="1301"/>
      <c r="F3" s="1304"/>
      <c r="G3" s="1304"/>
      <c r="H3" s="1305"/>
      <c r="I3" s="1306">
        <f>ROUND(D3*E3*F3*G3*H3/10000,0)</f>
        <v>0</v>
      </c>
    </row>
    <row r="4" spans="1:9">
      <c r="A4" s="3209"/>
      <c r="B4" s="3210" t="s">
        <v>1083</v>
      </c>
      <c r="C4" s="3210"/>
      <c r="D4" s="1303"/>
      <c r="E4" s="1301"/>
      <c r="F4" s="1304"/>
      <c r="G4" s="1304"/>
      <c r="H4" s="1305"/>
      <c r="I4" s="1306">
        <f t="shared" ref="I4:I9" si="0">ROUND(D4*E4*F4*G4*H4/10000,0)</f>
        <v>0</v>
      </c>
    </row>
    <row r="5" spans="1:9">
      <c r="A5" s="3209"/>
      <c r="B5" s="3210" t="s">
        <v>1084</v>
      </c>
      <c r="C5" s="3210"/>
      <c r="D5" s="1303"/>
      <c r="E5" s="1301"/>
      <c r="F5" s="1304"/>
      <c r="G5" s="1304"/>
      <c r="H5" s="1305"/>
      <c r="I5" s="1306">
        <f t="shared" si="0"/>
        <v>0</v>
      </c>
    </row>
    <row r="6" spans="1:9">
      <c r="A6" s="3209"/>
      <c r="B6" s="3210" t="s">
        <v>1085</v>
      </c>
      <c r="C6" s="3210"/>
      <c r="D6" s="1303"/>
      <c r="E6" s="1301"/>
      <c r="F6" s="1304"/>
      <c r="G6" s="1304"/>
      <c r="H6" s="1305"/>
      <c r="I6" s="1306">
        <f t="shared" si="0"/>
        <v>0</v>
      </c>
    </row>
    <row r="7" spans="1:9">
      <c r="A7" s="3209"/>
      <c r="B7" s="3210" t="s">
        <v>1086</v>
      </c>
      <c r="C7" s="3210"/>
      <c r="D7" s="1303"/>
      <c r="E7" s="1301"/>
      <c r="F7" s="1304"/>
      <c r="G7" s="1304"/>
      <c r="H7" s="1305"/>
      <c r="I7" s="1306">
        <f t="shared" si="0"/>
        <v>0</v>
      </c>
    </row>
    <row r="8" spans="1:9">
      <c r="A8" s="3209"/>
      <c r="B8" s="3210" t="s">
        <v>1087</v>
      </c>
      <c r="C8" s="3210"/>
      <c r="D8" s="1303"/>
      <c r="E8" s="1301"/>
      <c r="F8" s="1304"/>
      <c r="G8" s="1304"/>
      <c r="H8" s="1305"/>
      <c r="I8" s="1306">
        <f t="shared" si="0"/>
        <v>0</v>
      </c>
    </row>
    <row r="9" spans="1:9">
      <c r="A9" s="3209"/>
      <c r="B9" s="3210" t="s">
        <v>1088</v>
      </c>
      <c r="C9" s="3210"/>
      <c r="D9" s="1303"/>
      <c r="E9" s="1301"/>
      <c r="F9" s="1304"/>
      <c r="G9" s="1304"/>
      <c r="H9" s="1305"/>
      <c r="I9" s="1306">
        <f t="shared" si="0"/>
        <v>0</v>
      </c>
    </row>
    <row r="10" spans="1:9">
      <c r="A10" s="3209"/>
      <c r="B10" s="3211" t="s">
        <v>1089</v>
      </c>
      <c r="C10" s="3211"/>
      <c r="D10" s="1307"/>
      <c r="E10" s="1307" t="e">
        <f>ROUND(D1*10000/D10/H9,0)</f>
        <v>#DIV/0!</v>
      </c>
      <c r="F10" s="1308"/>
      <c r="G10" s="1308"/>
      <c r="H10" s="1309"/>
      <c r="I10" s="1310">
        <f>SUM(I3:I9)</f>
        <v>0</v>
      </c>
    </row>
    <row r="11" spans="1:9" ht="14.25">
      <c r="A11" s="3209" t="s">
        <v>1090</v>
      </c>
      <c r="B11" s="3210" t="s">
        <v>1091</v>
      </c>
      <c r="C11" s="3210"/>
      <c r="D11" s="1303" t="s">
        <v>1092</v>
      </c>
      <c r="E11" s="1303" t="s">
        <v>1093</v>
      </c>
      <c r="F11" s="1304" t="s">
        <v>1094</v>
      </c>
      <c r="G11" s="1304" t="s">
        <v>1080</v>
      </c>
      <c r="H11" s="1311" t="s">
        <v>1095</v>
      </c>
      <c r="I11" s="1302" t="s">
        <v>1081</v>
      </c>
    </row>
    <row r="12" spans="1:9">
      <c r="A12" s="3209"/>
      <c r="B12" s="3210" t="s">
        <v>1096</v>
      </c>
      <c r="C12" s="3210"/>
      <c r="D12" s="1303"/>
      <c r="E12" s="1303"/>
      <c r="F12" s="1304"/>
      <c r="G12" s="1305"/>
      <c r="H12" s="1312"/>
      <c r="I12" s="1302">
        <f>ROUND(D12*E12*F12*G12/10000,0)</f>
        <v>0</v>
      </c>
    </row>
    <row r="13" spans="1:9">
      <c r="A13" s="3209"/>
      <c r="B13" s="3210" t="s">
        <v>1097</v>
      </c>
      <c r="C13" s="3210"/>
      <c r="D13" s="1303"/>
      <c r="E13" s="1303"/>
      <c r="F13" s="1304"/>
      <c r="G13" s="1305"/>
      <c r="H13" s="1312"/>
      <c r="I13" s="1302">
        <f>ROUND(D13*E13*F13*G13/10000,0)</f>
        <v>0</v>
      </c>
    </row>
    <row r="14" spans="1:9">
      <c r="A14" s="3209"/>
      <c r="B14" s="3210" t="s">
        <v>1098</v>
      </c>
      <c r="C14" s="3210"/>
      <c r="D14" s="1303"/>
      <c r="E14" s="1303"/>
      <c r="F14" s="1304"/>
      <c r="G14" s="1305"/>
      <c r="H14" s="1312"/>
      <c r="I14" s="1302">
        <f>ROUND(D14*E14*F14*G14/10000,0)</f>
        <v>0</v>
      </c>
    </row>
    <row r="15" spans="1:9">
      <c r="A15" s="3209"/>
      <c r="B15" s="3211" t="s">
        <v>1089</v>
      </c>
      <c r="C15" s="3211"/>
      <c r="D15" s="1307"/>
      <c r="E15" s="1307">
        <f>SUM(E12:E14)</f>
        <v>0</v>
      </c>
      <c r="F15" s="1308"/>
      <c r="G15" s="1305"/>
      <c r="H15" s="1312"/>
      <c r="I15" s="1313">
        <f>SUM(I12:I14)</f>
        <v>0</v>
      </c>
    </row>
    <row r="16" spans="1:9" ht="24">
      <c r="A16" s="3209" t="s">
        <v>1099</v>
      </c>
      <c r="B16" s="3210" t="s">
        <v>1100</v>
      </c>
      <c r="C16" s="3210"/>
      <c r="D16" s="1303" t="s">
        <v>1076</v>
      </c>
      <c r="E16" s="1314" t="s">
        <v>1101</v>
      </c>
      <c r="F16" s="1304" t="s">
        <v>1102</v>
      </c>
      <c r="G16" s="1305" t="s">
        <v>1080</v>
      </c>
      <c r="H16" s="1311" t="s">
        <v>1095</v>
      </c>
      <c r="I16" s="1302" t="s">
        <v>1081</v>
      </c>
    </row>
    <row r="17" spans="1:9" ht="14.25">
      <c r="A17" s="3209"/>
      <c r="B17" s="3210" t="s">
        <v>1103</v>
      </c>
      <c r="C17" s="3210"/>
      <c r="D17" s="1303"/>
      <c r="E17" s="1303"/>
      <c r="F17" s="1304"/>
      <c r="G17" s="1305"/>
      <c r="H17" s="1315"/>
      <c r="I17" s="1316">
        <f>ROUND(D17*E17*F17*G17/10000,0)</f>
        <v>0</v>
      </c>
    </row>
    <row r="18" spans="1:9" ht="14.25">
      <c r="A18" s="3209"/>
      <c r="B18" s="3210" t="s">
        <v>1104</v>
      </c>
      <c r="C18" s="3210"/>
      <c r="D18" s="1303"/>
      <c r="E18" s="1303"/>
      <c r="F18" s="1304"/>
      <c r="G18" s="1305"/>
      <c r="H18" s="1315"/>
      <c r="I18" s="1316">
        <f>ROUND(D18*E18*F18*G18/10000,0)</f>
        <v>0</v>
      </c>
    </row>
    <row r="19" spans="1:9" ht="14.25">
      <c r="A19" s="3209"/>
      <c r="B19" s="3210" t="s">
        <v>1105</v>
      </c>
      <c r="C19" s="3210"/>
      <c r="D19" s="1303"/>
      <c r="E19" s="1303"/>
      <c r="F19" s="1304"/>
      <c r="G19" s="1305"/>
      <c r="H19" s="1315"/>
      <c r="I19" s="1316">
        <f>ROUND(D19*E19*F19*G19/10000,0)</f>
        <v>0</v>
      </c>
    </row>
    <row r="20" spans="1:9">
      <c r="A20" s="3209"/>
      <c r="B20" s="3211" t="s">
        <v>1089</v>
      </c>
      <c r="C20" s="3211"/>
      <c r="D20" s="1307">
        <f>SUM(D17:D19)</f>
        <v>0</v>
      </c>
      <c r="E20" s="1307"/>
      <c r="F20" s="1308"/>
      <c r="G20" s="1305"/>
      <c r="H20" s="1312"/>
      <c r="I20" s="1313">
        <f>SUM(I17:I19)</f>
        <v>0</v>
      </c>
    </row>
    <row r="21" spans="1:9">
      <c r="A21" s="3209" t="s">
        <v>1106</v>
      </c>
      <c r="B21" s="3213"/>
      <c r="C21" s="3213"/>
      <c r="D21" s="3213"/>
      <c r="E21" s="3213"/>
      <c r="F21" s="3213"/>
      <c r="G21" s="3213"/>
      <c r="H21" s="1765">
        <v>0.1</v>
      </c>
      <c r="I21" s="1310">
        <f>ROUND(I10*H21,0)</f>
        <v>0</v>
      </c>
    </row>
    <row r="22" spans="1:9" ht="14.25">
      <c r="A22" s="3214" t="s">
        <v>1107</v>
      </c>
      <c r="B22" s="3215"/>
      <c r="C22" s="3216"/>
      <c r="D22" s="1317" t="s">
        <v>1108</v>
      </c>
      <c r="E22" s="1317" t="s">
        <v>1109</v>
      </c>
      <c r="F22" s="1318" t="s">
        <v>1110</v>
      </c>
      <c r="G22" s="1318" t="s">
        <v>1111</v>
      </c>
      <c r="H22" s="1311" t="s">
        <v>1112</v>
      </c>
      <c r="I22" s="1302" t="s">
        <v>1113</v>
      </c>
    </row>
    <row r="23" spans="1:9" ht="14.25" thickBot="1">
      <c r="A23" s="3217"/>
      <c r="B23" s="3218"/>
      <c r="C23" s="3219"/>
      <c r="D23" s="1319"/>
      <c r="E23" s="1319"/>
      <c r="F23" s="1319"/>
      <c r="G23" s="1320"/>
      <c r="H23" s="1321"/>
      <c r="I23" s="1322">
        <f>ROUND(E23*D23*F23*(1-G23)/10000,0)</f>
        <v>0</v>
      </c>
    </row>
    <row r="26" spans="1:9">
      <c r="A26" s="1323" t="s">
        <v>1114</v>
      </c>
      <c r="B26" s="1323"/>
      <c r="C26" s="1323"/>
      <c r="D26" s="1323"/>
      <c r="E26" s="3220">
        <f>C27-C30-C31-C32</f>
        <v>0</v>
      </c>
      <c r="F26" s="3220"/>
      <c r="G26" s="3220"/>
      <c r="H26" s="1737" t="s">
        <v>1336</v>
      </c>
    </row>
    <row r="27" spans="1:9">
      <c r="A27" s="1324">
        <v>1</v>
      </c>
      <c r="B27" s="1325" t="s">
        <v>1115</v>
      </c>
      <c r="C27" s="1325">
        <f>C28+C29</f>
        <v>0</v>
      </c>
      <c r="D27" s="1325"/>
      <c r="E27" s="3221"/>
      <c r="F27" s="3221"/>
      <c r="G27" s="3221"/>
    </row>
    <row r="28" spans="1:9">
      <c r="A28" s="1326" t="s">
        <v>1116</v>
      </c>
      <c r="B28" s="1325" t="s">
        <v>1117</v>
      </c>
      <c r="C28" s="1325"/>
      <c r="D28" s="1325"/>
      <c r="E28" s="3221"/>
      <c r="F28" s="3221"/>
      <c r="G28" s="322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2"/>
      <c r="F32" s="3212"/>
      <c r="G32" s="3212"/>
    </row>
    <row r="33" spans="1:7" hidden="1">
      <c r="A33" s="3222" t="s">
        <v>1126</v>
      </c>
      <c r="B33" s="3223"/>
      <c r="C33" s="3223"/>
      <c r="D33" s="3224"/>
      <c r="E33" s="3220"/>
      <c r="F33" s="3220"/>
      <c r="G33" s="3220"/>
    </row>
    <row r="34" spans="1:7" hidden="1">
      <c r="A34" s="1328">
        <v>1</v>
      </c>
      <c r="B34" s="1325" t="s">
        <v>1127</v>
      </c>
      <c r="C34" s="1325"/>
      <c r="D34" s="1325"/>
      <c r="E34" s="3221"/>
      <c r="F34" s="3221"/>
      <c r="G34" s="3221"/>
    </row>
    <row r="35" spans="1:7" hidden="1">
      <c r="A35" s="1328">
        <v>2</v>
      </c>
      <c r="B35" s="1325" t="s">
        <v>1128</v>
      </c>
      <c r="C35" s="1325"/>
      <c r="D35" s="1325"/>
      <c r="E35" s="3221"/>
      <c r="F35" s="3221"/>
      <c r="G35" s="3221"/>
    </row>
    <row r="36" spans="1:7" hidden="1">
      <c r="A36" s="1328">
        <v>3</v>
      </c>
      <c r="B36" s="1325" t="s">
        <v>1129</v>
      </c>
      <c r="C36" s="1325"/>
      <c r="D36" s="1325"/>
      <c r="E36" s="3221"/>
      <c r="F36" s="3221"/>
      <c r="G36" s="3221"/>
    </row>
    <row r="37" spans="1:7" hidden="1">
      <c r="A37" s="1328">
        <v>4</v>
      </c>
      <c r="B37" s="1325" t="s">
        <v>1130</v>
      </c>
      <c r="C37" s="1325"/>
      <c r="D37" s="1325"/>
      <c r="E37" s="3221"/>
      <c r="F37" s="3221"/>
      <c r="G37" s="3221"/>
    </row>
    <row r="38" spans="1:7" hidden="1">
      <c r="A38" s="3222" t="s">
        <v>1131</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2525</v>
      </c>
      <c r="C1" s="1634" t="s">
        <v>2526</v>
      </c>
      <c r="D1" s="1621"/>
      <c r="E1" s="2583"/>
      <c r="F1" s="2584" t="s">
        <v>2527</v>
      </c>
      <c r="G1" s="1631" t="s">
        <v>2528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2530</v>
      </c>
      <c r="D3" s="399">
        <f>IF(D1="",'数据-汇总表'!E3,SUMIF('数据-汇总表'!$C19:$C33,D1,'数据-汇总表'!$E19:$E33))</f>
        <v>4376.09</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2531</v>
      </c>
      <c r="B4" s="402"/>
      <c r="C4" s="3243" t="s">
        <v>2532</v>
      </c>
      <c r="D4" s="3244"/>
      <c r="E4" s="3245" t="s">
        <v>2533</v>
      </c>
      <c r="F4" s="3246"/>
      <c r="G4" s="3243" t="s">
        <v>2534</v>
      </c>
      <c r="H4" s="3244"/>
      <c r="I4" s="3243" t="s">
        <v>2535</v>
      </c>
      <c r="J4" s="3244"/>
      <c r="K4" s="2596" t="s">
        <v>2536</v>
      </c>
      <c r="L4" s="1130"/>
      <c r="M4" s="1131"/>
      <c r="N4" s="1131"/>
      <c r="O4" s="1131"/>
      <c r="P4" s="3247" t="s">
        <v>2537</v>
      </c>
      <c r="Q4" s="3248"/>
      <c r="R4" s="3230" t="s">
        <v>2533</v>
      </c>
      <c r="S4" s="3231"/>
      <c r="T4" s="3230" t="s">
        <v>2534</v>
      </c>
      <c r="U4" s="3231"/>
      <c r="V4" s="3255" t="s">
        <v>2535</v>
      </c>
      <c r="W4" s="3255"/>
      <c r="X4" s="1813"/>
      <c r="Y4" s="3230" t="s">
        <v>2537</v>
      </c>
      <c r="Z4" s="3231"/>
      <c r="AA4" s="3225" t="s">
        <v>2533</v>
      </c>
      <c r="AB4" s="3225" t="s">
        <v>2534</v>
      </c>
      <c r="AC4" s="3225" t="s">
        <v>2535</v>
      </c>
    </row>
    <row r="5" spans="1:29" ht="15">
      <c r="A5" s="404"/>
      <c r="B5" s="405"/>
      <c r="C5" s="3236" t="s">
        <v>2538</v>
      </c>
      <c r="D5" s="3237"/>
      <c r="E5" s="3234" t="s">
        <v>2539</v>
      </c>
      <c r="F5" s="3235"/>
      <c r="G5" s="3236" t="s">
        <v>2540</v>
      </c>
      <c r="H5" s="3237"/>
      <c r="I5" s="3236" t="s">
        <v>2541</v>
      </c>
      <c r="J5" s="3237"/>
      <c r="K5" s="2597"/>
      <c r="L5" s="1130"/>
      <c r="M5" s="1131"/>
      <c r="N5" s="1131"/>
      <c r="O5" s="1131"/>
      <c r="P5" s="3249"/>
      <c r="Q5" s="3250"/>
      <c r="R5" s="3232"/>
      <c r="S5" s="3233"/>
      <c r="T5" s="3232"/>
      <c r="U5" s="3233"/>
      <c r="V5" s="3255"/>
      <c r="W5" s="3255"/>
      <c r="X5" s="1813"/>
      <c r="Y5" s="3232"/>
      <c r="Z5" s="3233"/>
      <c r="AA5" s="3226"/>
      <c r="AB5" s="3226"/>
      <c r="AC5" s="3226"/>
    </row>
    <row r="6" spans="1:29" ht="15.75" thickBot="1">
      <c r="A6" s="406"/>
      <c r="B6" s="407"/>
      <c r="C6" s="3238" t="s">
        <v>2542</v>
      </c>
      <c r="D6" s="3239"/>
      <c r="E6" s="3240" t="s">
        <v>2542</v>
      </c>
      <c r="F6" s="3241"/>
      <c r="G6" s="3238" t="s">
        <v>2542</v>
      </c>
      <c r="H6" s="3239"/>
      <c r="I6" s="3238" t="s">
        <v>2542</v>
      </c>
      <c r="J6" s="3239"/>
      <c r="K6" s="2597" t="s">
        <v>2543</v>
      </c>
      <c r="L6" s="1130"/>
      <c r="M6" s="1131"/>
      <c r="N6" s="1131"/>
      <c r="O6" s="1131"/>
      <c r="P6" s="3251"/>
      <c r="Q6" s="3252"/>
      <c r="R6" s="3232"/>
      <c r="S6" s="3233"/>
      <c r="T6" s="3253"/>
      <c r="U6" s="3254"/>
      <c r="V6" s="3255"/>
      <c r="W6" s="3255"/>
      <c r="X6" s="1813"/>
      <c r="Y6" s="3253"/>
      <c r="Z6" s="3254"/>
      <c r="AA6" s="3227"/>
      <c r="AB6" s="3227"/>
      <c r="AC6" s="3227"/>
    </row>
    <row r="7" spans="1:29" s="117" customFormat="1" ht="15.75" thickBot="1">
      <c r="A7" s="408" t="s">
        <v>2544</v>
      </c>
      <c r="B7" s="409"/>
      <c r="C7" s="410">
        <f>'数据-取费表'!B2</f>
        <v>43734</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28" t="s">
        <v>2545</v>
      </c>
      <c r="Q7" s="3256"/>
      <c r="R7" s="770" t="s">
        <v>23</v>
      </c>
      <c r="S7" s="771">
        <f t="shared" ref="S7:S15" si="0">F7</f>
        <v>0</v>
      </c>
      <c r="T7" s="770" t="s">
        <v>23</v>
      </c>
      <c r="U7" s="771">
        <f t="shared" ref="U7:U15" si="1">H7</f>
        <v>0</v>
      </c>
      <c r="V7" s="770" t="s">
        <v>23</v>
      </c>
      <c r="W7" s="771">
        <f t="shared" ref="W7:W15" si="2">J7</f>
        <v>0</v>
      </c>
      <c r="X7" s="772"/>
      <c r="Y7" s="3228" t="s">
        <v>2545</v>
      </c>
      <c r="Z7" s="3229"/>
      <c r="AA7" s="773" t="e">
        <f>D7/F7</f>
        <v>#DIV/0!</v>
      </c>
      <c r="AB7" s="773" t="e">
        <f>D7/H7</f>
        <v>#DIV/0!</v>
      </c>
      <c r="AC7" s="773" t="e">
        <f>D7/J7</f>
        <v>#DIV/0!</v>
      </c>
    </row>
    <row r="8" spans="1:29" s="117" customFormat="1" ht="15.75" thickBot="1">
      <c r="A8" s="408" t="s">
        <v>2546</v>
      </c>
      <c r="B8" s="409"/>
      <c r="C8" s="414" t="s">
        <v>2547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28" t="s">
        <v>2548</v>
      </c>
      <c r="Q8" s="3229"/>
      <c r="R8" s="770" t="s">
        <v>23</v>
      </c>
      <c r="S8" s="771">
        <f t="shared" si="0"/>
        <v>0</v>
      </c>
      <c r="T8" s="770" t="s">
        <v>23</v>
      </c>
      <c r="U8" s="771">
        <f t="shared" si="1"/>
        <v>0</v>
      </c>
      <c r="V8" s="770" t="s">
        <v>23</v>
      </c>
      <c r="W8" s="771">
        <f t="shared" si="2"/>
        <v>0</v>
      </c>
      <c r="X8" s="772"/>
      <c r="Y8" s="3228" t="s">
        <v>2548</v>
      </c>
      <c r="Z8" s="3229"/>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42" t="s">
        <v>2551</v>
      </c>
      <c r="Q9" s="1795" t="str">
        <f t="shared" ref="Q9:Q15" si="6">B9</f>
        <v>用途</v>
      </c>
      <c r="R9" s="770" t="s">
        <v>17</v>
      </c>
      <c r="S9" s="771">
        <f t="shared" si="0"/>
        <v>100</v>
      </c>
      <c r="T9" s="770" t="s">
        <v>17</v>
      </c>
      <c r="U9" s="771">
        <f t="shared" si="1"/>
        <v>100</v>
      </c>
      <c r="V9" s="770" t="s">
        <v>17</v>
      </c>
      <c r="W9" s="771">
        <f t="shared" si="2"/>
        <v>100</v>
      </c>
      <c r="X9" s="772"/>
      <c r="Y9" s="307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2"/>
      <c r="Q10" s="1795"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2"/>
      <c r="Q11" s="1795" t="str">
        <f t="shared" si="6"/>
        <v>容积率</v>
      </c>
      <c r="R11" s="770" t="s">
        <v>21</v>
      </c>
      <c r="S11" s="771" t="e">
        <f t="shared" si="0"/>
        <v>#N/A</v>
      </c>
      <c r="T11" s="770" t="s">
        <v>21</v>
      </c>
      <c r="U11" s="771" t="e">
        <f t="shared" si="1"/>
        <v>#N/A</v>
      </c>
      <c r="V11" s="770" t="s">
        <v>21</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42"/>
      <c r="Q12" s="1795">
        <f t="shared" si="6"/>
        <v>111</v>
      </c>
      <c r="R12" s="770" t="s">
        <v>21</v>
      </c>
      <c r="S12" s="771">
        <f t="shared" si="0"/>
        <v>100</v>
      </c>
      <c r="T12" s="770" t="s">
        <v>21</v>
      </c>
      <c r="U12" s="771">
        <f t="shared" si="1"/>
        <v>100</v>
      </c>
      <c r="V12" s="770" t="s">
        <v>21</v>
      </c>
      <c r="W12" s="771">
        <f t="shared" si="2"/>
        <v>100</v>
      </c>
      <c r="X12" s="772"/>
      <c r="Y12" s="307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42"/>
      <c r="Q13" s="1795">
        <f t="shared" si="6"/>
        <v>111</v>
      </c>
      <c r="R13" s="770" t="s">
        <v>21</v>
      </c>
      <c r="S13" s="771">
        <f t="shared" si="0"/>
        <v>100</v>
      </c>
      <c r="T13" s="770" t="s">
        <v>21</v>
      </c>
      <c r="U13" s="771">
        <f t="shared" si="1"/>
        <v>100</v>
      </c>
      <c r="V13" s="770" t="s">
        <v>21</v>
      </c>
      <c r="W13" s="771">
        <f t="shared" si="2"/>
        <v>100</v>
      </c>
      <c r="X13" s="772"/>
      <c r="Y13" s="307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42"/>
      <c r="Q14" s="1795">
        <f t="shared" si="6"/>
        <v>111</v>
      </c>
      <c r="R14" s="770" t="s">
        <v>21</v>
      </c>
      <c r="S14" s="771">
        <f t="shared" si="0"/>
        <v>100</v>
      </c>
      <c r="T14" s="770" t="s">
        <v>21</v>
      </c>
      <c r="U14" s="771">
        <f t="shared" si="1"/>
        <v>100</v>
      </c>
      <c r="V14" s="770" t="s">
        <v>21</v>
      </c>
      <c r="W14" s="771">
        <f t="shared" si="2"/>
        <v>100</v>
      </c>
      <c r="X14" s="772"/>
      <c r="Y14" s="3076"/>
      <c r="Z14" s="55">
        <f t="shared" si="7"/>
        <v>111</v>
      </c>
      <c r="AA14" s="773">
        <f t="shared" si="3"/>
        <v>1</v>
      </c>
      <c r="AB14" s="773">
        <f t="shared" si="4"/>
        <v>1</v>
      </c>
      <c r="AC14" s="773">
        <f t="shared" si="5"/>
        <v>1</v>
      </c>
    </row>
    <row r="15" spans="1:29" ht="15">
      <c r="A15" s="440" t="s">
        <v>2555</v>
      </c>
      <c r="B15" s="69"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9" t="s">
        <v>2556</v>
      </c>
      <c r="Q15" s="1810" t="str">
        <f t="shared" si="6"/>
        <v>居住社区成熟度</v>
      </c>
      <c r="R15" s="774" t="s">
        <v>21</v>
      </c>
      <c r="S15" s="775">
        <f t="shared" si="0"/>
        <v>100</v>
      </c>
      <c r="T15" s="774" t="s">
        <v>21</v>
      </c>
      <c r="U15" s="775">
        <f t="shared" si="1"/>
        <v>100</v>
      </c>
      <c r="V15" s="774" t="s">
        <v>21</v>
      </c>
      <c r="W15" s="775">
        <f t="shared" si="2"/>
        <v>100</v>
      </c>
      <c r="X15" s="1813"/>
      <c r="Y15" s="3262" t="s">
        <v>2556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70"/>
      <c r="Q16" s="1810"/>
      <c r="R16" s="774"/>
      <c r="S16" s="775"/>
      <c r="T16" s="774"/>
      <c r="U16" s="775"/>
      <c r="V16" s="774"/>
      <c r="W16" s="775"/>
      <c r="X16" s="1813"/>
      <c r="Y16" s="3263"/>
      <c r="Z16" s="1814"/>
      <c r="AA16" s="1811">
        <v>1</v>
      </c>
      <c r="AB16" s="1811">
        <v>1</v>
      </c>
      <c r="AC16" s="1811">
        <v>1</v>
      </c>
    </row>
    <row r="17" spans="1:29" ht="15">
      <c r="A17" s="428"/>
      <c r="B17" s="451" t="s">
        <v>2093</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0"/>
      <c r="Q17" s="1810" t="str">
        <f>B17</f>
        <v>交通便捷度</v>
      </c>
      <c r="R17" s="774" t="s">
        <v>21</v>
      </c>
      <c r="S17" s="775">
        <f>F17</f>
        <v>100</v>
      </c>
      <c r="T17" s="774" t="s">
        <v>21</v>
      </c>
      <c r="U17" s="775">
        <f>H17</f>
        <v>100</v>
      </c>
      <c r="V17" s="774" t="s">
        <v>21</v>
      </c>
      <c r="W17" s="775">
        <f>J17</f>
        <v>100</v>
      </c>
      <c r="X17" s="1813"/>
      <c r="Y17" s="3263"/>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70"/>
      <c r="Q18" s="1810"/>
      <c r="R18" s="774"/>
      <c r="S18" s="775"/>
      <c r="T18" s="774"/>
      <c r="U18" s="775"/>
      <c r="V18" s="774"/>
      <c r="W18" s="775"/>
      <c r="X18" s="1813"/>
      <c r="Y18" s="3263"/>
      <c r="Z18" s="1814"/>
      <c r="AA18" s="1811">
        <v>1</v>
      </c>
      <c r="AB18" s="1811">
        <v>1</v>
      </c>
      <c r="AC18" s="1811">
        <v>1</v>
      </c>
    </row>
    <row r="19" spans="1:29" ht="15">
      <c r="A19" s="428"/>
      <c r="B19" s="451" t="s">
        <v>2091</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0"/>
      <c r="Q19" s="1810" t="str">
        <f>B19</f>
        <v>公共配套设施</v>
      </c>
      <c r="R19" s="774" t="s">
        <v>21</v>
      </c>
      <c r="S19" s="775">
        <f>F19</f>
        <v>100</v>
      </c>
      <c r="T19" s="774" t="s">
        <v>21</v>
      </c>
      <c r="U19" s="775">
        <f>H19</f>
        <v>100</v>
      </c>
      <c r="V19" s="774" t="s">
        <v>21</v>
      </c>
      <c r="W19" s="775">
        <f>J19</f>
        <v>100</v>
      </c>
      <c r="X19" s="1813"/>
      <c r="Y19" s="3263"/>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70"/>
      <c r="Q20" s="1810"/>
      <c r="R20" s="774"/>
      <c r="S20" s="775"/>
      <c r="T20" s="774"/>
      <c r="U20" s="775"/>
      <c r="V20" s="774"/>
      <c r="W20" s="775"/>
      <c r="X20" s="1813"/>
      <c r="Y20" s="3263"/>
      <c r="Z20" s="1814"/>
      <c r="AA20" s="1811">
        <v>1</v>
      </c>
      <c r="AB20" s="1811">
        <v>1</v>
      </c>
      <c r="AC20" s="1811">
        <v>1</v>
      </c>
    </row>
    <row r="21" spans="1:29" ht="15">
      <c r="A21" s="428"/>
      <c r="B21" s="1384" t="s">
        <v>2094</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0"/>
      <c r="Q21" s="1810" t="str">
        <f>B21</f>
        <v>基础设施水平</v>
      </c>
      <c r="R21" s="774" t="s">
        <v>17</v>
      </c>
      <c r="S21" s="775">
        <f>F21</f>
        <v>100</v>
      </c>
      <c r="T21" s="774" t="s">
        <v>17</v>
      </c>
      <c r="U21" s="775">
        <f>H21</f>
        <v>100</v>
      </c>
      <c r="V21" s="774" t="s">
        <v>17</v>
      </c>
      <c r="W21" s="775">
        <f>J21</f>
        <v>100</v>
      </c>
      <c r="X21" s="1813"/>
      <c r="Y21" s="326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70"/>
      <c r="Q22" s="1810"/>
      <c r="R22" s="774"/>
      <c r="S22" s="775"/>
      <c r="T22" s="774"/>
      <c r="U22" s="775"/>
      <c r="V22" s="774"/>
      <c r="W22" s="775"/>
      <c r="X22" s="1813"/>
      <c r="Y22" s="3263"/>
      <c r="Z22" s="1814"/>
      <c r="AA22" s="1811">
        <v>1</v>
      </c>
      <c r="AB22" s="1811">
        <v>1</v>
      </c>
      <c r="AC22" s="1811">
        <v>1</v>
      </c>
    </row>
    <row r="23" spans="1:29" ht="15">
      <c r="A23" s="428"/>
      <c r="B23" s="451" t="s">
        <v>2098</v>
      </c>
      <c r="C23" s="2607"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0"/>
      <c r="Q23" s="1810" t="str">
        <f>B23</f>
        <v>自然及人文环境</v>
      </c>
      <c r="R23" s="774" t="s">
        <v>21</v>
      </c>
      <c r="S23" s="775">
        <f>F23</f>
        <v>100</v>
      </c>
      <c r="T23" s="774" t="s">
        <v>21</v>
      </c>
      <c r="U23" s="775">
        <f>H23</f>
        <v>100</v>
      </c>
      <c r="V23" s="774" t="s">
        <v>21</v>
      </c>
      <c r="W23" s="775">
        <f>J23</f>
        <v>100</v>
      </c>
      <c r="X23" s="1813"/>
      <c r="Y23" s="3263"/>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70"/>
      <c r="Q24" s="1810"/>
      <c r="R24" s="774"/>
      <c r="S24" s="775"/>
      <c r="T24" s="774"/>
      <c r="U24" s="775"/>
      <c r="V24" s="774"/>
      <c r="W24" s="775"/>
      <c r="X24" s="1813"/>
      <c r="Y24" s="3263"/>
      <c r="Z24" s="1814"/>
      <c r="AA24" s="1811">
        <v>1</v>
      </c>
      <c r="AB24" s="1811">
        <v>1</v>
      </c>
      <c r="AC24" s="1811">
        <v>1</v>
      </c>
    </row>
    <row r="25" spans="1:29" ht="15">
      <c r="A25" s="428"/>
      <c r="B25" s="422" t="s">
        <v>2557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7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63"/>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70"/>
      <c r="Q26" s="1810" t="str">
        <f t="shared" si="11"/>
        <v>朝向</v>
      </c>
      <c r="R26" s="774" t="s">
        <v>21</v>
      </c>
      <c r="S26" s="775">
        <f t="shared" si="12"/>
        <v>100</v>
      </c>
      <c r="T26" s="774" t="s">
        <v>21</v>
      </c>
      <c r="U26" s="775">
        <f t="shared" si="13"/>
        <v>100</v>
      </c>
      <c r="V26" s="774" t="s">
        <v>21</v>
      </c>
      <c r="W26" s="775">
        <f t="shared" si="14"/>
        <v>100</v>
      </c>
      <c r="X26" s="1813"/>
      <c r="Y26" s="326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70"/>
      <c r="Q27" s="1795">
        <f t="shared" si="11"/>
        <v>111</v>
      </c>
      <c r="R27" s="770" t="s">
        <v>21</v>
      </c>
      <c r="S27" s="771">
        <f t="shared" si="12"/>
        <v>100</v>
      </c>
      <c r="T27" s="770" t="s">
        <v>21</v>
      </c>
      <c r="U27" s="771">
        <f t="shared" si="13"/>
        <v>100</v>
      </c>
      <c r="V27" s="770" t="s">
        <v>21</v>
      </c>
      <c r="W27" s="771">
        <f t="shared" si="14"/>
        <v>100</v>
      </c>
      <c r="X27" s="772"/>
      <c r="Y27" s="326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70"/>
      <c r="Q28" s="1810">
        <f t="shared" si="11"/>
        <v>111</v>
      </c>
      <c r="R28" s="774" t="s">
        <v>21</v>
      </c>
      <c r="S28" s="775">
        <f t="shared" si="12"/>
        <v>100</v>
      </c>
      <c r="T28" s="774" t="s">
        <v>21</v>
      </c>
      <c r="U28" s="775">
        <f t="shared" si="13"/>
        <v>100</v>
      </c>
      <c r="V28" s="774" t="s">
        <v>21</v>
      </c>
      <c r="W28" s="775">
        <f t="shared" si="14"/>
        <v>100</v>
      </c>
      <c r="X28" s="1813"/>
      <c r="Y28" s="326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70"/>
      <c r="Q29" s="1810">
        <f t="shared" si="11"/>
        <v>111</v>
      </c>
      <c r="R29" s="774" t="s">
        <v>21</v>
      </c>
      <c r="S29" s="775">
        <f t="shared" si="12"/>
        <v>100</v>
      </c>
      <c r="T29" s="774" t="s">
        <v>21</v>
      </c>
      <c r="U29" s="775">
        <f t="shared" si="13"/>
        <v>100</v>
      </c>
      <c r="V29" s="774" t="s">
        <v>21</v>
      </c>
      <c r="W29" s="775">
        <f t="shared" si="14"/>
        <v>100</v>
      </c>
      <c r="X29" s="1813"/>
      <c r="Y29" s="326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70"/>
      <c r="Q30" s="1810">
        <f t="shared" si="11"/>
        <v>111</v>
      </c>
      <c r="R30" s="774" t="s">
        <v>21</v>
      </c>
      <c r="S30" s="775">
        <f t="shared" si="12"/>
        <v>100</v>
      </c>
      <c r="T30" s="774" t="s">
        <v>21</v>
      </c>
      <c r="U30" s="775">
        <f t="shared" si="13"/>
        <v>100</v>
      </c>
      <c r="V30" s="774" t="s">
        <v>21</v>
      </c>
      <c r="W30" s="775">
        <f t="shared" si="14"/>
        <v>100</v>
      </c>
      <c r="X30" s="1813"/>
      <c r="Y30" s="326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70"/>
      <c r="Q31" s="1810">
        <f t="shared" si="11"/>
        <v>111</v>
      </c>
      <c r="R31" s="774" t="s">
        <v>21</v>
      </c>
      <c r="S31" s="775">
        <f t="shared" si="12"/>
        <v>100</v>
      </c>
      <c r="T31" s="774" t="s">
        <v>21</v>
      </c>
      <c r="U31" s="775">
        <f t="shared" si="13"/>
        <v>100</v>
      </c>
      <c r="V31" s="774" t="s">
        <v>21</v>
      </c>
      <c r="W31" s="775">
        <f t="shared" si="14"/>
        <v>100</v>
      </c>
      <c r="X31" s="1813"/>
      <c r="Y31" s="3263"/>
      <c r="Z31" s="1814">
        <f t="shared" si="18"/>
        <v>111</v>
      </c>
      <c r="AA31" s="1811">
        <f t="shared" si="15"/>
        <v>1</v>
      </c>
      <c r="AB31" s="1811">
        <f t="shared" si="16"/>
        <v>1</v>
      </c>
      <c r="AC31" s="1811">
        <f t="shared" si="17"/>
        <v>1</v>
      </c>
    </row>
    <row r="32" spans="1:29" ht="15">
      <c r="A32" s="440" t="s">
        <v>2559</v>
      </c>
      <c r="B32" s="71" t="s">
        <v>2560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64" t="s">
        <v>2561</v>
      </c>
      <c r="Q32" s="1810" t="str">
        <f t="shared" si="11"/>
        <v>建筑类型</v>
      </c>
      <c r="R32" s="774" t="s">
        <v>21</v>
      </c>
      <c r="S32" s="775">
        <f t="shared" si="12"/>
        <v>100</v>
      </c>
      <c r="T32" s="774" t="s">
        <v>21</v>
      </c>
      <c r="U32" s="775">
        <f t="shared" si="13"/>
        <v>100</v>
      </c>
      <c r="V32" s="774" t="s">
        <v>21</v>
      </c>
      <c r="W32" s="775">
        <f t="shared" si="14"/>
        <v>100</v>
      </c>
      <c r="X32" s="1813"/>
      <c r="Y32" s="3267"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65"/>
      <c r="Q33" s="776" t="str">
        <f t="shared" si="11"/>
        <v>项目建筑规模</v>
      </c>
      <c r="R33" s="777" t="s">
        <v>21</v>
      </c>
      <c r="S33" s="778" t="e">
        <f t="shared" si="12"/>
        <v>#N/A</v>
      </c>
      <c r="T33" s="777" t="s">
        <v>21</v>
      </c>
      <c r="U33" s="778" t="e">
        <f t="shared" si="13"/>
        <v>#N/A</v>
      </c>
      <c r="V33" s="777" t="s">
        <v>21</v>
      </c>
      <c r="W33" s="778" t="e">
        <f t="shared" si="14"/>
        <v>#N/A</v>
      </c>
      <c r="X33" s="779"/>
      <c r="Y33" s="3267"/>
      <c r="Z33" s="780" t="str">
        <f t="shared" si="18"/>
        <v>项目建筑规模</v>
      </c>
      <c r="AA33" s="1811" t="e">
        <f t="shared" si="15"/>
        <v>#N/A</v>
      </c>
      <c r="AB33" s="1811" t="e">
        <f t="shared" si="16"/>
        <v>#N/A</v>
      </c>
      <c r="AC33" s="1811" t="e">
        <f t="shared" si="17"/>
        <v>#N/A</v>
      </c>
    </row>
    <row r="34" spans="1:29" ht="15">
      <c r="A34" s="472"/>
      <c r="B34" s="422" t="s">
        <v>2563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65"/>
      <c r="Q34" s="1810" t="str">
        <f t="shared" si="11"/>
        <v>建筑结构</v>
      </c>
      <c r="R34" s="774" t="s">
        <v>21</v>
      </c>
      <c r="S34" s="775">
        <f t="shared" si="12"/>
        <v>100</v>
      </c>
      <c r="T34" s="774" t="s">
        <v>21</v>
      </c>
      <c r="U34" s="775">
        <f t="shared" si="13"/>
        <v>100</v>
      </c>
      <c r="V34" s="774" t="s">
        <v>21</v>
      </c>
      <c r="W34" s="775">
        <f t="shared" si="14"/>
        <v>100</v>
      </c>
      <c r="X34" s="1813"/>
      <c r="Y34" s="3267"/>
      <c r="Z34" s="1814" t="str">
        <f t="shared" si="18"/>
        <v>建筑结构</v>
      </c>
      <c r="AA34" s="1811">
        <f t="shared" si="15"/>
        <v>1</v>
      </c>
      <c r="AB34" s="1811">
        <f t="shared" si="16"/>
        <v>1</v>
      </c>
      <c r="AC34" s="1811">
        <f t="shared" si="17"/>
        <v>1</v>
      </c>
    </row>
    <row r="35" spans="1:29" ht="15">
      <c r="A35" s="472"/>
      <c r="B35" s="422" t="s">
        <v>2564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65"/>
      <c r="Q35" s="1810" t="str">
        <f t="shared" si="11"/>
        <v>建筑品质</v>
      </c>
      <c r="R35" s="774" t="s">
        <v>21</v>
      </c>
      <c r="S35" s="775">
        <f t="shared" si="12"/>
        <v>100</v>
      </c>
      <c r="T35" s="774" t="s">
        <v>21</v>
      </c>
      <c r="U35" s="775">
        <f t="shared" si="13"/>
        <v>100</v>
      </c>
      <c r="V35" s="774" t="s">
        <v>21</v>
      </c>
      <c r="W35" s="775">
        <f t="shared" si="14"/>
        <v>100</v>
      </c>
      <c r="X35" s="1813"/>
      <c r="Y35" s="3267"/>
      <c r="Z35" s="1814" t="str">
        <f t="shared" si="18"/>
        <v>建筑品质</v>
      </c>
      <c r="AA35" s="1811">
        <f t="shared" si="15"/>
        <v>1</v>
      </c>
      <c r="AB35" s="1811">
        <f t="shared" si="16"/>
        <v>1</v>
      </c>
      <c r="AC35" s="1811">
        <f t="shared" si="17"/>
        <v>1</v>
      </c>
    </row>
    <row r="36" spans="1:29" ht="15">
      <c r="A36" s="472"/>
      <c r="B36" s="422" t="s">
        <v>2565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65"/>
      <c r="Q36" s="1810" t="str">
        <f t="shared" si="11"/>
        <v>公共部分装修</v>
      </c>
      <c r="R36" s="774" t="s">
        <v>21</v>
      </c>
      <c r="S36" s="775">
        <f t="shared" si="12"/>
        <v>100</v>
      </c>
      <c r="T36" s="774" t="s">
        <v>21</v>
      </c>
      <c r="U36" s="775">
        <f t="shared" si="13"/>
        <v>100</v>
      </c>
      <c r="V36" s="774" t="s">
        <v>21</v>
      </c>
      <c r="W36" s="775">
        <f t="shared" si="14"/>
        <v>100</v>
      </c>
      <c r="X36" s="1813"/>
      <c r="Y36" s="3267"/>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5"/>
      <c r="Q37" s="1795" t="str">
        <f t="shared" si="11"/>
        <v>成新度</v>
      </c>
      <c r="R37" s="770" t="s">
        <v>21</v>
      </c>
      <c r="S37" s="771" t="e">
        <f t="shared" si="12"/>
        <v>#N/A</v>
      </c>
      <c r="T37" s="770" t="s">
        <v>21</v>
      </c>
      <c r="U37" s="771" t="e">
        <f t="shared" si="13"/>
        <v>#N/A</v>
      </c>
      <c r="V37" s="770" t="s">
        <v>21</v>
      </c>
      <c r="W37" s="771" t="e">
        <f t="shared" si="14"/>
        <v>#N/A</v>
      </c>
      <c r="X37" s="772"/>
      <c r="Y37" s="3267"/>
      <c r="Z37" s="55" t="str">
        <f t="shared" si="18"/>
        <v>成新度</v>
      </c>
      <c r="AA37" s="773" t="e">
        <f t="shared" si="15"/>
        <v>#N/A</v>
      </c>
      <c r="AB37" s="773" t="e">
        <f t="shared" si="16"/>
        <v>#N/A</v>
      </c>
      <c r="AC37" s="773" t="e">
        <f t="shared" si="17"/>
        <v>#N/A</v>
      </c>
    </row>
    <row r="38" spans="1:29" ht="15">
      <c r="A38" s="472"/>
      <c r="B38" s="422" t="s">
        <v>2567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65" t="s">
        <v>2561</v>
      </c>
      <c r="Q38" s="1810" t="str">
        <f t="shared" si="11"/>
        <v>物业管理</v>
      </c>
      <c r="R38" s="774" t="s">
        <v>21</v>
      </c>
      <c r="S38" s="775">
        <f t="shared" si="12"/>
        <v>100</v>
      </c>
      <c r="T38" s="774" t="s">
        <v>21</v>
      </c>
      <c r="U38" s="775">
        <f t="shared" si="13"/>
        <v>100</v>
      </c>
      <c r="V38" s="774" t="s">
        <v>21</v>
      </c>
      <c r="W38" s="775">
        <f t="shared" si="14"/>
        <v>100</v>
      </c>
      <c r="X38" s="1813"/>
      <c r="Y38" s="3267" t="s">
        <v>2561</v>
      </c>
      <c r="Z38" s="1814" t="str">
        <f t="shared" si="18"/>
        <v>物业管理</v>
      </c>
      <c r="AA38" s="1811">
        <f t="shared" si="15"/>
        <v>1</v>
      </c>
      <c r="AB38" s="1811">
        <f t="shared" si="16"/>
        <v>1</v>
      </c>
      <c r="AC38" s="1811">
        <f t="shared" si="17"/>
        <v>1</v>
      </c>
    </row>
    <row r="39" spans="1:29" ht="15">
      <c r="A39" s="472"/>
      <c r="B39" s="422" t="s">
        <v>2568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65"/>
      <c r="Q39" s="1810" t="str">
        <f t="shared" si="11"/>
        <v>市政基础设施</v>
      </c>
      <c r="R39" s="774" t="s">
        <v>21</v>
      </c>
      <c r="S39" s="775">
        <f t="shared" si="12"/>
        <v>100</v>
      </c>
      <c r="T39" s="774" t="s">
        <v>21</v>
      </c>
      <c r="U39" s="775">
        <f t="shared" si="13"/>
        <v>100</v>
      </c>
      <c r="V39" s="774" t="s">
        <v>21</v>
      </c>
      <c r="W39" s="775">
        <f t="shared" si="14"/>
        <v>100</v>
      </c>
      <c r="X39" s="1813"/>
      <c r="Y39" s="3267"/>
      <c r="Z39" s="1814" t="str">
        <f t="shared" si="18"/>
        <v>市政基础设施</v>
      </c>
      <c r="AA39" s="1811">
        <f t="shared" si="15"/>
        <v>1</v>
      </c>
      <c r="AB39" s="1811">
        <f t="shared" si="16"/>
        <v>1</v>
      </c>
      <c r="AC39" s="1811">
        <f t="shared" si="17"/>
        <v>1</v>
      </c>
    </row>
    <row r="40" spans="1:29" ht="15">
      <c r="A40" s="472"/>
      <c r="B40" s="422" t="s">
        <v>2569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65"/>
      <c r="Q40" s="1810" t="str">
        <f t="shared" si="11"/>
        <v>房型</v>
      </c>
      <c r="R40" s="774" t="s">
        <v>21</v>
      </c>
      <c r="S40" s="775">
        <f t="shared" si="12"/>
        <v>100</v>
      </c>
      <c r="T40" s="774" t="s">
        <v>21</v>
      </c>
      <c r="U40" s="775">
        <f t="shared" si="13"/>
        <v>100</v>
      </c>
      <c r="V40" s="774" t="s">
        <v>21</v>
      </c>
      <c r="W40" s="775">
        <f t="shared" si="14"/>
        <v>100</v>
      </c>
      <c r="X40" s="1813"/>
      <c r="Y40" s="3267"/>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65"/>
      <c r="Q41" s="776" t="str">
        <f t="shared" si="11"/>
        <v>单套/主力户型建筑面积</v>
      </c>
      <c r="R41" s="777" t="s">
        <v>21</v>
      </c>
      <c r="S41" s="778">
        <f t="shared" si="12"/>
        <v>100</v>
      </c>
      <c r="T41" s="777" t="s">
        <v>21</v>
      </c>
      <c r="U41" s="778">
        <f t="shared" si="13"/>
        <v>100</v>
      </c>
      <c r="V41" s="777" t="s">
        <v>21</v>
      </c>
      <c r="W41" s="778">
        <f t="shared" si="14"/>
        <v>100</v>
      </c>
      <c r="X41" s="779"/>
      <c r="Y41" s="3267"/>
      <c r="Z41" s="780" t="str">
        <f t="shared" si="18"/>
        <v>单套/主力户型建筑面积</v>
      </c>
      <c r="AA41" s="1811">
        <f t="shared" si="15"/>
        <v>1</v>
      </c>
      <c r="AB41" s="1811">
        <f t="shared" si="16"/>
        <v>1</v>
      </c>
      <c r="AC41" s="1811">
        <f t="shared" si="17"/>
        <v>1</v>
      </c>
    </row>
    <row r="42" spans="1:29" ht="15">
      <c r="A42" s="472"/>
      <c r="B42" s="422" t="s">
        <v>2571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65"/>
      <c r="Q42" s="1810" t="str">
        <f t="shared" si="11"/>
        <v>内部装修</v>
      </c>
      <c r="R42" s="774" t="s">
        <v>21</v>
      </c>
      <c r="S42" s="775">
        <f t="shared" si="12"/>
        <v>100</v>
      </c>
      <c r="T42" s="774" t="s">
        <v>21</v>
      </c>
      <c r="U42" s="775">
        <f t="shared" si="13"/>
        <v>100</v>
      </c>
      <c r="V42" s="774" t="s">
        <v>21</v>
      </c>
      <c r="W42" s="775">
        <f t="shared" si="14"/>
        <v>100</v>
      </c>
      <c r="X42" s="1813"/>
      <c r="Y42" s="3267"/>
      <c r="Z42" s="1814" t="str">
        <f t="shared" si="18"/>
        <v>内部装修</v>
      </c>
      <c r="AA42" s="1811">
        <f t="shared" si="15"/>
        <v>1</v>
      </c>
      <c r="AB42" s="1811">
        <f t="shared" si="16"/>
        <v>1</v>
      </c>
      <c r="AC42" s="1811">
        <f t="shared" si="17"/>
        <v>1</v>
      </c>
    </row>
    <row r="43" spans="1:29" ht="15">
      <c r="A43" s="472"/>
      <c r="B43" s="422" t="s">
        <v>2572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65"/>
      <c r="Q43" s="1810" t="str">
        <f t="shared" si="11"/>
        <v>内部装修维护情况</v>
      </c>
      <c r="R43" s="774" t="s">
        <v>21</v>
      </c>
      <c r="S43" s="775">
        <f t="shared" si="12"/>
        <v>100</v>
      </c>
      <c r="T43" s="774" t="s">
        <v>21</v>
      </c>
      <c r="U43" s="775">
        <f t="shared" si="13"/>
        <v>100</v>
      </c>
      <c r="V43" s="774" t="s">
        <v>21</v>
      </c>
      <c r="W43" s="775">
        <f t="shared" si="14"/>
        <v>100</v>
      </c>
      <c r="X43" s="1813"/>
      <c r="Y43" s="326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65"/>
      <c r="Q44" s="1795">
        <f t="shared" si="11"/>
        <v>111</v>
      </c>
      <c r="R44" s="770" t="s">
        <v>21</v>
      </c>
      <c r="S44" s="771">
        <f t="shared" si="12"/>
        <v>100</v>
      </c>
      <c r="T44" s="770" t="s">
        <v>21</v>
      </c>
      <c r="U44" s="771">
        <f t="shared" si="13"/>
        <v>100</v>
      </c>
      <c r="V44" s="770" t="s">
        <v>21</v>
      </c>
      <c r="W44" s="771">
        <f t="shared" si="14"/>
        <v>100</v>
      </c>
      <c r="X44" s="772"/>
      <c r="Y44" s="326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65"/>
      <c r="Q45" s="1810">
        <f t="shared" si="11"/>
        <v>111</v>
      </c>
      <c r="R45" s="774" t="s">
        <v>21</v>
      </c>
      <c r="S45" s="775">
        <f t="shared" si="12"/>
        <v>100</v>
      </c>
      <c r="T45" s="774" t="s">
        <v>21</v>
      </c>
      <c r="U45" s="775">
        <f t="shared" si="13"/>
        <v>100</v>
      </c>
      <c r="V45" s="774" t="s">
        <v>21</v>
      </c>
      <c r="W45" s="775">
        <f t="shared" si="14"/>
        <v>100</v>
      </c>
      <c r="X45" s="1813"/>
      <c r="Y45" s="3267"/>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66"/>
      <c r="Q46" s="1810">
        <f t="shared" si="11"/>
        <v>111</v>
      </c>
      <c r="R46" s="774" t="s">
        <v>20</v>
      </c>
      <c r="S46" s="775">
        <f t="shared" si="12"/>
        <v>100</v>
      </c>
      <c r="T46" s="774" t="s">
        <v>20</v>
      </c>
      <c r="U46" s="775">
        <f t="shared" si="13"/>
        <v>100</v>
      </c>
      <c r="V46" s="774" t="s">
        <v>20</v>
      </c>
      <c r="W46" s="775">
        <f t="shared" si="14"/>
        <v>100</v>
      </c>
      <c r="X46" s="1813"/>
      <c r="Y46" s="3268"/>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1"/>
      <c r="L47" s="1143"/>
      <c r="M47" s="1144"/>
      <c r="N47" s="1131"/>
      <c r="O47" s="1144"/>
      <c r="P47" s="3260" t="str">
        <f>A47</f>
        <v>成交单价（元/平方米）</v>
      </c>
      <c r="Q47" s="3260"/>
      <c r="R47" s="3261">
        <f>E47</f>
        <v>0</v>
      </c>
      <c r="S47" s="3261"/>
      <c r="T47" s="3261">
        <f>G47</f>
        <v>0</v>
      </c>
      <c r="U47" s="3261"/>
      <c r="V47" s="3261">
        <f>I47</f>
        <v>0</v>
      </c>
      <c r="W47" s="3261"/>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2"/>
      <c r="L48" s="1143"/>
      <c r="M48" s="1144"/>
      <c r="N48" s="1144"/>
      <c r="O48" s="1144"/>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3"/>
      <c r="L49" s="1143"/>
      <c r="M49" s="1144"/>
      <c r="N49" s="1144"/>
      <c r="O49" s="1144"/>
      <c r="P49" s="3257" t="str">
        <f>A49</f>
        <v>估价对象XX用房的比较价值（楼面单价，元/平方米）</v>
      </c>
      <c r="Q49" s="3258"/>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6"/>
      <c r="Q57" s="504"/>
    </row>
    <row r="58" spans="1:29" s="508" customFormat="1" ht="15">
      <c r="A58" s="505" t="s">
        <v>2580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2582</v>
      </c>
      <c r="B61" s="510"/>
      <c r="C61" s="522" t="s">
        <v>2583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2559</v>
      </c>
      <c r="B100" s="528" t="s">
        <v>2608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2618</v>
      </c>
    </row>
    <row r="137" spans="1:17" ht="15">
      <c r="B137" s="2638" t="s">
        <v>2619</v>
      </c>
      <c r="C137" s="2639"/>
      <c r="D137" s="2639"/>
      <c r="E137" s="2639"/>
      <c r="F137" s="2639"/>
      <c r="G137" s="2640"/>
      <c r="H137" s="2641"/>
      <c r="I137" s="2642" t="s">
        <v>2620</v>
      </c>
      <c r="J137" s="2639"/>
      <c r="K137" s="2643"/>
    </row>
    <row r="138" spans="1:17" ht="15">
      <c r="B138" s="2644"/>
      <c r="C138" s="146" t="s">
        <v>2621</v>
      </c>
      <c r="D138" s="146" t="s">
        <v>2622</v>
      </c>
      <c r="E138" s="2645" t="s">
        <v>2623</v>
      </c>
      <c r="F138" s="2646" t="s">
        <v>2624</v>
      </c>
      <c r="G138" s="146" t="s">
        <v>2622</v>
      </c>
      <c r="H138" s="147" t="s">
        <v>2623</v>
      </c>
      <c r="I138" s="2647"/>
      <c r="J138" s="146" t="s">
        <v>2625</v>
      </c>
      <c r="K138" s="147" t="s">
        <v>2626</v>
      </c>
    </row>
    <row r="139" spans="1:17" ht="15">
      <c r="B139" s="1084">
        <v>6</v>
      </c>
      <c r="C139" s="1085">
        <v>96</v>
      </c>
      <c r="D139" s="2648" t="s">
        <v>2627</v>
      </c>
      <c r="E139" s="1086">
        <v>100</v>
      </c>
      <c r="F139" s="1087">
        <v>102.5</v>
      </c>
      <c r="G139" s="2648" t="s">
        <v>2627</v>
      </c>
      <c r="H139" s="1088">
        <v>105</v>
      </c>
      <c r="I139" s="2649" t="s">
        <v>2628</v>
      </c>
      <c r="J139" s="1085">
        <v>20</v>
      </c>
      <c r="K139" s="1089">
        <f>C145/(J139-2)</f>
        <v>4.0555555555555553E-3</v>
      </c>
    </row>
    <row r="140" spans="1:17" ht="15">
      <c r="B140" s="1090">
        <v>5</v>
      </c>
      <c r="C140" s="1091">
        <v>100</v>
      </c>
      <c r="D140" s="1091"/>
      <c r="E140" s="1092"/>
      <c r="F140" s="1093">
        <v>102</v>
      </c>
      <c r="G140" s="1091"/>
      <c r="H140" s="1094"/>
      <c r="I140" s="2650" t="s">
        <v>2629</v>
      </c>
      <c r="J140" s="315">
        <f>ROUNDUP((J139-1)/2,0)</f>
        <v>10</v>
      </c>
      <c r="K140" s="1095">
        <v>100</v>
      </c>
    </row>
    <row r="141" spans="1:17" ht="15">
      <c r="B141" s="1090">
        <v>4</v>
      </c>
      <c r="C141" s="1091">
        <v>102</v>
      </c>
      <c r="D141" s="1091"/>
      <c r="E141" s="1092"/>
      <c r="F141" s="1093">
        <v>101.5</v>
      </c>
      <c r="G141" s="1091"/>
      <c r="H141" s="1094"/>
      <c r="I141" s="2650" t="s">
        <v>2630</v>
      </c>
      <c r="J141" s="315">
        <v>1</v>
      </c>
      <c r="K141" s="1096">
        <f>ROUND(100+(J141-J140)*K139*100,1)</f>
        <v>96.4</v>
      </c>
    </row>
    <row r="142" spans="1:17" ht="15">
      <c r="B142" s="1090">
        <v>3</v>
      </c>
      <c r="C142" s="1091">
        <v>103</v>
      </c>
      <c r="D142" s="1091"/>
      <c r="E142" s="1092"/>
      <c r="F142" s="1093">
        <v>101</v>
      </c>
      <c r="G142" s="1091"/>
      <c r="H142" s="1094"/>
      <c r="I142" s="2650" t="s">
        <v>2631</v>
      </c>
      <c r="J142" s="315">
        <f>J139</f>
        <v>20</v>
      </c>
      <c r="K142" s="1097">
        <v>95</v>
      </c>
    </row>
    <row r="143" spans="1:17" ht="15">
      <c r="B143" s="1090">
        <v>2</v>
      </c>
      <c r="C143" s="1091">
        <v>100</v>
      </c>
      <c r="D143" s="1091"/>
      <c r="E143" s="1092"/>
      <c r="F143" s="1093">
        <v>100.5</v>
      </c>
      <c r="G143" s="1091"/>
      <c r="H143" s="1094"/>
      <c r="I143" s="2650" t="s">
        <v>2632</v>
      </c>
      <c r="J143" s="1091">
        <v>15</v>
      </c>
      <c r="K143" s="1096">
        <f>ROUND(100+(J143-J140)*K139*100,1)</f>
        <v>102</v>
      </c>
    </row>
    <row r="144" spans="1:17" ht="15">
      <c r="B144" s="1090">
        <v>1</v>
      </c>
      <c r="C144" s="1091">
        <v>98</v>
      </c>
      <c r="D144" s="2651" t="s">
        <v>2633</v>
      </c>
      <c r="E144" s="1092">
        <v>102</v>
      </c>
      <c r="F144" s="1098">
        <v>100</v>
      </c>
      <c r="G144" s="2651" t="s">
        <v>2633</v>
      </c>
      <c r="H144" s="1094">
        <v>105</v>
      </c>
      <c r="I144" s="2650" t="s">
        <v>2632</v>
      </c>
      <c r="J144" s="1091">
        <v>18</v>
      </c>
      <c r="K144" s="1096">
        <f>ROUND(100+(J144-J140)*K139*100,1)</f>
        <v>103.2</v>
      </c>
    </row>
    <row r="145" spans="2:11" ht="15.75" thickBot="1">
      <c r="B145" s="2652" t="s">
        <v>2634</v>
      </c>
      <c r="C145" s="1099">
        <f>ROUND(MAX(C139:C144)/MIN(C139:C144)-1,3)</f>
        <v>7.2999999999999995E-2</v>
      </c>
      <c r="D145" s="1100"/>
      <c r="E145" s="1100"/>
      <c r="F145" s="2653" t="s">
        <v>2635</v>
      </c>
      <c r="G145" s="2654"/>
      <c r="H145" s="2655"/>
      <c r="I145" s="2656" t="s">
        <v>2632</v>
      </c>
      <c r="J145" s="1101">
        <v>8</v>
      </c>
      <c r="K145" s="1102">
        <f>ROUND(100+(J145-J140)*K139*100,1)</f>
        <v>99.2</v>
      </c>
    </row>
    <row r="147" spans="2:11">
      <c r="B147" s="2637" t="s">
        <v>2636</v>
      </c>
    </row>
    <row r="148" spans="2:11">
      <c r="B148" s="2637"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2" zoomScale="90" zoomScaleNormal="90" zoomScaleSheetLayoutView="90" workbookViewId="0">
      <selection activeCell="D58" sqref="D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3060</v>
      </c>
      <c r="D1" s="1820" t="s">
        <v>70</v>
      </c>
      <c r="E1" s="1821" t="s">
        <v>1382</v>
      </c>
      <c r="F1" s="1283">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6442</v>
      </c>
      <c r="C2" s="1845" t="s">
        <v>1510</v>
      </c>
      <c r="D2" s="1845"/>
      <c r="E2" s="1846"/>
      <c r="F2" s="1847"/>
      <c r="G2" s="1848"/>
      <c r="H2" s="1840"/>
      <c r="I2" s="1840"/>
      <c r="J2" s="1840"/>
      <c r="K2" s="1841"/>
      <c r="L2" s="1840"/>
      <c r="M2" s="1840"/>
    </row>
    <row r="3" spans="1:37" ht="18" customHeight="1" thickBot="1">
      <c r="A3" s="1849" t="s">
        <v>1511</v>
      </c>
      <c r="B3" s="1850">
        <f ca="1">IF(ISERROR(B2*10000/F43),0,ROUND(B2*10000/F43,0))</f>
        <v>21221</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244</v>
      </c>
      <c r="D5" s="1822" t="s">
        <v>1397</v>
      </c>
      <c r="E5" s="1293"/>
      <c r="F5" s="1294"/>
      <c r="G5" s="1851"/>
      <c r="H5" s="344">
        <v>1</v>
      </c>
      <c r="I5" s="345" t="s">
        <v>1396</v>
      </c>
      <c r="J5" s="1292">
        <f ca="1">J6+J10+J12</f>
        <v>611</v>
      </c>
      <c r="K5" s="1822" t="s">
        <v>1397</v>
      </c>
      <c r="L5" s="1293"/>
      <c r="M5" s="1294"/>
    </row>
    <row r="6" spans="1:37" ht="18" customHeight="1">
      <c r="A6" s="1291" t="s">
        <v>1032</v>
      </c>
      <c r="B6" s="3201" t="s">
        <v>1398</v>
      </c>
      <c r="C6" s="1296">
        <f ca="1">ROUND(F6*F8*F7*(1-F9)/10000,0)</f>
        <v>244</v>
      </c>
      <c r="D6" s="164" t="s">
        <v>3026</v>
      </c>
      <c r="E6" s="347" t="s">
        <v>1400</v>
      </c>
      <c r="F6" s="348">
        <f ca="1">INDIRECT("'数据-取费表'!u"&amp;$G$1)</f>
        <v>2.2000000000000002</v>
      </c>
      <c r="G6" s="1851"/>
      <c r="H6" s="1291" t="s">
        <v>1032</v>
      </c>
      <c r="I6" s="3201" t="s">
        <v>1398</v>
      </c>
      <c r="J6" s="346">
        <f ca="1">ROUND(M6*M8*M7*(1-M9)/10000,0)</f>
        <v>610</v>
      </c>
      <c r="K6" s="164" t="s">
        <v>3025</v>
      </c>
      <c r="L6" s="347" t="s">
        <v>1400</v>
      </c>
      <c r="M6" s="348">
        <f ca="1">INDIRECT("'数据-取费表'!z"&amp;$G$1)</f>
        <v>6.12</v>
      </c>
    </row>
    <row r="7" spans="1:37" ht="18" customHeight="1">
      <c r="A7" s="1295"/>
      <c r="B7" s="3202"/>
      <c r="C7" s="1297"/>
      <c r="D7" s="352"/>
      <c r="E7" s="2999" t="s">
        <v>1401</v>
      </c>
      <c r="F7" s="348">
        <f ca="1">IF(INDIRECT("'数据-取费表'!ah"&amp;$G$1)="",INDIRECT("'数据-取费表'!k"&amp;$G$1),INDIRECT("'数据-取费表'!ah"&amp;$G$1))</f>
        <v>3035.67</v>
      </c>
      <c r="G7" s="1851"/>
      <c r="H7" s="349"/>
      <c r="I7" s="3202"/>
      <c r="J7" s="351"/>
      <c r="K7" s="352"/>
      <c r="L7" s="347" t="s">
        <v>1401</v>
      </c>
      <c r="M7" s="348">
        <f ca="1">F7</f>
        <v>3035.67</v>
      </c>
    </row>
    <row r="8" spans="1:37" ht="18" customHeight="1">
      <c r="A8" s="349"/>
      <c r="B8" s="3202"/>
      <c r="C8" s="351"/>
      <c r="D8" s="352"/>
      <c r="E8" s="347" t="s">
        <v>1402</v>
      </c>
      <c r="F8" s="348">
        <f ca="1">INDIRECT("'数据-取费表'!ai"&amp;$G$1)</f>
        <v>365</v>
      </c>
      <c r="G8" s="1851"/>
      <c r="H8" s="349"/>
      <c r="I8" s="3202"/>
      <c r="J8" s="351"/>
      <c r="K8" s="352"/>
      <c r="L8" s="347" t="s">
        <v>1402</v>
      </c>
      <c r="M8" s="348">
        <f ca="1">INDIRECT("'数据-取费表'!ai"&amp;$G$1)</f>
        <v>365</v>
      </c>
    </row>
    <row r="9" spans="1:37" ht="18" customHeight="1">
      <c r="A9" s="349"/>
      <c r="B9" s="3203"/>
      <c r="C9" s="351"/>
      <c r="D9" s="352"/>
      <c r="E9" s="347" t="s">
        <v>1403</v>
      </c>
      <c r="F9" s="357">
        <f ca="1">INDIRECT("'数据-取费表'!w"&amp;$G$1)</f>
        <v>0</v>
      </c>
      <c r="G9" s="1851"/>
      <c r="H9" s="349"/>
      <c r="I9" s="3203"/>
      <c r="J9" s="351"/>
      <c r="K9" s="352"/>
      <c r="L9" s="358" t="s">
        <v>1403</v>
      </c>
      <c r="M9" s="359">
        <f ca="1">INDIRECT("'数据-取费表'!ab"&amp;$G$1)</f>
        <v>0.1</v>
      </c>
    </row>
    <row r="10" spans="1:37" ht="18" customHeight="1">
      <c r="A10" s="1291" t="s">
        <v>1036</v>
      </c>
      <c r="B10" s="1823" t="s">
        <v>1404</v>
      </c>
      <c r="C10" s="361">
        <f ca="1">ROUND(IF(F10="押一",C6/12*F11,IF(F10="押二",C6/12*2*F11,IF(F10="押三",C6/12*3*F11,C11*F11))),0)</f>
        <v>0</v>
      </c>
      <c r="D10" s="1824" t="s">
        <v>3035</v>
      </c>
      <c r="E10" s="358" t="s">
        <v>1405</v>
      </c>
      <c r="F10" s="1366" t="s">
        <v>3099</v>
      </c>
      <c r="G10" s="1851"/>
      <c r="H10" s="1291" t="s">
        <v>1036</v>
      </c>
      <c r="I10" s="1823" t="s">
        <v>1404</v>
      </c>
      <c r="J10" s="346">
        <f ca="1">ROUND(IF(M10="押一",J6/12*M11,IF(M10="押二",J6/12*2*M11,IF(M10="押三",J6/12*3*M11,J11*M11))),0)</f>
        <v>1</v>
      </c>
      <c r="K10" s="1824" t="s">
        <v>3034</v>
      </c>
      <c r="L10" s="358" t="s">
        <v>1405</v>
      </c>
      <c r="M10" s="1366" t="s">
        <v>3099</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1234</v>
      </c>
      <c r="D13" s="1331" t="s">
        <v>1409</v>
      </c>
      <c r="E13" s="1331" t="s">
        <v>1410</v>
      </c>
      <c r="F13" s="1332">
        <f ca="1">INDIRECT("'数据-取费表'!y"&amp;$G$1)</f>
        <v>0.92</v>
      </c>
      <c r="G13" s="1851"/>
      <c r="H13" s="1329">
        <v>2</v>
      </c>
      <c r="I13" s="1330" t="s">
        <v>1408</v>
      </c>
      <c r="J13" s="1290">
        <f ca="1">ROUND(J14*J15,0)</f>
        <v>1033</v>
      </c>
      <c r="K13" s="1337" t="s">
        <v>1409</v>
      </c>
      <c r="L13" s="1852"/>
      <c r="M13" s="1853"/>
    </row>
    <row r="14" spans="1:37" ht="18" customHeight="1">
      <c r="A14" s="1201" t="s">
        <v>1031</v>
      </c>
      <c r="B14" s="347" t="s">
        <v>1411</v>
      </c>
      <c r="C14" s="363">
        <f ca="1">INDIRECT("'数据-取费表'!m"&amp;$G$1)+INDIRECT("'数据-取费表'!t"&amp;$G$1)</f>
        <v>911</v>
      </c>
      <c r="D14" s="2993" t="s">
        <v>1412</v>
      </c>
      <c r="E14" s="2991"/>
      <c r="F14" s="364"/>
      <c r="G14" s="1851"/>
      <c r="H14" s="1201" t="s">
        <v>1032</v>
      </c>
      <c r="I14" s="347" t="s">
        <v>1413</v>
      </c>
      <c r="J14" s="24">
        <f ca="1">C29</f>
        <v>1341</v>
      </c>
      <c r="K14" s="2998"/>
      <c r="L14" s="979"/>
      <c r="M14" s="980"/>
    </row>
    <row r="15" spans="1:37" s="1858" customFormat="1" ht="18" customHeight="1" thickBot="1">
      <c r="A15" s="1201" t="s">
        <v>1033</v>
      </c>
      <c r="B15" s="347" t="s">
        <v>1414</v>
      </c>
      <c r="C15" s="24">
        <f ca="1">ROUND(C14*F15,0)</f>
        <v>27</v>
      </c>
      <c r="D15" s="365" t="s">
        <v>1415</v>
      </c>
      <c r="E15" s="365" t="s">
        <v>1416</v>
      </c>
      <c r="F15" s="366">
        <f>'数据-取费表'!B33</f>
        <v>0.03</v>
      </c>
      <c r="G15" s="1854"/>
      <c r="H15" s="1339" t="s">
        <v>1036</v>
      </c>
      <c r="I15" s="1340" t="s">
        <v>1410</v>
      </c>
      <c r="J15" s="1349">
        <f ca="1">INDIRECT("'数据-取费表'!ad"&amp;$G$1)</f>
        <v>0.77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131</v>
      </c>
      <c r="K16" s="1337" t="s">
        <v>1419</v>
      </c>
      <c r="L16" s="2994"/>
      <c r="M16" s="1294"/>
    </row>
    <row r="17" spans="1:37" s="1858" customFormat="1" ht="18" customHeight="1">
      <c r="A17" s="1201" t="s">
        <v>1385</v>
      </c>
      <c r="B17" s="347" t="s">
        <v>1420</v>
      </c>
      <c r="C17" s="24">
        <f ca="1">ROUND(F17*(F43+INDIRECT("'数据-取费表'!S"&amp;$G$1))/10000,0)</f>
        <v>61</v>
      </c>
      <c r="D17" s="347" t="s">
        <v>1421</v>
      </c>
      <c r="E17" s="347" t="s">
        <v>1422</v>
      </c>
      <c r="F17" s="26">
        <f>'数据-取费表'!B35</f>
        <v>200</v>
      </c>
      <c r="G17" s="1854"/>
      <c r="H17" s="1201" t="s">
        <v>1032</v>
      </c>
      <c r="I17" s="347" t="s">
        <v>1423</v>
      </c>
      <c r="J17" s="24">
        <f ca="1">ROUND(IF(项目基本情况!B11="自然人",J6*M17/(1+'数据-取费表'!C42),J18+J19+J20),1)</f>
        <v>103.1</v>
      </c>
      <c r="K17" s="2993" t="s">
        <v>1424</v>
      </c>
      <c r="L17" s="2992"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14</v>
      </c>
      <c r="D18" s="347" t="s">
        <v>1415</v>
      </c>
      <c r="E18" s="347" t="s">
        <v>1416</v>
      </c>
      <c r="F18" s="367">
        <f>'数据-取费表'!B36</f>
        <v>1.4999999999999999E-2</v>
      </c>
      <c r="G18" s="1854"/>
      <c r="H18" s="1201" t="s">
        <v>1031</v>
      </c>
      <c r="I18" s="347" t="s">
        <v>1427</v>
      </c>
      <c r="J18" s="24">
        <f ca="1">ROUND(J6*M18/(1+'数据-取费表'!C42),2)</f>
        <v>32.53</v>
      </c>
      <c r="K18" s="2992"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1013</v>
      </c>
      <c r="D19" s="140" t="s">
        <v>1430</v>
      </c>
      <c r="E19" s="2997"/>
      <c r="F19" s="26"/>
      <c r="G19" s="1851"/>
      <c r="H19" s="1201" t="s">
        <v>1033</v>
      </c>
      <c r="I19" s="347" t="s">
        <v>1431</v>
      </c>
      <c r="J19" s="24">
        <f ca="1">IF(K19="按租金收入计税",ROUND(J6*M19/(1+'数据-取费表'!C42),2),ROUND(C29*M19*0.7,2))</f>
        <v>69.709999999999994</v>
      </c>
      <c r="K19" s="1828" t="s">
        <v>3100</v>
      </c>
      <c r="L19" s="347" t="s">
        <v>1416</v>
      </c>
      <c r="M19" s="367">
        <f>IF(K19="按租金收入计税",'数据-取费表'!B51,'数据-取费表'!B50)</f>
        <v>0.12</v>
      </c>
    </row>
    <row r="20" spans="1:37" s="1858" customFormat="1" ht="18" customHeight="1">
      <c r="A20" s="1201" t="s">
        <v>1036</v>
      </c>
      <c r="B20" s="347" t="s">
        <v>1433</v>
      </c>
      <c r="C20" s="24">
        <f ca="1">ROUND(C19*F20,0)</f>
        <v>20</v>
      </c>
      <c r="D20" s="369" t="s">
        <v>1434</v>
      </c>
      <c r="E20" s="347" t="s">
        <v>1416</v>
      </c>
      <c r="F20" s="367">
        <f>'数据-取费表'!B37</f>
        <v>0.02</v>
      </c>
      <c r="G20" s="1854"/>
      <c r="H20" s="1201" t="s">
        <v>1384</v>
      </c>
      <c r="I20" s="164" t="s">
        <v>1435</v>
      </c>
      <c r="J20" s="25">
        <f ca="1">ROUND(M20*M21/10000,2)</f>
        <v>0.83</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2</v>
      </c>
      <c r="D21" s="369" t="s">
        <v>1439</v>
      </c>
      <c r="E21" s="347" t="s">
        <v>1440</v>
      </c>
      <c r="F21" s="367">
        <f>'数据-取费表'!B38</f>
        <v>0.02</v>
      </c>
      <c r="G21" s="1854"/>
      <c r="H21" s="372"/>
      <c r="I21" s="356"/>
      <c r="J21" s="29"/>
      <c r="K21" s="373"/>
      <c r="L21" s="347" t="s">
        <v>1441</v>
      </c>
      <c r="M21" s="348">
        <f ca="1">INDIRECT("'数据-取费表'!r"&amp;$G$1)</f>
        <v>2781.02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2997"/>
      <c r="F22" s="26"/>
      <c r="G22" s="1851"/>
      <c r="H22" s="1201" t="s">
        <v>1036</v>
      </c>
      <c r="I22" s="347" t="s">
        <v>1443</v>
      </c>
      <c r="J22" s="24">
        <f ca="1">ROUND(J14*M22,1)</f>
        <v>20.100000000000001</v>
      </c>
      <c r="K22" s="2992"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49</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1.5</v>
      </c>
      <c r="K23" s="2992"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6.1</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97"/>
      <c r="F25" s="26"/>
      <c r="G25" s="1851"/>
      <c r="H25" s="1329" t="s">
        <v>1028</v>
      </c>
      <c r="I25" s="1344" t="s">
        <v>1457</v>
      </c>
      <c r="J25" s="355">
        <f ca="1">J5-J16</f>
        <v>480</v>
      </c>
      <c r="K25" s="1345" t="s">
        <v>1458</v>
      </c>
      <c r="L25" s="1346"/>
      <c r="M25" s="1347"/>
    </row>
    <row r="26" spans="1:37">
      <c r="A26" s="1201" t="s">
        <v>1031</v>
      </c>
      <c r="B26" s="347" t="s">
        <v>1459</v>
      </c>
      <c r="C26" s="24">
        <f ca="1">ROUND((C19+C20)*F26,0)</f>
        <v>155</v>
      </c>
      <c r="D26" s="369" t="s">
        <v>1460</v>
      </c>
      <c r="E26" s="358" t="s">
        <v>1461</v>
      </c>
      <c r="F26" s="357">
        <f ca="1">INDIRECT("'数据-取费表'!q"&amp;$G$1)</f>
        <v>0.15</v>
      </c>
      <c r="G26" s="1851"/>
      <c r="H26" s="344" t="s">
        <v>1029</v>
      </c>
      <c r="I26" s="345" t="s">
        <v>1462</v>
      </c>
      <c r="J26" s="346">
        <f ca="1">IF(J5&lt;&gt;0,ROUND(J25*(1-((1+M28)/(1+M26))^M27)/(M26-M28),0),0)</f>
        <v>8407</v>
      </c>
      <c r="K26" s="370" t="s">
        <v>1463</v>
      </c>
      <c r="L26" s="347" t="s">
        <v>1464</v>
      </c>
      <c r="M26" s="357">
        <f ca="1">INDIRECT("'数据-取费表'!I"&amp;$G$1)</f>
        <v>5.5E-2</v>
      </c>
    </row>
    <row r="27" spans="1:37" ht="18" customHeight="1">
      <c r="A27" s="1201" t="s">
        <v>1033</v>
      </c>
      <c r="B27" s="347" t="s">
        <v>1465</v>
      </c>
      <c r="C27" s="24">
        <f ca="1">ROUND(F21*F26,4)</f>
        <v>3.0000000000000001E-3</v>
      </c>
      <c r="D27" s="369" t="s">
        <v>1466</v>
      </c>
      <c r="E27" s="365"/>
      <c r="F27" s="366"/>
      <c r="G27" s="1851"/>
      <c r="H27" s="349"/>
      <c r="I27" s="350"/>
      <c r="J27" s="351"/>
      <c r="K27" s="378" t="s">
        <v>1467</v>
      </c>
      <c r="L27" s="347" t="s">
        <v>1468</v>
      </c>
      <c r="M27" s="379">
        <f ca="1">INDIRECT("'数据-取费表'!ag"&amp;$G$1)</f>
        <v>22.53</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3.5000000000000003E-2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1341</v>
      </c>
      <c r="D29" s="1342"/>
      <c r="E29" s="1340"/>
      <c r="F29" s="1343"/>
      <c r="G29" s="1854"/>
      <c r="H29" s="380" t="s">
        <v>1030</v>
      </c>
      <c r="I29" s="381" t="s">
        <v>1473</v>
      </c>
      <c r="J29" s="382">
        <f ca="1">ROUND(J26/(1+F40)^F41,0)</f>
        <v>5212</v>
      </c>
      <c r="K29" s="383" t="s">
        <v>1474</v>
      </c>
      <c r="L29" s="384"/>
      <c r="M29" s="385">
        <f ca="1">INDIRECT("'数据-取费表'!k"&amp;$G$1)</f>
        <v>3035.67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66</v>
      </c>
      <c r="D30" s="1337" t="s">
        <v>1419</v>
      </c>
      <c r="E30" s="2994"/>
      <c r="F30" s="1294"/>
      <c r="G30" s="1851"/>
      <c r="H30" s="745"/>
      <c r="I30" s="746"/>
      <c r="J30" s="747"/>
      <c r="K30" s="748"/>
      <c r="L30" s="749"/>
      <c r="M30" s="750"/>
    </row>
    <row r="31" spans="1:37" ht="18" customHeight="1">
      <c r="A31" s="1201" t="s">
        <v>1032</v>
      </c>
      <c r="B31" s="347" t="s">
        <v>1423</v>
      </c>
      <c r="C31" s="24">
        <f ca="1">ROUND(IF(项目基本情况!B11="自然人",C6*F31/(1+'数据-取费表'!C42),C32+C33+C34),1)</f>
        <v>41.7</v>
      </c>
      <c r="D31" s="2993" t="s">
        <v>1424</v>
      </c>
      <c r="E31" s="2992"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13.01</v>
      </c>
      <c r="D32" s="2992"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27.89</v>
      </c>
      <c r="D33" s="1828" t="s">
        <v>3100</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0.83</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2781.02</v>
      </c>
      <c r="G35" s="1851"/>
      <c r="H35" s="745"/>
      <c r="I35" s="1860"/>
      <c r="J35" s="1861"/>
      <c r="K35" s="1862"/>
      <c r="L35" s="1859"/>
      <c r="M35" s="1859"/>
    </row>
    <row r="36" spans="1:18" ht="18" customHeight="1">
      <c r="A36" s="1352" t="s">
        <v>1036</v>
      </c>
      <c r="B36" s="347" t="s">
        <v>1443</v>
      </c>
      <c r="C36" s="24">
        <f ca="1">ROUND(C29*F36,1)</f>
        <v>20.100000000000001</v>
      </c>
      <c r="D36" s="2992"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1.9</v>
      </c>
      <c r="D37" s="2992" t="s">
        <v>1448</v>
      </c>
      <c r="E37" s="347" t="s">
        <v>1449</v>
      </c>
      <c r="F37" s="376">
        <f ca="1">INDIRECT("'数据-取费表'!Al"&amp;$G$1)</f>
        <v>1.5E-3</v>
      </c>
      <c r="G37" s="1851"/>
      <c r="H37" s="1859"/>
      <c r="I37" s="1860"/>
      <c r="J37" s="1861"/>
      <c r="K37" s="751"/>
      <c r="L37" s="1859"/>
      <c r="M37" s="1859"/>
    </row>
    <row r="38" spans="1:18" ht="18" customHeight="1" thickBot="1">
      <c r="A38" s="1339" t="s">
        <v>1388</v>
      </c>
      <c r="B38" s="1340" t="s">
        <v>1433</v>
      </c>
      <c r="C38" s="1341">
        <f ca="1">ROUND(C5*F38,1)</f>
        <v>2.4</v>
      </c>
      <c r="D38" s="1342" t="s">
        <v>1453</v>
      </c>
      <c r="E38" s="1340" t="s">
        <v>1449</v>
      </c>
      <c r="F38" s="1336">
        <f ca="1">INDIRECT("'数据-取费表'!Am"&amp;$G$1)</f>
        <v>0.01</v>
      </c>
      <c r="G38" s="1851"/>
      <c r="H38" s="1859"/>
      <c r="I38" s="1860"/>
      <c r="J38" s="1861"/>
      <c r="K38" s="1865"/>
      <c r="L38" s="1859"/>
      <c r="M38" s="1859"/>
    </row>
    <row r="39" spans="1:18" ht="24.6" customHeight="1" thickTop="1">
      <c r="A39" s="1329" t="s">
        <v>1028</v>
      </c>
      <c r="B39" s="1344" t="s">
        <v>1477</v>
      </c>
      <c r="C39" s="355">
        <f ca="1">C5-C30</f>
        <v>178</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1230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8.93</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4052</v>
      </c>
      <c r="D43" s="383" t="s">
        <v>1482</v>
      </c>
      <c r="E43" s="384" t="s">
        <v>1483</v>
      </c>
      <c r="F43" s="385">
        <f ca="1">INDIRECT("'数据-取费表'!k"&amp;$G$1)</f>
        <v>3035.67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1480</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3101</v>
      </c>
      <c r="K47" s="1882" t="s">
        <v>1521</v>
      </c>
      <c r="L47" s="1883">
        <f ca="1">INDIRECT("'数据-取费表'!d"&amp;$G$1)</f>
        <v>40</v>
      </c>
      <c r="M47" s="1838" t="str">
        <f>IF(ISNUMBER(FIND("住宅",C1)),"住宅","非住宅")</f>
        <v>非住宅</v>
      </c>
      <c r="O47" s="1884" t="s">
        <v>1037</v>
      </c>
      <c r="P47" s="1885" t="s">
        <v>1522</v>
      </c>
      <c r="Q47" s="1886">
        <f ca="1">C40+J29</f>
        <v>6442</v>
      </c>
      <c r="R47" s="1886" t="s">
        <v>1523</v>
      </c>
    </row>
    <row r="48" spans="1:18" s="1842" customFormat="1" ht="28.5" thickBot="1">
      <c r="A48" s="1360" t="s">
        <v>1132</v>
      </c>
      <c r="B48" s="345" t="s">
        <v>1396</v>
      </c>
      <c r="C48" s="2996">
        <f ca="1">C49+C53+C55</f>
        <v>450</v>
      </c>
      <c r="D48" s="1362"/>
      <c r="E48" s="1363"/>
      <c r="F48" s="1181"/>
      <c r="G48" s="792"/>
      <c r="H48" s="793"/>
      <c r="I48" s="1887" t="s">
        <v>1524</v>
      </c>
      <c r="J48" s="1888" t="s">
        <v>3102</v>
      </c>
      <c r="K48" s="1889" t="s">
        <v>1525</v>
      </c>
      <c r="L48" s="1890">
        <f ca="1">INDIRECT("'数据-取费表'!f"&amp;$G$1)</f>
        <v>31.46</v>
      </c>
      <c r="O48" s="1884" t="s">
        <v>1038</v>
      </c>
      <c r="P48" s="1885" t="s">
        <v>1526</v>
      </c>
      <c r="Q48" s="1886" t="str">
        <f ca="1">J60</f>
        <v>0</v>
      </c>
      <c r="R48" s="1886" t="s">
        <v>1527</v>
      </c>
    </row>
    <row r="49" spans="1:18" s="1842" customFormat="1" ht="13.5" thickBot="1">
      <c r="A49" s="1194" t="s">
        <v>1133</v>
      </c>
      <c r="B49" s="1829" t="s">
        <v>1484</v>
      </c>
      <c r="C49" s="1364">
        <f ca="1">ROUND(F49*F51*F50*(1-F52)/10000,0)</f>
        <v>449</v>
      </c>
      <c r="D49" s="1276" t="s">
        <v>3025</v>
      </c>
      <c r="E49" s="1830" t="s">
        <v>1485</v>
      </c>
      <c r="F49" s="1281">
        <f ca="1">'收益法（3号楼）'!F6*典型户型修正!D18/典型户型修正!C18</f>
        <v>4.5</v>
      </c>
      <c r="G49" s="1891"/>
      <c r="H49" s="793"/>
      <c r="I49" s="1887" t="s">
        <v>1528</v>
      </c>
      <c r="J49" s="1892">
        <v>2014</v>
      </c>
      <c r="K49" s="1889" t="s">
        <v>1529</v>
      </c>
      <c r="L49" s="1893"/>
      <c r="O49" s="1894" t="s">
        <v>1039</v>
      </c>
      <c r="P49" s="1885" t="s">
        <v>1530</v>
      </c>
      <c r="Q49" s="1886">
        <f ca="1">C29</f>
        <v>1341</v>
      </c>
      <c r="R49" s="1886" t="s">
        <v>1523</v>
      </c>
    </row>
    <row r="50" spans="1:18" s="1842" customFormat="1" ht="13.5" thickBot="1">
      <c r="A50" s="1195"/>
      <c r="B50" s="1198"/>
      <c r="C50" s="1368"/>
      <c r="D50" s="1172"/>
      <c r="E50" s="1277" t="s">
        <v>1401</v>
      </c>
      <c r="F50" s="1278">
        <f ca="1">F7</f>
        <v>3035.67</v>
      </c>
      <c r="H50" s="793"/>
      <c r="I50" s="1887" t="s">
        <v>1531</v>
      </c>
      <c r="J50" s="1895">
        <f>SUMPRODUCT((I63:I65=J47)*(J62:L62=J48)*(J63:L65))</f>
        <v>60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55</v>
      </c>
      <c r="K51" s="1900" t="s">
        <v>1535</v>
      </c>
      <c r="L51" s="1901">
        <f ca="1">ROUND(-PV(INDIRECT("'数据-取费表'!h"&amp;$G$1),L48,(C39-C13*C76),0),0)</f>
        <v>1147</v>
      </c>
      <c r="M51" s="1902"/>
      <c r="O51" s="1894" t="s">
        <v>1041</v>
      </c>
      <c r="P51" s="1885" t="s">
        <v>1536</v>
      </c>
      <c r="Q51" s="1897">
        <f>J52</f>
        <v>0.09</v>
      </c>
      <c r="R51" s="1886"/>
    </row>
    <row r="52" spans="1:18" s="1842" customFormat="1" ht="13.5" thickBot="1">
      <c r="A52" s="1196"/>
      <c r="B52" s="1198"/>
      <c r="C52" s="1199"/>
      <c r="D52" s="1172"/>
      <c r="E52" s="1200" t="s">
        <v>1403</v>
      </c>
      <c r="F52" s="1275">
        <v>0.1</v>
      </c>
      <c r="I52" s="1903" t="s">
        <v>1537</v>
      </c>
      <c r="J52" s="1904">
        <v>0.09</v>
      </c>
      <c r="K52" s="1903" t="s">
        <v>1538</v>
      </c>
      <c r="L52" s="1904"/>
      <c r="O52" s="1894" t="s">
        <v>1042</v>
      </c>
      <c r="P52" s="1885" t="s">
        <v>1539</v>
      </c>
      <c r="Q52" s="1886">
        <f ca="1">J53</f>
        <v>31.46</v>
      </c>
      <c r="R52" s="1886" t="s">
        <v>1540</v>
      </c>
    </row>
    <row r="53" spans="1:18" s="1842" customFormat="1" ht="24.75" thickBot="1">
      <c r="A53" s="1405" t="s">
        <v>1134</v>
      </c>
      <c r="B53" s="1831" t="s">
        <v>1404</v>
      </c>
      <c r="C53" s="361">
        <f ca="1">ROUND(IF(F53="押一",C49/12*F11,IF(F53="押二",C49/12*2*F11,IF(F53="押三",C49/12*3*F11,C54*F11))),0)</f>
        <v>1</v>
      </c>
      <c r="D53" s="1824" t="s">
        <v>3034</v>
      </c>
      <c r="E53" s="358" t="s">
        <v>1405</v>
      </c>
      <c r="F53" s="1366" t="s">
        <v>3099</v>
      </c>
      <c r="I53" s="1905" t="s">
        <v>1541</v>
      </c>
      <c r="J53" s="2950">
        <f ca="1">IF(M47="住宅",IF(D1="——",MAX(J51,L48),MAX(J51,L48-'数据-取费表'!B24)),IF(D1="——",MIN(J51,L48),MIN(J51,L48-'数据-取费表'!B24)))</f>
        <v>31.46</v>
      </c>
      <c r="K53" s="3199" t="s">
        <v>1542</v>
      </c>
      <c r="L53" s="3200"/>
      <c r="O53" s="1884" t="s">
        <v>1043</v>
      </c>
      <c r="P53" s="1885" t="s">
        <v>1543</v>
      </c>
      <c r="Q53" s="1886">
        <f ca="1">Q47+Q48</f>
        <v>6442</v>
      </c>
      <c r="R53" s="1886" t="s">
        <v>1044</v>
      </c>
    </row>
    <row r="54" spans="1:18" s="1842" customFormat="1" ht="13.5" thickBot="1">
      <c r="A54" s="1406"/>
      <c r="B54" s="1825" t="s">
        <v>1383</v>
      </c>
      <c r="C54" s="1178"/>
      <c r="D54" s="1824"/>
      <c r="E54" s="299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2995"/>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1234</v>
      </c>
      <c r="D56" s="1913"/>
      <c r="E56" s="1914"/>
      <c r="F56" s="1906"/>
      <c r="I56" s="1915" t="s">
        <v>1548</v>
      </c>
      <c r="J56" s="1916" t="s">
        <v>3095</v>
      </c>
      <c r="K56" s="1887" t="s">
        <v>1549</v>
      </c>
      <c r="L56" s="1890" t="str">
        <f ca="1">IF(L48&lt;J51,"——",L48-J53)</f>
        <v>——</v>
      </c>
      <c r="O56" s="1884" t="s">
        <v>1037</v>
      </c>
      <c r="P56" s="1885" t="s">
        <v>1522</v>
      </c>
      <c r="Q56" s="1886">
        <f ca="1">C40+J29</f>
        <v>6442</v>
      </c>
      <c r="R56" s="1886" t="s">
        <v>1523</v>
      </c>
    </row>
    <row r="57" spans="1:18" s="1842" customFormat="1" ht="24.75" thickBot="1">
      <c r="A57" s="1917"/>
      <c r="B57" s="1169" t="s">
        <v>1472</v>
      </c>
      <c r="C57" s="282">
        <f ca="1">C29</f>
        <v>1341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105</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78.8</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24</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54</v>
      </c>
      <c r="D61" s="1828" t="s">
        <v>3100</v>
      </c>
      <c r="E61" s="1169" t="s">
        <v>1416</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0.83</v>
      </c>
      <c r="D62" s="1184" t="s">
        <v>1491</v>
      </c>
      <c r="E62" s="1169" t="s">
        <v>1437</v>
      </c>
      <c r="F62" s="371">
        <f t="shared" si="0"/>
        <v>3</v>
      </c>
      <c r="I62" s="1928" t="s">
        <v>1564</v>
      </c>
      <c r="J62" s="1929" t="s">
        <v>1565</v>
      </c>
      <c r="K62" s="1929" t="s">
        <v>1566</v>
      </c>
      <c r="L62" s="1929" t="s">
        <v>1567</v>
      </c>
      <c r="M62" s="1930" t="s">
        <v>1568</v>
      </c>
      <c r="O62" s="1884" t="s">
        <v>1043</v>
      </c>
      <c r="P62" s="1885" t="s">
        <v>1569</v>
      </c>
      <c r="Q62" s="1886">
        <f ca="1">Q56+Q57</f>
        <v>6442</v>
      </c>
      <c r="R62" s="1886" t="s">
        <v>1044</v>
      </c>
    </row>
    <row r="63" spans="1:18" s="1842" customFormat="1" ht="13.5" thickBot="1">
      <c r="A63" s="372"/>
      <c r="B63" s="1175"/>
      <c r="C63" s="29"/>
      <c r="D63" s="1185"/>
      <c r="E63" s="1169" t="s">
        <v>1441</v>
      </c>
      <c r="F63" s="348">
        <f t="shared" ca="1" si="0"/>
        <v>2781.02</v>
      </c>
      <c r="I63" s="1928" t="s">
        <v>1570</v>
      </c>
      <c r="J63" s="1929">
        <v>70</v>
      </c>
      <c r="K63" s="1929">
        <v>50</v>
      </c>
      <c r="L63" s="1929">
        <v>80</v>
      </c>
      <c r="M63" s="1931">
        <v>0.02</v>
      </c>
      <c r="O63" s="1869" t="s">
        <v>1571</v>
      </c>
      <c r="P63" s="1839"/>
      <c r="Q63" s="1839"/>
      <c r="R63" s="1839"/>
    </row>
    <row r="64" spans="1:18" s="1842" customFormat="1" ht="13.5" thickBot="1">
      <c r="A64" s="1201" t="s">
        <v>1036</v>
      </c>
      <c r="B64" s="1169" t="s">
        <v>1495</v>
      </c>
      <c r="C64" s="24">
        <f ca="1">ROUND(C57*F64,1)</f>
        <v>20.100000000000001</v>
      </c>
      <c r="D64" s="1183" t="s">
        <v>1476</v>
      </c>
      <c r="E64" s="1169" t="s">
        <v>1416</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1.9</v>
      </c>
      <c r="D65" s="1183" t="s">
        <v>1448</v>
      </c>
      <c r="E65" s="1169" t="s">
        <v>1449</v>
      </c>
      <c r="F65" s="376">
        <f t="shared" ca="1" si="0"/>
        <v>1.5E-3</v>
      </c>
      <c r="I65" s="1928" t="s">
        <v>1573</v>
      </c>
      <c r="J65" s="1929">
        <v>40</v>
      </c>
      <c r="K65" s="1929">
        <v>30</v>
      </c>
      <c r="L65" s="1929">
        <v>50</v>
      </c>
      <c r="M65" s="1931">
        <v>0.02</v>
      </c>
      <c r="O65" s="1884" t="s">
        <v>1037</v>
      </c>
      <c r="P65" s="1885" t="s">
        <v>1574</v>
      </c>
      <c r="Q65" s="1886">
        <f ca="1">C40+J29</f>
        <v>6442</v>
      </c>
      <c r="R65" s="1886" t="s">
        <v>1523</v>
      </c>
    </row>
    <row r="66" spans="1:18" s="1842" customFormat="1" ht="16.5" thickBot="1">
      <c r="A66" s="1201" t="s">
        <v>1498</v>
      </c>
      <c r="B66" s="1169" t="s">
        <v>1433</v>
      </c>
      <c r="C66" s="24">
        <f ca="1">ROUND(C48*F66,1)</f>
        <v>4.5</v>
      </c>
      <c r="D66" s="1183" t="s">
        <v>1499</v>
      </c>
      <c r="E66" s="1169" t="s">
        <v>1416</v>
      </c>
      <c r="F66" s="357">
        <f t="shared" ca="1" si="0"/>
        <v>0.01</v>
      </c>
      <c r="O66" s="1884" t="s">
        <v>1038</v>
      </c>
      <c r="P66" s="1885" t="s">
        <v>1552</v>
      </c>
      <c r="Q66" s="1886">
        <f ca="1">L60</f>
        <v>0</v>
      </c>
      <c r="R66" s="1886" t="s">
        <v>1575</v>
      </c>
    </row>
    <row r="67" spans="1:18" s="1842" customFormat="1" ht="16.5" thickBot="1">
      <c r="A67" s="1176" t="s">
        <v>1028</v>
      </c>
      <c r="B67" s="1186" t="s">
        <v>1457</v>
      </c>
      <c r="C67" s="361">
        <f ca="1">C48-C58</f>
        <v>345</v>
      </c>
      <c r="D67" s="1182" t="s">
        <v>1458</v>
      </c>
      <c r="E67" s="1187"/>
      <c r="F67" s="1188"/>
      <c r="O67" s="1894" t="s">
        <v>1039</v>
      </c>
      <c r="P67" s="1885" t="s">
        <v>1556</v>
      </c>
      <c r="Q67" s="1932">
        <f ca="1">L51</f>
        <v>1147</v>
      </c>
      <c r="R67" s="1886" t="s">
        <v>1576</v>
      </c>
    </row>
    <row r="68" spans="1:18" s="1842" customFormat="1" ht="16.5" thickBot="1">
      <c r="A68" s="1166" t="s">
        <v>1029</v>
      </c>
      <c r="B68" s="1167" t="s">
        <v>1479</v>
      </c>
      <c r="C68" s="346">
        <f ca="1">ROUND(C67*(1-((1+F70)/(1+F68))^F69)/(F68-F70),0)</f>
        <v>2710</v>
      </c>
      <c r="D68" s="1184" t="s">
        <v>1463</v>
      </c>
      <c r="E68" s="1169" t="s">
        <v>1464</v>
      </c>
      <c r="F68" s="357">
        <f ca="1">F40</f>
        <v>5.5E-2</v>
      </c>
      <c r="O68" s="1894" t="s">
        <v>1040</v>
      </c>
      <c r="P68" s="1933" t="s">
        <v>1577</v>
      </c>
      <c r="Q68" s="1886">
        <f ca="1">ROUND(Q69-Q70*Q71,0)</f>
        <v>73</v>
      </c>
      <c r="R68" s="1886" t="s">
        <v>1048</v>
      </c>
    </row>
    <row r="69" spans="1:18" s="1842" customFormat="1" ht="13.5" thickBot="1">
      <c r="A69" s="1170"/>
      <c r="B69" s="1171"/>
      <c r="C69" s="351"/>
      <c r="D69" s="1189" t="s">
        <v>1467</v>
      </c>
      <c r="E69" s="1169" t="s">
        <v>1468</v>
      </c>
      <c r="F69" s="379">
        <f ca="1">F41</f>
        <v>8.93</v>
      </c>
      <c r="O69" s="1894" t="s">
        <v>1045</v>
      </c>
      <c r="P69" s="1933" t="s">
        <v>1578</v>
      </c>
      <c r="Q69" s="1886">
        <f ca="1">C39</f>
        <v>178</v>
      </c>
      <c r="R69" s="1886" t="s">
        <v>1523</v>
      </c>
    </row>
    <row r="70" spans="1:18" s="1842" customFormat="1" ht="13.5" thickBot="1">
      <c r="A70" s="1173"/>
      <c r="B70" s="1174"/>
      <c r="C70" s="355"/>
      <c r="D70" s="1185"/>
      <c r="E70" s="1169" t="s">
        <v>1471</v>
      </c>
      <c r="F70" s="1275">
        <f>'数据-取费表'!V6</f>
        <v>3.5000000000000003E-2</v>
      </c>
      <c r="O70" s="1894" t="s">
        <v>1046</v>
      </c>
      <c r="P70" s="1933" t="s">
        <v>1579</v>
      </c>
      <c r="Q70" s="1886">
        <f ca="1">C13</f>
        <v>1234</v>
      </c>
      <c r="R70" s="1886" t="s">
        <v>1523</v>
      </c>
    </row>
    <row r="71" spans="1:18" s="1842" customFormat="1" ht="13.5" thickBot="1">
      <c r="A71" s="1190" t="s">
        <v>1030</v>
      </c>
      <c r="B71" s="1191" t="s">
        <v>1481</v>
      </c>
      <c r="C71" s="382">
        <f ca="1">ROUND(C68*10000/F71,0)</f>
        <v>8927</v>
      </c>
      <c r="D71" s="1192" t="s">
        <v>1482</v>
      </c>
      <c r="E71" s="1193" t="s">
        <v>1483</v>
      </c>
      <c r="F71" s="385">
        <f ca="1">F43</f>
        <v>3035.67</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105</v>
      </c>
      <c r="D75" s="1842"/>
      <c r="E75" s="1842"/>
      <c r="F75" s="1842"/>
      <c r="K75" s="1868"/>
      <c r="L75" s="1842"/>
      <c r="O75" s="1884" t="s">
        <v>1043</v>
      </c>
      <c r="P75" s="1885" t="s">
        <v>1543</v>
      </c>
      <c r="Q75" s="1886">
        <f ca="1">Q65+Q66</f>
        <v>6442</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0.41000000000000003</v>
      </c>
    </row>
    <row r="80" spans="1:18">
      <c r="B80" s="386" t="s">
        <v>1505</v>
      </c>
      <c r="C80" s="318">
        <f ca="1">ROUND(C75/C39,3)</f>
        <v>0.59</v>
      </c>
    </row>
    <row r="81" spans="2:3">
      <c r="B81" s="314" t="s">
        <v>1506</v>
      </c>
      <c r="C81" s="282"/>
    </row>
    <row r="82" spans="2:3">
      <c r="B82" s="317" t="s">
        <v>1507</v>
      </c>
      <c r="C82" s="319">
        <f ca="1">1-C83</f>
        <v>-2.9999999999998916E-3</v>
      </c>
    </row>
    <row r="83" spans="2:3">
      <c r="B83" s="317" t="s">
        <v>1508</v>
      </c>
      <c r="C83" s="318">
        <f ca="1">ROUND(C13/C40,3)</f>
        <v>1.0029999999999999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4" workbookViewId="0">
      <selection activeCell="D24" sqref="D2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2522</v>
      </c>
      <c r="B1" s="2562"/>
      <c r="C1" s="2562"/>
      <c r="D1" s="2562"/>
      <c r="E1" s="2563"/>
    </row>
    <row r="2" spans="1:6" ht="15.75">
      <c r="A2" s="2564" t="s">
        <v>2323</v>
      </c>
      <c r="B2" s="2565">
        <f ca="1">SUMIF(B6:B13,"&lt;&gt;#ref!",B6:B13)</f>
        <v>10310</v>
      </c>
      <c r="C2" s="2566" t="s">
        <v>2515</v>
      </c>
      <c r="D2" s="2567" t="s">
        <v>2516</v>
      </c>
      <c r="E2" s="2568">
        <f>SUM(E6:E13)</f>
        <v>4376.09</v>
      </c>
    </row>
    <row r="3" spans="1:6" ht="15.75">
      <c r="A3" s="2564" t="s">
        <v>1390</v>
      </c>
      <c r="B3" s="2565">
        <f ca="1">ROUND(B2*10000/E2,0)</f>
        <v>23560</v>
      </c>
      <c r="C3" s="2566" t="s">
        <v>2523</v>
      </c>
      <c r="D3" s="2569"/>
      <c r="E3" s="2570"/>
    </row>
    <row r="4" spans="1:6" ht="15.75">
      <c r="A4" s="2571"/>
      <c r="B4" s="2569"/>
      <c r="C4" s="2569"/>
      <c r="D4" s="2569"/>
      <c r="E4" s="2570"/>
    </row>
    <row r="5" spans="1:6" ht="15">
      <c r="A5" s="2572" t="s">
        <v>2517</v>
      </c>
      <c r="B5" s="3271" t="s">
        <v>2518</v>
      </c>
      <c r="C5" s="3271"/>
      <c r="D5" s="2573"/>
      <c r="E5" s="2574" t="s">
        <v>2519</v>
      </c>
      <c r="F5" s="2575" t="s">
        <v>2520</v>
      </c>
    </row>
    <row r="6" spans="1:6">
      <c r="A6" s="2576" t="str">
        <f>'数据-取费表'!AN6</f>
        <v>收益法（3号楼）</v>
      </c>
      <c r="B6" s="2575">
        <f ca="1">IF(F6="是",'数据-取费表'!AO6,0)</f>
        <v>3868</v>
      </c>
      <c r="C6" s="2566" t="s">
        <v>2515</v>
      </c>
      <c r="D6" s="2569"/>
      <c r="E6" s="2577">
        <f>IF(OR(A6=0,F6="否"),0,'数据-取费表'!K6+'数据-取费表'!S6)</f>
        <v>1340.42</v>
      </c>
      <c r="F6" s="2578" t="s">
        <v>2521</v>
      </c>
    </row>
    <row r="7" spans="1:6">
      <c r="A7" s="2576" t="str">
        <f>'数据-取费表'!AN7</f>
        <v>收益法 (4号楼)</v>
      </c>
      <c r="B7" s="2575">
        <f ca="1">IF(F7="是",'数据-取费表'!AO7,0)</f>
        <v>6442</v>
      </c>
      <c r="C7" s="2566" t="s">
        <v>2515</v>
      </c>
      <c r="D7" s="2569"/>
      <c r="E7" s="2577">
        <f>IF(OR(A7=0,F7="否"),0,'数据-取费表'!K7+'数据-取费表'!S7)</f>
        <v>3035.67</v>
      </c>
      <c r="F7" s="2578" t="s">
        <v>2521</v>
      </c>
    </row>
    <row r="8" spans="1:6">
      <c r="A8" s="2576">
        <f>'数据-取费表'!AN8</f>
        <v>0</v>
      </c>
      <c r="B8" s="2575" t="e">
        <f ca="1">IF(F8="是",'数据-取费表'!AO8,0)</f>
        <v>#REF!</v>
      </c>
      <c r="C8" s="2566" t="s">
        <v>2515</v>
      </c>
      <c r="D8" s="2569"/>
      <c r="E8" s="2577">
        <f>IF(OR(A8=0,F8="否"),0,'数据-取费表'!K8+'数据-取费表'!S8)</f>
        <v>0</v>
      </c>
      <c r="F8" s="2578" t="s">
        <v>2521</v>
      </c>
    </row>
    <row r="9" spans="1:6">
      <c r="A9" s="2576">
        <f>'数据-取费表'!AN9</f>
        <v>0</v>
      </c>
      <c r="B9" s="2575" t="e">
        <f ca="1">IF(F9="是",'数据-取费表'!AO9,0)</f>
        <v>#REF!</v>
      </c>
      <c r="C9" s="2566" t="s">
        <v>2515</v>
      </c>
      <c r="D9" s="2569"/>
      <c r="E9" s="2577">
        <f>IF(OR(A9=0,F9="否"),0,'数据-取费表'!K9+'数据-取费表'!S9)</f>
        <v>0</v>
      </c>
      <c r="F9" s="2578" t="s">
        <v>2521</v>
      </c>
    </row>
    <row r="10" spans="1:6">
      <c r="A10" s="2576">
        <f>'数据-取费表'!AN10</f>
        <v>0</v>
      </c>
      <c r="B10" s="2575" t="e">
        <f ca="1">IF(F10="是",'数据-取费表'!AO10,0)</f>
        <v>#REF!</v>
      </c>
      <c r="C10" s="2566" t="s">
        <v>2515</v>
      </c>
      <c r="D10" s="2569"/>
      <c r="E10" s="2577">
        <f>IF(OR(A10=0,F10="否"),0,'数据-取费表'!K10+'数据-取费表'!S10)</f>
        <v>0</v>
      </c>
      <c r="F10" s="2578" t="s">
        <v>2521</v>
      </c>
    </row>
    <row r="11" spans="1:6">
      <c r="A11" s="2576">
        <f>'数据-取费表'!AN11</f>
        <v>0</v>
      </c>
      <c r="B11" s="2575" t="e">
        <f ca="1">IF(F11="是",'数据-取费表'!AO11,0)</f>
        <v>#REF!</v>
      </c>
      <c r="C11" s="2566" t="s">
        <v>2515</v>
      </c>
      <c r="D11" s="2569"/>
      <c r="E11" s="2577">
        <f>IF(OR(A11=0,F11="否"),0,'数据-取费表'!K11+'数据-取费表'!S11)</f>
        <v>0</v>
      </c>
      <c r="F11" s="2578" t="s">
        <v>2521</v>
      </c>
    </row>
    <row r="12" spans="1:6">
      <c r="A12" s="2576">
        <f>'数据-取费表'!AN12</f>
        <v>0</v>
      </c>
      <c r="B12" s="2575" t="e">
        <f ca="1">IF(F12="是",'数据-取费表'!AO12,0)</f>
        <v>#REF!</v>
      </c>
      <c r="C12" s="2566" t="s">
        <v>2515</v>
      </c>
      <c r="D12" s="2569"/>
      <c r="E12" s="2577">
        <f>IF(OR(A12=0,F12="否"),0,'数据-取费表'!K12+'数据-取费表'!S12)</f>
        <v>0</v>
      </c>
      <c r="F12" s="2578" t="s">
        <v>2521</v>
      </c>
    </row>
    <row r="13" spans="1:6" ht="15" thickBot="1">
      <c r="A13" s="2579">
        <f>'数据-取费表'!AN13</f>
        <v>0</v>
      </c>
      <c r="B13" s="2575" t="e">
        <f ca="1">IF(F13="是",'数据-取费表'!AO13,0)</f>
        <v>#REF!</v>
      </c>
      <c r="C13" s="2580" t="s">
        <v>2515</v>
      </c>
      <c r="D13" s="2581"/>
      <c r="E13" s="2577">
        <f>IF(OR(A13=0,F13="否"),0,'数据-取费表'!K13+'数据-取费表'!S13)</f>
        <v>0</v>
      </c>
      <c r="F13" s="2578"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E46" sqref="E4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2638</v>
      </c>
      <c r="C1" s="1634" t="s">
        <v>2526</v>
      </c>
      <c r="D1" s="1621" t="s">
        <v>3068</v>
      </c>
      <c r="E1" s="2657"/>
      <c r="F1" s="2584" t="s">
        <v>3111</v>
      </c>
      <c r="G1" s="1631" t="s">
        <v>2639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2323</v>
      </c>
      <c r="B2" s="1418">
        <f>IF(C2="——",ROUND(C49*D3/10000,0),ROUND(C49*D3/10000,0)-D2)</f>
        <v>5434</v>
      </c>
      <c r="C2" s="2586" t="s">
        <v>70</v>
      </c>
      <c r="D2" s="1365" t="e">
        <f ca="1">SUMIF(INDIRECT("'"&amp;F2&amp;"'"&amp;"!A:A"),"承租人权益价值",INDIRECT("'"&amp;F2&amp;"'"&amp;"!c:c"))</f>
        <v>#REF!</v>
      </c>
      <c r="E2" s="2587" t="s">
        <v>2324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2325</v>
      </c>
      <c r="B3" s="609">
        <f>IF(C2="——",C49,ROUND(B2*10000/D3,0))</f>
        <v>40537</v>
      </c>
      <c r="C3" s="400" t="s">
        <v>2640</v>
      </c>
      <c r="D3" s="399">
        <f>IF(D1="",'数据-汇总表'!E3,SUMIF('数据-汇总表'!$C19:$C33,D1,'数据-汇总表'!$E19:$E33))</f>
        <v>1340.42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30" t="s">
        <v>2643</v>
      </c>
      <c r="S4" s="3231"/>
      <c r="T4" s="3230" t="s">
        <v>2644</v>
      </c>
      <c r="U4" s="3231"/>
      <c r="V4" s="3255" t="s">
        <v>2645</v>
      </c>
      <c r="W4" s="3255"/>
      <c r="X4" s="1813"/>
      <c r="Y4" s="3230" t="s">
        <v>2647</v>
      </c>
      <c r="Z4" s="3231"/>
      <c r="AA4" s="3225" t="s">
        <v>2643</v>
      </c>
      <c r="AB4" s="3255" t="s">
        <v>2644</v>
      </c>
      <c r="AC4" s="3225" t="s">
        <v>2645</v>
      </c>
    </row>
    <row r="5" spans="1:29" ht="15">
      <c r="A5" s="404"/>
      <c r="B5" s="405"/>
      <c r="C5" s="3273" t="s">
        <v>3143</v>
      </c>
      <c r="D5" s="3237"/>
      <c r="E5" s="3272" t="s">
        <v>3161</v>
      </c>
      <c r="F5" s="3235"/>
      <c r="G5" s="3273" t="s">
        <v>3148</v>
      </c>
      <c r="H5" s="3237"/>
      <c r="I5" s="3273" t="s">
        <v>3208</v>
      </c>
      <c r="J5" s="3237"/>
      <c r="K5" s="610"/>
      <c r="L5" s="1130"/>
      <c r="M5" s="1131"/>
      <c r="N5" s="1131"/>
      <c r="O5" s="1131"/>
      <c r="P5" s="3249"/>
      <c r="Q5" s="3250"/>
      <c r="R5" s="3232"/>
      <c r="S5" s="3233"/>
      <c r="T5" s="3232"/>
      <c r="U5" s="3233"/>
      <c r="V5" s="3255"/>
      <c r="W5" s="3255"/>
      <c r="X5" s="1813"/>
      <c r="Y5" s="3232"/>
      <c r="Z5" s="3233"/>
      <c r="AA5" s="3226"/>
      <c r="AB5" s="3255"/>
      <c r="AC5" s="3226"/>
    </row>
    <row r="6" spans="1:29" ht="15.75" thickBot="1">
      <c r="A6" s="406"/>
      <c r="B6" s="407"/>
      <c r="C6" s="3238" t="s">
        <v>2542</v>
      </c>
      <c r="D6" s="3239"/>
      <c r="E6" s="3240" t="s">
        <v>2542</v>
      </c>
      <c r="F6" s="3241"/>
      <c r="G6" s="3238" t="s">
        <v>2542</v>
      </c>
      <c r="H6" s="3239"/>
      <c r="I6" s="3238" t="s">
        <v>2542</v>
      </c>
      <c r="J6" s="3239"/>
      <c r="K6" s="610" t="s">
        <v>2543</v>
      </c>
      <c r="L6" s="1130"/>
      <c r="M6" s="1131"/>
      <c r="N6" s="1131"/>
      <c r="O6" s="1131"/>
      <c r="P6" s="3251"/>
      <c r="Q6" s="3252"/>
      <c r="R6" s="3232"/>
      <c r="S6" s="3233"/>
      <c r="T6" s="3253"/>
      <c r="U6" s="3254"/>
      <c r="V6" s="3255"/>
      <c r="W6" s="3255"/>
      <c r="X6" s="1813"/>
      <c r="Y6" s="3253"/>
      <c r="Z6" s="3254"/>
      <c r="AA6" s="3227"/>
      <c r="AB6" s="3255"/>
      <c r="AC6" s="3227"/>
    </row>
    <row r="7" spans="1:29" s="117" customFormat="1" ht="15.75" thickBot="1">
      <c r="A7" s="408" t="s">
        <v>2544</v>
      </c>
      <c r="B7" s="409"/>
      <c r="C7" s="410">
        <f>'数据-取费表'!B2</f>
        <v>43734</v>
      </c>
      <c r="D7" s="411">
        <v>100</v>
      </c>
      <c r="E7" s="412">
        <f>C7</f>
        <v>43734</v>
      </c>
      <c r="F7" s="413">
        <f>SUMIF(58:58,YEAR(E7)&amp;"-"&amp;MONTH(E7),59:59)</f>
        <v>100</v>
      </c>
      <c r="G7" s="412">
        <f>E7</f>
        <v>43734</v>
      </c>
      <c r="H7" s="411">
        <f>SUMIF(58:58,YEAR(G7)&amp;"-"&amp;MONTH(G7),59:59)</f>
        <v>100</v>
      </c>
      <c r="I7" s="412">
        <f>G7</f>
        <v>43734</v>
      </c>
      <c r="J7" s="411">
        <f>SUMIF(58:58,YEAR(I7)&amp;"-"&amp;MONTH(I7),59:59)</f>
        <v>100</v>
      </c>
      <c r="K7" s="611"/>
      <c r="L7" s="1132"/>
      <c r="M7" s="1133"/>
      <c r="N7" s="1133"/>
      <c r="O7" s="1133"/>
      <c r="P7" s="3228" t="s">
        <v>2545</v>
      </c>
      <c r="Q7" s="3256"/>
      <c r="R7" s="770" t="s">
        <v>17</v>
      </c>
      <c r="S7" s="771">
        <f t="shared" ref="S7:S15" si="0">F7</f>
        <v>100</v>
      </c>
      <c r="T7" s="770" t="s">
        <v>17</v>
      </c>
      <c r="U7" s="771">
        <f t="shared" ref="U7:U15" si="1">H7</f>
        <v>100</v>
      </c>
      <c r="V7" s="770" t="s">
        <v>17</v>
      </c>
      <c r="W7" s="771">
        <f t="shared" ref="W7:W15" si="2">J7</f>
        <v>100</v>
      </c>
      <c r="X7" s="772"/>
      <c r="Y7" s="3228" t="s">
        <v>2545</v>
      </c>
      <c r="Z7" s="3229"/>
      <c r="AA7" s="773">
        <f>D7/F7</f>
        <v>1</v>
      </c>
      <c r="AB7" s="773">
        <f>D7/H7</f>
        <v>1</v>
      </c>
      <c r="AC7" s="773">
        <f>D7/J7</f>
        <v>1</v>
      </c>
    </row>
    <row r="8" spans="1:29" s="117" customFormat="1" ht="15.75" thickBot="1">
      <c r="A8" s="408" t="s">
        <v>2546</v>
      </c>
      <c r="B8" s="409"/>
      <c r="C8" s="414" t="s">
        <v>2648</v>
      </c>
      <c r="D8" s="411">
        <v>100</v>
      </c>
      <c r="E8" s="414" t="s">
        <v>3144</v>
      </c>
      <c r="F8" s="413">
        <f>SUMIF(61:61,E8,62:62)-SUMIF(61:61,C8,62:62)+100</f>
        <v>100</v>
      </c>
      <c r="G8" s="414" t="s">
        <v>3144</v>
      </c>
      <c r="H8" s="411">
        <f>SUMIF(61:61,G8,62:62)-SUMIF(61:61,C8,62:62)+100</f>
        <v>100</v>
      </c>
      <c r="I8" s="414" t="s">
        <v>3144</v>
      </c>
      <c r="J8" s="411">
        <f>SUMIF(61:61,I8,62:62)-SUMIF(61:61,C8,62:62)+100</f>
        <v>100</v>
      </c>
      <c r="K8" s="611"/>
      <c r="L8" s="1132"/>
      <c r="M8" s="1133"/>
      <c r="N8" s="1133"/>
      <c r="O8" s="1133"/>
      <c r="P8" s="3228" t="s">
        <v>2548</v>
      </c>
      <c r="Q8" s="3229"/>
      <c r="R8" s="770" t="s">
        <v>17</v>
      </c>
      <c r="S8" s="771">
        <f t="shared" si="0"/>
        <v>100</v>
      </c>
      <c r="T8" s="770" t="s">
        <v>17</v>
      </c>
      <c r="U8" s="771">
        <f t="shared" si="1"/>
        <v>100</v>
      </c>
      <c r="V8" s="770" t="s">
        <v>17</v>
      </c>
      <c r="W8" s="771">
        <f t="shared" si="2"/>
        <v>100</v>
      </c>
      <c r="X8" s="772"/>
      <c r="Y8" s="3228" t="s">
        <v>2548</v>
      </c>
      <c r="Z8" s="3229"/>
      <c r="AA8" s="773">
        <f t="shared" ref="AA8:AA46" si="3">D8/F8</f>
        <v>1</v>
      </c>
      <c r="AB8" s="773">
        <f t="shared" ref="AB8:AB46" si="4">D8/H8</f>
        <v>1</v>
      </c>
      <c r="AC8" s="773">
        <f t="shared" ref="AC8:AC46" si="5">D8/J8</f>
        <v>1</v>
      </c>
    </row>
    <row r="9" spans="1:29" s="117" customFormat="1">
      <c r="A9" s="415" t="s">
        <v>2549</v>
      </c>
      <c r="B9" s="71" t="s">
        <v>2550</v>
      </c>
      <c r="C9" s="2990" t="s">
        <v>3145</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242" t="s">
        <v>2551</v>
      </c>
      <c r="Q9" s="1795" t="str">
        <f t="shared" ref="Q9:Q15" si="6">B9</f>
        <v>用途</v>
      </c>
      <c r="R9" s="770" t="s">
        <v>17</v>
      </c>
      <c r="S9" s="771">
        <f t="shared" si="0"/>
        <v>100</v>
      </c>
      <c r="T9" s="770" t="s">
        <v>17</v>
      </c>
      <c r="U9" s="771">
        <f t="shared" si="1"/>
        <v>100</v>
      </c>
      <c r="V9" s="770" t="s">
        <v>17</v>
      </c>
      <c r="W9" s="771">
        <f t="shared" si="2"/>
        <v>100</v>
      </c>
      <c r="X9" s="772"/>
      <c r="Y9" s="3076" t="s">
        <v>2552</v>
      </c>
      <c r="Z9" s="55" t="str">
        <f t="shared" ref="Z9:Z15" si="7">Q9</f>
        <v>用途</v>
      </c>
      <c r="AA9" s="773">
        <f t="shared" si="3"/>
        <v>1</v>
      </c>
      <c r="AB9" s="773">
        <f t="shared" si="4"/>
        <v>1</v>
      </c>
      <c r="AC9" s="773">
        <f t="shared" si="5"/>
        <v>1</v>
      </c>
    </row>
    <row r="10" spans="1:29" s="427" customFormat="1" ht="27">
      <c r="A10" s="421"/>
      <c r="B10" s="422" t="s">
        <v>2553</v>
      </c>
      <c r="C10" s="423" t="s">
        <v>3146</v>
      </c>
      <c r="D10" s="136">
        <v>100</v>
      </c>
      <c r="E10" s="424" t="s">
        <v>3168</v>
      </c>
      <c r="F10" s="425">
        <f>SUMIF(65:65,E10,66:66)-SUMIF(65:65,C10,66:66)+100</f>
        <v>97</v>
      </c>
      <c r="G10" s="424" t="s">
        <v>3168</v>
      </c>
      <c r="H10" s="136">
        <f>SUMIF(65:65,G10,66:66)-SUMIF(65:65,C10,66:66)+100</f>
        <v>97</v>
      </c>
      <c r="I10" s="424" t="s">
        <v>3146</v>
      </c>
      <c r="J10" s="136">
        <f>SUMIF(65:65,I10,66:66)-SUMIF(65:65,C10,66:66)+100</f>
        <v>100</v>
      </c>
      <c r="K10" s="612">
        <v>3</v>
      </c>
      <c r="L10" s="1135"/>
      <c r="M10" s="1136"/>
      <c r="N10" s="1136"/>
      <c r="O10" s="1136"/>
      <c r="P10" s="3242"/>
      <c r="Q10" s="1795" t="str">
        <f t="shared" si="6"/>
        <v>土地使用年限（年）</v>
      </c>
      <c r="R10" s="770" t="s">
        <v>17</v>
      </c>
      <c r="S10" s="771">
        <f t="shared" si="0"/>
        <v>97</v>
      </c>
      <c r="T10" s="770" t="s">
        <v>17</v>
      </c>
      <c r="U10" s="771">
        <f t="shared" si="1"/>
        <v>97</v>
      </c>
      <c r="V10" s="770" t="s">
        <v>17</v>
      </c>
      <c r="W10" s="771">
        <f t="shared" si="2"/>
        <v>100</v>
      </c>
      <c r="X10" s="772"/>
      <c r="Y10" s="3076"/>
      <c r="Z10" s="55" t="str">
        <f t="shared" si="7"/>
        <v>土地使用年限（年）</v>
      </c>
      <c r="AA10" s="773">
        <f t="shared" si="3"/>
        <v>1.0309278350515463</v>
      </c>
      <c r="AB10" s="773">
        <f t="shared" si="4"/>
        <v>1.0309278350515463</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2"/>
      <c r="Q11" s="1795" t="str">
        <f t="shared" si="6"/>
        <v>容积率</v>
      </c>
      <c r="R11" s="770" t="s">
        <v>17</v>
      </c>
      <c r="S11" s="771">
        <f t="shared" si="0"/>
        <v>100</v>
      </c>
      <c r="T11" s="770" t="s">
        <v>17</v>
      </c>
      <c r="U11" s="771">
        <f t="shared" si="1"/>
        <v>100</v>
      </c>
      <c r="V11" s="770" t="s">
        <v>17</v>
      </c>
      <c r="W11" s="771">
        <f t="shared" si="2"/>
        <v>100</v>
      </c>
      <c r="X11" s="772"/>
      <c r="Y11" s="3076"/>
      <c r="Z11" s="55" t="str">
        <f t="shared" si="7"/>
        <v>容积率</v>
      </c>
      <c r="AA11" s="773">
        <f t="shared" si="3"/>
        <v>1</v>
      </c>
      <c r="AB11" s="773">
        <f t="shared" si="4"/>
        <v>1</v>
      </c>
      <c r="AC11" s="773">
        <f t="shared" si="5"/>
        <v>1</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2"/>
      <c r="Q12" s="1795">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2"/>
      <c r="Q13" s="1795">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2"/>
      <c r="Q14" s="1795">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773">
        <f t="shared" si="5"/>
        <v>1</v>
      </c>
    </row>
    <row r="15" spans="1:29" ht="15">
      <c r="A15" s="440" t="s">
        <v>2555</v>
      </c>
      <c r="B15" s="69" t="s">
        <v>2649</v>
      </c>
      <c r="C15" s="2603" t="str">
        <f>估价对象房地状况!C4</f>
        <v>一般</v>
      </c>
      <c r="D15" s="441">
        <v>100</v>
      </c>
      <c r="E15" s="442"/>
      <c r="F15" s="443">
        <f>SUMIF(76:76,E16,77:77)-SUMIF(76:76,C16,77:77)+100</f>
        <v>102</v>
      </c>
      <c r="G15" s="444"/>
      <c r="H15" s="441">
        <f>SUMIF(76:76,G16,77:77)-SUMIF(76:76,C16,77:77)+100</f>
        <v>100</v>
      </c>
      <c r="I15" s="442"/>
      <c r="J15" s="441">
        <f>SUMIF(76:76,I16,77:77)-SUMIF(76:76,C16,77:77)+100</f>
        <v>100</v>
      </c>
      <c r="K15" s="614">
        <v>2</v>
      </c>
      <c r="L15" s="1140"/>
      <c r="M15" s="1131"/>
      <c r="N15" s="1131"/>
      <c r="O15" s="1131"/>
      <c r="P15" s="3269" t="s">
        <v>2556</v>
      </c>
      <c r="Q15" s="1810" t="str">
        <f t="shared" si="6"/>
        <v>商业繁华度</v>
      </c>
      <c r="R15" s="774" t="s">
        <v>17</v>
      </c>
      <c r="S15" s="775">
        <f t="shared" si="0"/>
        <v>102</v>
      </c>
      <c r="T15" s="774" t="s">
        <v>17</v>
      </c>
      <c r="U15" s="775">
        <f t="shared" si="1"/>
        <v>100</v>
      </c>
      <c r="V15" s="774" t="s">
        <v>17</v>
      </c>
      <c r="W15" s="775">
        <f t="shared" si="2"/>
        <v>100</v>
      </c>
      <c r="X15" s="1813"/>
      <c r="Y15" s="3262" t="s">
        <v>2556</v>
      </c>
      <c r="Z15" s="1814" t="str">
        <f t="shared" si="7"/>
        <v>商业繁华度</v>
      </c>
      <c r="AA15" s="1811">
        <f t="shared" si="3"/>
        <v>0.98039215686274506</v>
      </c>
      <c r="AB15" s="1811">
        <f t="shared" si="4"/>
        <v>1</v>
      </c>
      <c r="AC15" s="1811">
        <f t="shared" si="5"/>
        <v>1</v>
      </c>
    </row>
    <row r="16" spans="1:29" ht="15">
      <c r="A16" s="428"/>
      <c r="B16" s="446"/>
      <c r="C16" s="447" t="s">
        <v>3108</v>
      </c>
      <c r="D16" s="448"/>
      <c r="E16" s="447" t="s">
        <v>3104</v>
      </c>
      <c r="F16" s="449"/>
      <c r="G16" s="447" t="s">
        <v>3108</v>
      </c>
      <c r="H16" s="450"/>
      <c r="I16" s="447" t="s">
        <v>3108</v>
      </c>
      <c r="J16" s="448"/>
      <c r="K16" s="615"/>
      <c r="L16" s="1140"/>
      <c r="M16" s="1131"/>
      <c r="N16" s="1131"/>
      <c r="O16" s="1131"/>
      <c r="P16" s="3270"/>
      <c r="Q16" s="1810"/>
      <c r="R16" s="774"/>
      <c r="S16" s="775"/>
      <c r="T16" s="774"/>
      <c r="U16" s="775"/>
      <c r="V16" s="774"/>
      <c r="W16" s="775"/>
      <c r="X16" s="1813"/>
      <c r="Y16" s="3263"/>
      <c r="Z16" s="1814"/>
      <c r="AA16" s="1811">
        <v>1</v>
      </c>
      <c r="AB16" s="1811">
        <v>1</v>
      </c>
      <c r="AC16" s="1811">
        <v>1</v>
      </c>
    </row>
    <row r="17" spans="1:29" ht="15">
      <c r="A17" s="428"/>
      <c r="B17" s="451" t="s">
        <v>2093</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70"/>
      <c r="Q17" s="1810" t="str">
        <f>B17</f>
        <v>交通便捷度</v>
      </c>
      <c r="R17" s="774" t="s">
        <v>17</v>
      </c>
      <c r="S17" s="775">
        <f>F17</f>
        <v>100</v>
      </c>
      <c r="T17" s="774" t="s">
        <v>17</v>
      </c>
      <c r="U17" s="775">
        <f>H17</f>
        <v>100</v>
      </c>
      <c r="V17" s="774" t="s">
        <v>17</v>
      </c>
      <c r="W17" s="775">
        <f>J17</f>
        <v>100</v>
      </c>
      <c r="X17" s="1813"/>
      <c r="Y17" s="3263"/>
      <c r="Z17" s="1814" t="str">
        <f>Q17</f>
        <v>交通便捷度</v>
      </c>
      <c r="AA17" s="1811">
        <f t="shared" si="3"/>
        <v>1</v>
      </c>
      <c r="AB17" s="1811">
        <f t="shared" si="4"/>
        <v>1</v>
      </c>
      <c r="AC17" s="1811">
        <f t="shared" si="5"/>
        <v>1</v>
      </c>
    </row>
    <row r="18" spans="1:29" ht="15">
      <c r="A18" s="428"/>
      <c r="B18" s="456"/>
      <c r="C18" s="2608" t="s">
        <v>3104</v>
      </c>
      <c r="D18" s="450"/>
      <c r="E18" s="2608" t="s">
        <v>3104</v>
      </c>
      <c r="F18" s="453"/>
      <c r="G18" s="2608" t="s">
        <v>3104</v>
      </c>
      <c r="H18" s="448"/>
      <c r="I18" s="2608" t="s">
        <v>3104</v>
      </c>
      <c r="J18" s="448"/>
      <c r="K18" s="615"/>
      <c r="L18" s="1140"/>
      <c r="M18" s="1131"/>
      <c r="N18" s="1131"/>
      <c r="O18" s="1131"/>
      <c r="P18" s="3270"/>
      <c r="Q18" s="1810"/>
      <c r="R18" s="774"/>
      <c r="S18" s="775"/>
      <c r="T18" s="774"/>
      <c r="U18" s="775"/>
      <c r="V18" s="774"/>
      <c r="W18" s="775"/>
      <c r="X18" s="1813"/>
      <c r="Y18" s="3263"/>
      <c r="Z18" s="1814"/>
      <c r="AA18" s="1811">
        <v>1</v>
      </c>
      <c r="AB18" s="1811">
        <v>1</v>
      </c>
      <c r="AC18" s="1811">
        <v>1</v>
      </c>
    </row>
    <row r="19" spans="1:29" ht="15">
      <c r="A19" s="428"/>
      <c r="B19" s="451" t="s">
        <v>2650</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70"/>
      <c r="Q19" s="1810" t="str">
        <f>B19</f>
        <v>公共配套设施</v>
      </c>
      <c r="R19" s="774" t="s">
        <v>17</v>
      </c>
      <c r="S19" s="775">
        <f>F19</f>
        <v>100</v>
      </c>
      <c r="T19" s="774" t="s">
        <v>17</v>
      </c>
      <c r="U19" s="775">
        <f>H19</f>
        <v>100</v>
      </c>
      <c r="V19" s="774" t="s">
        <v>17</v>
      </c>
      <c r="W19" s="775">
        <f>J19</f>
        <v>100</v>
      </c>
      <c r="X19" s="1813"/>
      <c r="Y19" s="3263"/>
      <c r="Z19" s="1814" t="str">
        <f>Q19</f>
        <v>公共配套设施</v>
      </c>
      <c r="AA19" s="1811">
        <f t="shared" si="3"/>
        <v>1</v>
      </c>
      <c r="AB19" s="1811">
        <f t="shared" si="4"/>
        <v>1</v>
      </c>
      <c r="AC19" s="1811">
        <f t="shared" si="5"/>
        <v>1</v>
      </c>
    </row>
    <row r="20" spans="1:29" ht="15">
      <c r="A20" s="428"/>
      <c r="B20" s="456"/>
      <c r="C20" s="447" t="s">
        <v>3104</v>
      </c>
      <c r="D20" s="448"/>
      <c r="E20" s="447" t="s">
        <v>3104</v>
      </c>
      <c r="F20" s="449"/>
      <c r="G20" s="447" t="s">
        <v>3104</v>
      </c>
      <c r="H20" s="448"/>
      <c r="I20" s="447" t="s">
        <v>3104</v>
      </c>
      <c r="J20" s="448"/>
      <c r="K20" s="615"/>
      <c r="L20" s="1140"/>
      <c r="M20" s="1131"/>
      <c r="N20" s="1131"/>
      <c r="O20" s="1131"/>
      <c r="P20" s="3270"/>
      <c r="Q20" s="1810"/>
      <c r="R20" s="774"/>
      <c r="S20" s="775"/>
      <c r="T20" s="774"/>
      <c r="U20" s="775"/>
      <c r="V20" s="774"/>
      <c r="W20" s="775"/>
      <c r="X20" s="1813"/>
      <c r="Y20" s="3263"/>
      <c r="Z20" s="1814"/>
      <c r="AA20" s="1811">
        <v>1</v>
      </c>
      <c r="AB20" s="1811">
        <v>1</v>
      </c>
      <c r="AC20" s="1811">
        <v>1</v>
      </c>
    </row>
    <row r="21" spans="1:29" ht="15">
      <c r="A21" s="428"/>
      <c r="B21" s="1384" t="s">
        <v>2651</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70"/>
      <c r="Q21" s="1810" t="str">
        <f>B21</f>
        <v>基础设施水平</v>
      </c>
      <c r="R21" s="774" t="s">
        <v>17</v>
      </c>
      <c r="S21" s="775">
        <f>F21</f>
        <v>100</v>
      </c>
      <c r="T21" s="774" t="s">
        <v>17</v>
      </c>
      <c r="U21" s="775">
        <f>H21</f>
        <v>100</v>
      </c>
      <c r="V21" s="774" t="s">
        <v>17</v>
      </c>
      <c r="W21" s="775">
        <f>J21</f>
        <v>100</v>
      </c>
      <c r="X21" s="1813"/>
      <c r="Y21" s="3263"/>
      <c r="Z21" s="1814" t="str">
        <f>Q21</f>
        <v>基础设施水平</v>
      </c>
      <c r="AA21" s="1811">
        <f t="shared" ref="AA21" si="8">D21/F21</f>
        <v>1</v>
      </c>
      <c r="AB21" s="1811">
        <f t="shared" ref="AB21" si="9">D21/H21</f>
        <v>1</v>
      </c>
      <c r="AC21" s="1811">
        <f t="shared" ref="AC21" si="10">D21/J21</f>
        <v>1</v>
      </c>
    </row>
    <row r="22" spans="1:29" ht="15">
      <c r="A22" s="428"/>
      <c r="B22" s="1384"/>
      <c r="C22" s="2608" t="s">
        <v>3106</v>
      </c>
      <c r="D22" s="448"/>
      <c r="E22" s="2608" t="s">
        <v>3106</v>
      </c>
      <c r="F22" s="449"/>
      <c r="G22" s="2608" t="s">
        <v>3106</v>
      </c>
      <c r="H22" s="448"/>
      <c r="I22" s="2608" t="s">
        <v>3106</v>
      </c>
      <c r="J22" s="448"/>
      <c r="K22" s="1383"/>
      <c r="L22" s="1140"/>
      <c r="M22" s="1131"/>
      <c r="N22" s="1131"/>
      <c r="O22" s="1131"/>
      <c r="P22" s="3270"/>
      <c r="Q22" s="1810"/>
      <c r="R22" s="774"/>
      <c r="S22" s="775"/>
      <c r="T22" s="774"/>
      <c r="U22" s="775"/>
      <c r="V22" s="774"/>
      <c r="W22" s="775"/>
      <c r="X22" s="1813"/>
      <c r="Y22" s="3263"/>
      <c r="Z22" s="1814"/>
      <c r="AA22" s="1811">
        <v>1</v>
      </c>
      <c r="AB22" s="1811">
        <v>1</v>
      </c>
      <c r="AC22" s="1811">
        <v>1</v>
      </c>
    </row>
    <row r="23" spans="1:29" ht="15">
      <c r="A23" s="428"/>
      <c r="B23" s="451" t="s">
        <v>2098</v>
      </c>
      <c r="C23" s="2664"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70"/>
      <c r="Q23" s="1810" t="str">
        <f>B23</f>
        <v>自然及人文环境</v>
      </c>
      <c r="R23" s="774" t="s">
        <v>17</v>
      </c>
      <c r="S23" s="775">
        <f>F23</f>
        <v>100</v>
      </c>
      <c r="T23" s="774" t="s">
        <v>17</v>
      </c>
      <c r="U23" s="775">
        <f>H23</f>
        <v>100</v>
      </c>
      <c r="V23" s="774" t="s">
        <v>17</v>
      </c>
      <c r="W23" s="775">
        <f>J23</f>
        <v>100</v>
      </c>
      <c r="X23" s="1813"/>
      <c r="Y23" s="3263"/>
      <c r="Z23" s="1814" t="str">
        <f>Q23</f>
        <v>自然及人文环境</v>
      </c>
      <c r="AA23" s="1811">
        <f t="shared" si="3"/>
        <v>1</v>
      </c>
      <c r="AB23" s="1811">
        <f t="shared" si="4"/>
        <v>1</v>
      </c>
      <c r="AC23" s="1811">
        <f t="shared" si="5"/>
        <v>1</v>
      </c>
    </row>
    <row r="24" spans="1:29" ht="15">
      <c r="A24" s="428"/>
      <c r="B24" s="456"/>
      <c r="C24" s="447" t="s">
        <v>3104</v>
      </c>
      <c r="D24" s="448"/>
      <c r="E24" s="447" t="s">
        <v>3104</v>
      </c>
      <c r="F24" s="449"/>
      <c r="G24" s="447" t="s">
        <v>3104</v>
      </c>
      <c r="H24" s="448"/>
      <c r="I24" s="447" t="s">
        <v>3104</v>
      </c>
      <c r="J24" s="448"/>
      <c r="K24" s="615"/>
      <c r="L24" s="1140"/>
      <c r="M24" s="1131"/>
      <c r="N24" s="1131"/>
      <c r="O24" s="1131"/>
      <c r="P24" s="3270"/>
      <c r="Q24" s="1810"/>
      <c r="R24" s="774"/>
      <c r="S24" s="775"/>
      <c r="T24" s="774"/>
      <c r="U24" s="775"/>
      <c r="V24" s="774"/>
      <c r="W24" s="775"/>
      <c r="X24" s="1813"/>
      <c r="Y24" s="3263"/>
      <c r="Z24" s="1814"/>
      <c r="AA24" s="1811">
        <v>1</v>
      </c>
      <c r="AB24" s="1811">
        <v>1</v>
      </c>
      <c r="AC24" s="1811">
        <v>1</v>
      </c>
    </row>
    <row r="25" spans="1:29" ht="15">
      <c r="A25" s="428"/>
      <c r="B25" s="422" t="s">
        <v>2652</v>
      </c>
      <c r="C25" s="616" t="s">
        <v>3149</v>
      </c>
      <c r="D25" s="435">
        <v>100</v>
      </c>
      <c r="E25" s="616" t="s">
        <v>3149</v>
      </c>
      <c r="F25" s="461">
        <f>SUMIF(86:86,E25,87:87)-SUMIF(86:86,C25,87:87)+100</f>
        <v>100</v>
      </c>
      <c r="G25" s="616" t="s">
        <v>3149</v>
      </c>
      <c r="H25" s="435">
        <f>SUMIF(86:86,G25,87:87)-SUMIF(86:86,C25,87:87)+100</f>
        <v>100</v>
      </c>
      <c r="I25" s="616" t="s">
        <v>3149</v>
      </c>
      <c r="J25" s="435">
        <f>SUMIF(86:86,I25,87:87)-SUMIF(86:86,C25,87:87)+100</f>
        <v>100</v>
      </c>
      <c r="K25" s="612">
        <v>2</v>
      </c>
      <c r="L25" s="1140"/>
      <c r="M25" s="1131"/>
      <c r="N25" s="1131"/>
      <c r="O25" s="1131"/>
      <c r="P25" s="3270"/>
      <c r="Q25" s="1810" t="str">
        <f t="shared" ref="Q25:Q46" si="11">B25</f>
        <v>临街状况</v>
      </c>
      <c r="R25" s="774" t="s">
        <v>17</v>
      </c>
      <c r="S25" s="775">
        <f>F25</f>
        <v>100</v>
      </c>
      <c r="T25" s="774" t="s">
        <v>17</v>
      </c>
      <c r="U25" s="775">
        <f>H25</f>
        <v>100</v>
      </c>
      <c r="V25" s="774" t="s">
        <v>17</v>
      </c>
      <c r="W25" s="775">
        <f>J25</f>
        <v>100</v>
      </c>
      <c r="X25" s="1813"/>
      <c r="Y25" s="3263"/>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0"/>
      <c r="Q26" s="1810" t="str">
        <f t="shared" si="11"/>
        <v>平面位置/可视性</v>
      </c>
      <c r="R26" s="774" t="s">
        <v>17</v>
      </c>
      <c r="S26" s="775">
        <f>F26</f>
        <v>100</v>
      </c>
      <c r="T26" s="774" t="s">
        <v>17</v>
      </c>
      <c r="U26" s="775">
        <f>H26</f>
        <v>100</v>
      </c>
      <c r="V26" s="774" t="s">
        <v>17</v>
      </c>
      <c r="W26" s="775">
        <f>J26</f>
        <v>100</v>
      </c>
      <c r="X26" s="1813"/>
      <c r="Y26" s="3263"/>
      <c r="Z26" s="1814" t="str">
        <f>Q26</f>
        <v>平面位置/可视性</v>
      </c>
      <c r="AA26" s="1811">
        <f t="shared" si="3"/>
        <v>1</v>
      </c>
      <c r="AB26" s="1811">
        <f t="shared" si="4"/>
        <v>1</v>
      </c>
      <c r="AC26" s="1811">
        <f t="shared" si="5"/>
        <v>1</v>
      </c>
    </row>
    <row r="27" spans="1:29" s="117" customFormat="1" ht="15" hidden="1">
      <c r="A27" s="431"/>
      <c r="B27" s="451" t="s">
        <v>2654</v>
      </c>
      <c r="C27" s="2665" t="s">
        <v>3108</v>
      </c>
      <c r="D27" s="462">
        <v>100</v>
      </c>
      <c r="E27" s="2665" t="s">
        <v>3108</v>
      </c>
      <c r="F27" s="464">
        <f>SUMIF(90:90,E27,91:91)-SUMIF(90:90,C27,91:91)+100</f>
        <v>100</v>
      </c>
      <c r="G27" s="2665" t="s">
        <v>3108</v>
      </c>
      <c r="H27" s="462">
        <f>SUMIF(90:90,G27,91:91)-SUMIF(90:90,C27,91:91)+100</f>
        <v>100</v>
      </c>
      <c r="I27" s="2665" t="s">
        <v>3108</v>
      </c>
      <c r="J27" s="462">
        <f>SUMIF(90:90,I27,91:91)-SUMIF(90:90,C27,91:91)+100</f>
        <v>100</v>
      </c>
      <c r="K27" s="612">
        <v>2</v>
      </c>
      <c r="L27" s="1132"/>
      <c r="M27" s="1133"/>
      <c r="N27" s="1133"/>
      <c r="O27" s="1133"/>
      <c r="P27" s="3270"/>
      <c r="Q27" s="1795" t="str">
        <f t="shared" si="11"/>
        <v>人流量</v>
      </c>
      <c r="R27" s="770" t="s">
        <v>17</v>
      </c>
      <c r="S27" s="771">
        <f>F27</f>
        <v>100</v>
      </c>
      <c r="T27" s="770" t="s">
        <v>17</v>
      </c>
      <c r="U27" s="771">
        <f>H27</f>
        <v>100</v>
      </c>
      <c r="V27" s="770" t="s">
        <v>17</v>
      </c>
      <c r="W27" s="771">
        <f>J27</f>
        <v>100</v>
      </c>
      <c r="X27" s="772"/>
      <c r="Y27" s="3263"/>
      <c r="Z27" s="55" t="str">
        <f>Q27</f>
        <v>人流量</v>
      </c>
      <c r="AA27" s="1811">
        <f>D27/F27</f>
        <v>1</v>
      </c>
      <c r="AB27" s="1811">
        <f>D27/H27</f>
        <v>1</v>
      </c>
      <c r="AC27" s="1811">
        <f>D27/J27</f>
        <v>1</v>
      </c>
    </row>
    <row r="28" spans="1:29" ht="15">
      <c r="A28" s="428"/>
      <c r="B28" s="422" t="s">
        <v>2655</v>
      </c>
      <c r="C28" s="616" t="s">
        <v>3141</v>
      </c>
      <c r="D28" s="435">
        <v>100</v>
      </c>
      <c r="E28" s="616" t="s">
        <v>3163</v>
      </c>
      <c r="F28" s="461">
        <f>SUMIF(92:92,E28,93:93)-SUMIF(92:92,C28,93:93)+100</f>
        <v>110</v>
      </c>
      <c r="G28" s="616" t="s">
        <v>3163</v>
      </c>
      <c r="H28" s="435">
        <f>SUMIF(92:92,G28,93:93)-SUMIF(92:92,C28,93:93)+100</f>
        <v>110</v>
      </c>
      <c r="I28" s="616" t="s">
        <v>3163</v>
      </c>
      <c r="J28" s="435">
        <f>SUMIF(92:92,I28,93:93)-SUMIF(92:92,C28,93:93)+100</f>
        <v>110</v>
      </c>
      <c r="K28" s="613"/>
      <c r="L28" s="1140"/>
      <c r="M28" s="1131"/>
      <c r="N28" s="1131"/>
      <c r="O28" s="1131"/>
      <c r="P28" s="3270"/>
      <c r="Q28" s="1810" t="str">
        <f t="shared" si="11"/>
        <v>楼层</v>
      </c>
      <c r="R28" s="774" t="s">
        <v>17</v>
      </c>
      <c r="S28" s="775">
        <f t="shared" ref="S28:S46" si="12">F28</f>
        <v>110</v>
      </c>
      <c r="T28" s="774" t="s">
        <v>17</v>
      </c>
      <c r="U28" s="775">
        <f t="shared" ref="U28:U46" si="13">H28</f>
        <v>110</v>
      </c>
      <c r="V28" s="774" t="s">
        <v>17</v>
      </c>
      <c r="W28" s="775">
        <f t="shared" ref="W28:W46" si="14">J28</f>
        <v>110</v>
      </c>
      <c r="X28" s="1813"/>
      <c r="Y28" s="3263"/>
      <c r="Z28" s="1814" t="str">
        <f t="shared" ref="Z28:Z46" si="15">Q28</f>
        <v>楼层</v>
      </c>
      <c r="AA28" s="1811">
        <f t="shared" si="3"/>
        <v>0.90909090909090906</v>
      </c>
      <c r="AB28" s="1811">
        <f t="shared" si="4"/>
        <v>0.90909090909090906</v>
      </c>
      <c r="AC28" s="1811">
        <f t="shared" si="5"/>
        <v>0.90909090909090906</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0"/>
      <c r="Q29" s="1810">
        <f t="shared" si="11"/>
        <v>111</v>
      </c>
      <c r="R29" s="774" t="s">
        <v>17</v>
      </c>
      <c r="S29" s="775">
        <f t="shared" si="12"/>
        <v>100</v>
      </c>
      <c r="T29" s="774" t="s">
        <v>17</v>
      </c>
      <c r="U29" s="775">
        <f t="shared" si="13"/>
        <v>100</v>
      </c>
      <c r="V29" s="774" t="s">
        <v>17</v>
      </c>
      <c r="W29" s="775">
        <f t="shared" si="14"/>
        <v>100</v>
      </c>
      <c r="X29" s="1813"/>
      <c r="Y29" s="326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0"/>
      <c r="Q30" s="1810">
        <f t="shared" si="11"/>
        <v>111</v>
      </c>
      <c r="R30" s="774" t="s">
        <v>17</v>
      </c>
      <c r="S30" s="775">
        <f t="shared" si="12"/>
        <v>100</v>
      </c>
      <c r="T30" s="774" t="s">
        <v>17</v>
      </c>
      <c r="U30" s="775">
        <f t="shared" si="13"/>
        <v>100</v>
      </c>
      <c r="V30" s="774" t="s">
        <v>17</v>
      </c>
      <c r="W30" s="775">
        <f t="shared" si="14"/>
        <v>100</v>
      </c>
      <c r="X30" s="1813"/>
      <c r="Y30" s="326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0"/>
      <c r="Q31" s="1810">
        <f t="shared" si="11"/>
        <v>111</v>
      </c>
      <c r="R31" s="774" t="s">
        <v>17</v>
      </c>
      <c r="S31" s="775">
        <f t="shared" si="12"/>
        <v>100</v>
      </c>
      <c r="T31" s="774" t="s">
        <v>17</v>
      </c>
      <c r="U31" s="775">
        <f t="shared" si="13"/>
        <v>100</v>
      </c>
      <c r="V31" s="774" t="s">
        <v>17</v>
      </c>
      <c r="W31" s="775">
        <f t="shared" si="14"/>
        <v>100</v>
      </c>
      <c r="X31" s="1813"/>
      <c r="Y31" s="3263"/>
      <c r="Z31" s="1814">
        <f t="shared" si="15"/>
        <v>111</v>
      </c>
      <c r="AA31" s="1811">
        <f t="shared" si="3"/>
        <v>1</v>
      </c>
      <c r="AB31" s="1811">
        <f t="shared" si="4"/>
        <v>1</v>
      </c>
      <c r="AC31" s="1811">
        <f t="shared" si="5"/>
        <v>1</v>
      </c>
    </row>
    <row r="32" spans="1:29" ht="15">
      <c r="A32" s="440" t="s">
        <v>2559</v>
      </c>
      <c r="B32" s="71" t="s">
        <v>2656</v>
      </c>
      <c r="C32" s="2617" t="s">
        <v>3165</v>
      </c>
      <c r="D32" s="467">
        <v>100</v>
      </c>
      <c r="E32" s="3008" t="s">
        <v>3207</v>
      </c>
      <c r="F32" s="461">
        <f>SUMIF(100:100,E32,101:101)-SUMIF(100:100,C32,101:101)+100</f>
        <v>95</v>
      </c>
      <c r="G32" s="2617" t="s">
        <v>3156</v>
      </c>
      <c r="H32" s="435">
        <f>SUMIF(100:100,G32,101:101)-SUMIF(100:100,C32,101:101)+100</f>
        <v>95</v>
      </c>
      <c r="I32" s="2617" t="s">
        <v>3158</v>
      </c>
      <c r="J32" s="467">
        <f>SUMIF(100:100,I32,101:101)-SUMIF(100:100,C32,101:101)+100</f>
        <v>90</v>
      </c>
      <c r="K32" s="612">
        <v>5</v>
      </c>
      <c r="L32" s="1140"/>
      <c r="M32" s="1131"/>
      <c r="N32" s="1131"/>
      <c r="O32" s="1131"/>
      <c r="P32" s="3264" t="s">
        <v>2561</v>
      </c>
      <c r="Q32" s="1810" t="str">
        <f t="shared" si="11"/>
        <v>商业类型</v>
      </c>
      <c r="R32" s="774" t="s">
        <v>17</v>
      </c>
      <c r="S32" s="775">
        <f t="shared" si="12"/>
        <v>95</v>
      </c>
      <c r="T32" s="774" t="s">
        <v>17</v>
      </c>
      <c r="U32" s="775">
        <f t="shared" si="13"/>
        <v>95</v>
      </c>
      <c r="V32" s="774" t="s">
        <v>17</v>
      </c>
      <c r="W32" s="775">
        <f t="shared" si="14"/>
        <v>90</v>
      </c>
      <c r="X32" s="1813"/>
      <c r="Y32" s="3267" t="s">
        <v>2561</v>
      </c>
      <c r="Z32" s="1814" t="str">
        <f t="shared" si="15"/>
        <v>商业类型</v>
      </c>
      <c r="AA32" s="1811">
        <f t="shared" si="3"/>
        <v>1.0526315789473684</v>
      </c>
      <c r="AB32" s="1811">
        <f t="shared" si="4"/>
        <v>1.0526315789473684</v>
      </c>
      <c r="AC32" s="1811">
        <f t="shared" si="5"/>
        <v>1.1111111111111112</v>
      </c>
    </row>
    <row r="33" spans="1:29" s="471" customFormat="1" ht="15">
      <c r="A33" s="468"/>
      <c r="B33" s="422" t="s">
        <v>2562</v>
      </c>
      <c r="C33" s="469">
        <f>'数据-基础表'!I13</f>
        <v>1340.42</v>
      </c>
      <c r="D33" s="136">
        <v>100</v>
      </c>
      <c r="E33" s="430">
        <v>199</v>
      </c>
      <c r="F33" s="425">
        <f>LOOKUP(E33,103:103,104:104)-LOOKUP(C33,103:103,104:104)+100</f>
        <v>104</v>
      </c>
      <c r="G33" s="429">
        <v>108.36</v>
      </c>
      <c r="H33" s="136">
        <f>LOOKUP(G33,103:103,104:104)-LOOKUP(C33,103:103,104:104)+100</f>
        <v>104</v>
      </c>
      <c r="I33" s="429">
        <v>95</v>
      </c>
      <c r="J33" s="136">
        <f>LOOKUP(I33,103:103,104:104)-LOOKUP(C33,103:103,104:104)+100</f>
        <v>104</v>
      </c>
      <c r="K33" s="613"/>
      <c r="L33" s="1138"/>
      <c r="M33" s="1141"/>
      <c r="N33" s="1141"/>
      <c r="O33" s="1141"/>
      <c r="P33" s="3265"/>
      <c r="Q33" s="776" t="str">
        <f t="shared" si="11"/>
        <v>项目建筑规模</v>
      </c>
      <c r="R33" s="777" t="s">
        <v>17</v>
      </c>
      <c r="S33" s="778">
        <f t="shared" si="12"/>
        <v>104</v>
      </c>
      <c r="T33" s="777" t="s">
        <v>17</v>
      </c>
      <c r="U33" s="778">
        <f t="shared" si="13"/>
        <v>104</v>
      </c>
      <c r="V33" s="777" t="s">
        <v>17</v>
      </c>
      <c r="W33" s="778">
        <f t="shared" si="14"/>
        <v>104</v>
      </c>
      <c r="X33" s="779"/>
      <c r="Y33" s="3267"/>
      <c r="Z33" s="780" t="str">
        <f t="shared" si="15"/>
        <v>项目建筑规模</v>
      </c>
      <c r="AA33" s="1811">
        <f t="shared" si="3"/>
        <v>0.96153846153846156</v>
      </c>
      <c r="AB33" s="1811">
        <f t="shared" si="4"/>
        <v>0.96153846153846156</v>
      </c>
      <c r="AC33" s="1811">
        <f t="shared" si="5"/>
        <v>0.96153846153846156</v>
      </c>
    </row>
    <row r="34" spans="1:29" ht="15">
      <c r="A34" s="472"/>
      <c r="B34" s="422" t="s">
        <v>2563</v>
      </c>
      <c r="C34" s="2619" t="s">
        <v>3101</v>
      </c>
      <c r="D34" s="435">
        <v>100</v>
      </c>
      <c r="E34" s="2619" t="s">
        <v>3101</v>
      </c>
      <c r="F34" s="461">
        <f>SUMIF(105:105,E34,106:106)-SUMIF(105:105,C34,106:106)+100</f>
        <v>100</v>
      </c>
      <c r="G34" s="2619" t="s">
        <v>3101</v>
      </c>
      <c r="H34" s="435">
        <f>SUMIF(105:105,G34,106:106)-SUMIF(105:105,C34,106:106)+100</f>
        <v>100</v>
      </c>
      <c r="I34" s="2619" t="s">
        <v>3101</v>
      </c>
      <c r="J34" s="435">
        <f>SUMIF(105:105,I34,106:106)-SUMIF(105:105,C34,106:106)+100</f>
        <v>100</v>
      </c>
      <c r="K34" s="612">
        <v>2</v>
      </c>
      <c r="L34" s="1140"/>
      <c r="M34" s="1131"/>
      <c r="N34" s="1131"/>
      <c r="O34" s="1131"/>
      <c r="P34" s="3265"/>
      <c r="Q34" s="1810" t="str">
        <f t="shared" si="11"/>
        <v>建筑结构</v>
      </c>
      <c r="R34" s="774" t="s">
        <v>17</v>
      </c>
      <c r="S34" s="775">
        <f t="shared" si="12"/>
        <v>100</v>
      </c>
      <c r="T34" s="774" t="s">
        <v>17</v>
      </c>
      <c r="U34" s="775">
        <f t="shared" si="13"/>
        <v>100</v>
      </c>
      <c r="V34" s="774" t="s">
        <v>17</v>
      </c>
      <c r="W34" s="775">
        <f t="shared" si="14"/>
        <v>100</v>
      </c>
      <c r="X34" s="1813"/>
      <c r="Y34" s="3267"/>
      <c r="Z34" s="1814" t="str">
        <f t="shared" si="15"/>
        <v>建筑结构</v>
      </c>
      <c r="AA34" s="1811">
        <f t="shared" si="3"/>
        <v>1</v>
      </c>
      <c r="AB34" s="1811">
        <f t="shared" si="4"/>
        <v>1</v>
      </c>
      <c r="AC34" s="1811">
        <f t="shared" si="5"/>
        <v>1</v>
      </c>
    </row>
    <row r="35" spans="1:29" ht="15">
      <c r="A35" s="472"/>
      <c r="B35" s="422" t="s">
        <v>2657</v>
      </c>
      <c r="C35" s="2613" t="s">
        <v>3160</v>
      </c>
      <c r="D35" s="435">
        <v>100</v>
      </c>
      <c r="E35" s="2613" t="s">
        <v>3160</v>
      </c>
      <c r="F35" s="461">
        <f>SUMIF(107:107,E35,108:108)-SUMIF(107:107,C35,108:108)+100</f>
        <v>100</v>
      </c>
      <c r="G35" s="2613" t="s">
        <v>3160</v>
      </c>
      <c r="H35" s="435">
        <f>SUMIF(107:107,G35,108:108)-SUMIF(107:107,C35,108:108)+100</f>
        <v>100</v>
      </c>
      <c r="I35" s="2613" t="s">
        <v>3164</v>
      </c>
      <c r="J35" s="435">
        <f>SUMIF(107:107,I35,108:108)-SUMIF(107:107,C35,108:108)+100</f>
        <v>98</v>
      </c>
      <c r="K35" s="612">
        <v>2</v>
      </c>
      <c r="L35" s="1140"/>
      <c r="M35" s="1131"/>
      <c r="N35" s="1131"/>
      <c r="O35" s="1131"/>
      <c r="P35" s="3265"/>
      <c r="Q35" s="1810" t="str">
        <f t="shared" si="11"/>
        <v>公共部分装修</v>
      </c>
      <c r="R35" s="774" t="s">
        <v>17</v>
      </c>
      <c r="S35" s="775">
        <f t="shared" si="12"/>
        <v>100</v>
      </c>
      <c r="T35" s="774" t="s">
        <v>17</v>
      </c>
      <c r="U35" s="775">
        <f t="shared" si="13"/>
        <v>100</v>
      </c>
      <c r="V35" s="774" t="s">
        <v>17</v>
      </c>
      <c r="W35" s="775">
        <f t="shared" si="14"/>
        <v>98</v>
      </c>
      <c r="X35" s="1813"/>
      <c r="Y35" s="3267"/>
      <c r="Z35" s="1814" t="str">
        <f t="shared" si="15"/>
        <v>公共部分装修</v>
      </c>
      <c r="AA35" s="1811">
        <f t="shared" si="3"/>
        <v>1</v>
      </c>
      <c r="AB35" s="1811">
        <f t="shared" si="4"/>
        <v>1</v>
      </c>
      <c r="AC35" s="1811">
        <f t="shared" si="5"/>
        <v>1.0204081632653061</v>
      </c>
    </row>
    <row r="36" spans="1:29" ht="15">
      <c r="A36" s="472"/>
      <c r="B36" s="422" t="s">
        <v>2658</v>
      </c>
      <c r="C36" s="474">
        <f>'数据-取费表'!Y6</f>
        <v>0.92</v>
      </c>
      <c r="D36" s="435">
        <v>100</v>
      </c>
      <c r="E36" s="474">
        <v>0.8</v>
      </c>
      <c r="F36" s="461">
        <f>LOOKUP(E36,110:110,111:111)-LOOKUP(C36,110:110,111:111)+100</f>
        <v>98</v>
      </c>
      <c r="G36" s="474">
        <v>0.85</v>
      </c>
      <c r="H36" s="461">
        <f>LOOKUP(G36,110:110,111:111)-LOOKUP(C36,110:110,111:111)+100</f>
        <v>98</v>
      </c>
      <c r="I36" s="474">
        <v>0.95</v>
      </c>
      <c r="J36" s="435">
        <f>LOOKUP(I36,110:110,111:111)-LOOKUP(C36,110:110,111:111)+100</f>
        <v>100</v>
      </c>
      <c r="K36" s="612">
        <v>2</v>
      </c>
      <c r="L36" s="1140"/>
      <c r="M36" s="1131">
        <v>2007</v>
      </c>
      <c r="N36" s="1131">
        <f>ROUND(1-(2019-2007)/60,2)</f>
        <v>0.8</v>
      </c>
      <c r="O36" s="1131"/>
      <c r="P36" s="3265"/>
      <c r="Q36" s="1810" t="str">
        <f t="shared" si="11"/>
        <v>成新度</v>
      </c>
      <c r="R36" s="774" t="s">
        <v>17</v>
      </c>
      <c r="S36" s="775">
        <f t="shared" si="12"/>
        <v>98</v>
      </c>
      <c r="T36" s="774" t="s">
        <v>17</v>
      </c>
      <c r="U36" s="775">
        <f t="shared" si="13"/>
        <v>98</v>
      </c>
      <c r="V36" s="774" t="s">
        <v>17</v>
      </c>
      <c r="W36" s="775">
        <f t="shared" si="14"/>
        <v>100</v>
      </c>
      <c r="X36" s="1813"/>
      <c r="Y36" s="3267"/>
      <c r="Z36" s="1814" t="str">
        <f t="shared" si="15"/>
        <v>成新度</v>
      </c>
      <c r="AA36" s="1811">
        <f t="shared" si="3"/>
        <v>1.0204081632653061</v>
      </c>
      <c r="AB36" s="1811">
        <f t="shared" si="4"/>
        <v>1.0204081632653061</v>
      </c>
      <c r="AC36" s="1811">
        <f t="shared" si="5"/>
        <v>1</v>
      </c>
    </row>
    <row r="37" spans="1:29" s="117" customFormat="1" ht="15">
      <c r="A37" s="473"/>
      <c r="B37" s="422" t="s">
        <v>2659</v>
      </c>
      <c r="C37" s="2613" t="s">
        <v>3106</v>
      </c>
      <c r="D37" s="136">
        <v>100</v>
      </c>
      <c r="E37" s="2613" t="s">
        <v>3106</v>
      </c>
      <c r="F37" s="461">
        <f>SUMIF(112:112,E37,113:113)-SUMIF(112:112,C37,113:113)+100</f>
        <v>100</v>
      </c>
      <c r="G37" s="2613" t="s">
        <v>3106</v>
      </c>
      <c r="H37" s="435">
        <f>SUMIF(112:112,G37,113:113)-SUMIF(112:112,C37,113:113)+100</f>
        <v>100</v>
      </c>
      <c r="I37" s="2613" t="s">
        <v>3106</v>
      </c>
      <c r="J37" s="435">
        <f>SUMIF(112:112,I37,113:113)-SUMIF(112:112,C37,113:113)+100</f>
        <v>100</v>
      </c>
      <c r="K37" s="612">
        <v>2</v>
      </c>
      <c r="L37" s="1132"/>
      <c r="M37" s="1133"/>
      <c r="N37" s="1133"/>
      <c r="O37" s="1133"/>
      <c r="P37" s="3265"/>
      <c r="Q37" s="1795" t="str">
        <f t="shared" si="11"/>
        <v>市政基础设施</v>
      </c>
      <c r="R37" s="770" t="s">
        <v>17</v>
      </c>
      <c r="S37" s="771">
        <f t="shared" si="12"/>
        <v>100</v>
      </c>
      <c r="T37" s="770" t="s">
        <v>17</v>
      </c>
      <c r="U37" s="771">
        <f t="shared" si="13"/>
        <v>100</v>
      </c>
      <c r="V37" s="770" t="s">
        <v>17</v>
      </c>
      <c r="W37" s="771">
        <f t="shared" si="14"/>
        <v>100</v>
      </c>
      <c r="X37" s="772"/>
      <c r="Y37" s="3267"/>
      <c r="Z37" s="55" t="str">
        <f t="shared" si="15"/>
        <v>市政基础设施</v>
      </c>
      <c r="AA37" s="773">
        <f t="shared" si="3"/>
        <v>1</v>
      </c>
      <c r="AB37" s="773">
        <f t="shared" si="4"/>
        <v>1</v>
      </c>
      <c r="AC37" s="773">
        <f t="shared" si="5"/>
        <v>1</v>
      </c>
    </row>
    <row r="38" spans="1:29" ht="15">
      <c r="A38" s="472"/>
      <c r="B38" s="422" t="s">
        <v>2660</v>
      </c>
      <c r="C38" s="2613" t="s">
        <v>3169</v>
      </c>
      <c r="D38" s="435">
        <v>100</v>
      </c>
      <c r="E38" s="2613" t="s">
        <v>3162</v>
      </c>
      <c r="F38" s="461">
        <f>SUMIF(114:114,E38,115:115)-SUMIF(114:114,C38,115:115)+100</f>
        <v>102</v>
      </c>
      <c r="G38" s="2613" t="s">
        <v>3162</v>
      </c>
      <c r="H38" s="435">
        <f>SUMIF(114:114,G38,115:115)-SUMIF(114:114,C38,115:115)+100</f>
        <v>102</v>
      </c>
      <c r="I38" s="2613" t="s">
        <v>3162</v>
      </c>
      <c r="J38" s="435">
        <f>SUMIF(114:114,I38,115:115)-SUMIF(114:114,C38,115:115)+100</f>
        <v>102</v>
      </c>
      <c r="K38" s="612">
        <v>2</v>
      </c>
      <c r="L38" s="1140"/>
      <c r="M38" s="1131"/>
      <c r="N38" s="1131"/>
      <c r="O38" s="1131"/>
      <c r="P38" s="3265" t="s">
        <v>2561</v>
      </c>
      <c r="Q38" s="1810" t="str">
        <f t="shared" si="11"/>
        <v>业态</v>
      </c>
      <c r="R38" s="774" t="s">
        <v>17</v>
      </c>
      <c r="S38" s="775">
        <f t="shared" si="12"/>
        <v>102</v>
      </c>
      <c r="T38" s="774" t="s">
        <v>17</v>
      </c>
      <c r="U38" s="775">
        <f t="shared" si="13"/>
        <v>102</v>
      </c>
      <c r="V38" s="774" t="s">
        <v>17</v>
      </c>
      <c r="W38" s="775">
        <f t="shared" si="14"/>
        <v>102</v>
      </c>
      <c r="X38" s="1813"/>
      <c r="Y38" s="3267" t="s">
        <v>2561</v>
      </c>
      <c r="Z38" s="1814" t="str">
        <f t="shared" si="15"/>
        <v>业态</v>
      </c>
      <c r="AA38" s="1811">
        <f t="shared" si="3"/>
        <v>0.98039215686274506</v>
      </c>
      <c r="AB38" s="1811">
        <f t="shared" si="4"/>
        <v>0.98039215686274506</v>
      </c>
      <c r="AC38" s="1811">
        <f t="shared" si="5"/>
        <v>0.98039215686274506</v>
      </c>
    </row>
    <row r="39" spans="1:29" ht="15">
      <c r="A39" s="472"/>
      <c r="B39" s="422" t="s">
        <v>2661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v>2</v>
      </c>
      <c r="L39" s="1140"/>
      <c r="M39" s="1131"/>
      <c r="N39" s="1131"/>
      <c r="O39" s="1131"/>
      <c r="P39" s="3265"/>
      <c r="Q39" s="1810" t="str">
        <f t="shared" si="11"/>
        <v>层高</v>
      </c>
      <c r="R39" s="774" t="s">
        <v>17</v>
      </c>
      <c r="S39" s="775">
        <f t="shared" si="12"/>
        <v>100</v>
      </c>
      <c r="T39" s="774" t="s">
        <v>17</v>
      </c>
      <c r="U39" s="775">
        <f t="shared" si="13"/>
        <v>100</v>
      </c>
      <c r="V39" s="774" t="s">
        <v>17</v>
      </c>
      <c r="W39" s="775">
        <f t="shared" si="14"/>
        <v>100</v>
      </c>
      <c r="X39" s="1813"/>
      <c r="Y39" s="3267"/>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5"/>
      <c r="Q40" s="1810" t="str">
        <f t="shared" si="11"/>
        <v>单套建筑面积</v>
      </c>
      <c r="R40" s="774" t="s">
        <v>17</v>
      </c>
      <c r="S40" s="775">
        <f t="shared" si="12"/>
        <v>100</v>
      </c>
      <c r="T40" s="774" t="s">
        <v>17</v>
      </c>
      <c r="U40" s="775">
        <f t="shared" si="13"/>
        <v>100</v>
      </c>
      <c r="V40" s="774" t="s">
        <v>17</v>
      </c>
      <c r="W40" s="775">
        <f t="shared" si="14"/>
        <v>100</v>
      </c>
      <c r="X40" s="1813"/>
      <c r="Y40" s="3267"/>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65"/>
      <c r="Q41" s="776" t="str">
        <f t="shared" si="11"/>
        <v>进深比</v>
      </c>
      <c r="R41" s="777" t="s">
        <v>17</v>
      </c>
      <c r="S41" s="778">
        <f t="shared" si="12"/>
        <v>100</v>
      </c>
      <c r="T41" s="777" t="s">
        <v>17</v>
      </c>
      <c r="U41" s="778">
        <f t="shared" si="13"/>
        <v>100</v>
      </c>
      <c r="V41" s="777" t="s">
        <v>17</v>
      </c>
      <c r="W41" s="778">
        <f t="shared" si="14"/>
        <v>100</v>
      </c>
      <c r="X41" s="779"/>
      <c r="Y41" s="3267"/>
      <c r="Z41" s="780" t="str">
        <f t="shared" si="15"/>
        <v>进深比</v>
      </c>
      <c r="AA41" s="1811">
        <f t="shared" si="3"/>
        <v>1</v>
      </c>
      <c r="AB41" s="1811">
        <f t="shared" si="4"/>
        <v>1</v>
      </c>
      <c r="AC41" s="1811">
        <f t="shared" si="5"/>
        <v>1</v>
      </c>
    </row>
    <row r="42" spans="1:29" ht="15">
      <c r="A42" s="472"/>
      <c r="B42" s="422" t="s">
        <v>2664</v>
      </c>
      <c r="C42" s="2613" t="s">
        <v>3160</v>
      </c>
      <c r="D42" s="435">
        <v>100</v>
      </c>
      <c r="E42" s="2613" t="s">
        <v>3164</v>
      </c>
      <c r="F42" s="461">
        <f>SUMIF(122:122,E42,123:123)-SUMIF(122:122,C42,123:123)+100</f>
        <v>95</v>
      </c>
      <c r="G42" s="2613" t="s">
        <v>3164</v>
      </c>
      <c r="H42" s="435">
        <f>SUMIF(122:122,G42,123:123)-SUMIF(122:122,C42,123:123)+100</f>
        <v>95</v>
      </c>
      <c r="I42" s="2613" t="s">
        <v>3164</v>
      </c>
      <c r="J42" s="435">
        <f>SUMIF(122:122,I42,123:123)-SUMIF(122:122,C42,123:123)+100</f>
        <v>95</v>
      </c>
      <c r="K42" s="612">
        <v>5</v>
      </c>
      <c r="L42" s="1140"/>
      <c r="M42" s="1131"/>
      <c r="N42" s="1131"/>
      <c r="O42" s="1131"/>
      <c r="P42" s="3265"/>
      <c r="Q42" s="1810" t="str">
        <f t="shared" si="11"/>
        <v>内部装修</v>
      </c>
      <c r="R42" s="774" t="s">
        <v>17</v>
      </c>
      <c r="S42" s="775">
        <f t="shared" si="12"/>
        <v>95</v>
      </c>
      <c r="T42" s="774" t="s">
        <v>17</v>
      </c>
      <c r="U42" s="775">
        <f t="shared" si="13"/>
        <v>95</v>
      </c>
      <c r="V42" s="774" t="s">
        <v>17</v>
      </c>
      <c r="W42" s="775">
        <f t="shared" si="14"/>
        <v>95</v>
      </c>
      <c r="X42" s="1813"/>
      <c r="Y42" s="3267"/>
      <c r="Z42" s="1814" t="str">
        <f t="shared" si="15"/>
        <v>内部装修</v>
      </c>
      <c r="AA42" s="1811">
        <f t="shared" si="3"/>
        <v>1.0526315789473684</v>
      </c>
      <c r="AB42" s="1811">
        <f t="shared" si="4"/>
        <v>1.0526315789473684</v>
      </c>
      <c r="AC42" s="1811">
        <f t="shared" si="5"/>
        <v>1.0526315789473684</v>
      </c>
    </row>
    <row r="43" spans="1:29" ht="15">
      <c r="A43" s="472"/>
      <c r="B43" s="422" t="s">
        <v>2572</v>
      </c>
      <c r="C43" s="2613" t="s">
        <v>3104</v>
      </c>
      <c r="D43" s="435">
        <v>100</v>
      </c>
      <c r="E43" s="2613" t="s">
        <v>3104</v>
      </c>
      <c r="F43" s="461">
        <f>SUMIF(124:124,E43,125:125)-SUMIF(124:124,C43,125:125)+100</f>
        <v>100</v>
      </c>
      <c r="G43" s="2613" t="s">
        <v>3104</v>
      </c>
      <c r="H43" s="435">
        <f>SUMIF(124:124,G43,125:125)-SUMIF(124:124,C43,125:125)+100</f>
        <v>100</v>
      </c>
      <c r="I43" s="2613" t="s">
        <v>3104</v>
      </c>
      <c r="J43" s="435">
        <f>SUMIF(124:124,I43,125:125)-SUMIF(124:124,C43,125:125)+100</f>
        <v>100</v>
      </c>
      <c r="K43" s="612">
        <v>2</v>
      </c>
      <c r="L43" s="1140"/>
      <c r="M43" s="1131"/>
      <c r="N43" s="1131"/>
      <c r="O43" s="1131"/>
      <c r="P43" s="3265"/>
      <c r="Q43" s="1810" t="str">
        <f t="shared" si="11"/>
        <v>内部装修维护情况</v>
      </c>
      <c r="R43" s="774" t="s">
        <v>17</v>
      </c>
      <c r="S43" s="775">
        <f t="shared" si="12"/>
        <v>100</v>
      </c>
      <c r="T43" s="774" t="s">
        <v>17</v>
      </c>
      <c r="U43" s="775">
        <f t="shared" si="13"/>
        <v>100</v>
      </c>
      <c r="V43" s="774" t="s">
        <v>17</v>
      </c>
      <c r="W43" s="775">
        <f t="shared" si="14"/>
        <v>100</v>
      </c>
      <c r="X43" s="1813"/>
      <c r="Y43" s="326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5"/>
      <c r="Q44" s="1795">
        <f t="shared" si="11"/>
        <v>111</v>
      </c>
      <c r="R44" s="770" t="s">
        <v>17</v>
      </c>
      <c r="S44" s="771">
        <f t="shared" si="12"/>
        <v>100</v>
      </c>
      <c r="T44" s="770" t="s">
        <v>17</v>
      </c>
      <c r="U44" s="771">
        <f t="shared" si="13"/>
        <v>100</v>
      </c>
      <c r="V44" s="770" t="s">
        <v>17</v>
      </c>
      <c r="W44" s="771">
        <f t="shared" si="14"/>
        <v>100</v>
      </c>
      <c r="X44" s="772"/>
      <c r="Y44" s="326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5"/>
      <c r="Q45" s="1810">
        <f t="shared" si="11"/>
        <v>111</v>
      </c>
      <c r="R45" s="774" t="s">
        <v>17</v>
      </c>
      <c r="S45" s="775">
        <f t="shared" si="12"/>
        <v>100</v>
      </c>
      <c r="T45" s="774" t="s">
        <v>17</v>
      </c>
      <c r="U45" s="775">
        <f t="shared" si="13"/>
        <v>100</v>
      </c>
      <c r="V45" s="774" t="s">
        <v>17</v>
      </c>
      <c r="W45" s="775">
        <f t="shared" si="14"/>
        <v>100</v>
      </c>
      <c r="X45" s="1813"/>
      <c r="Y45" s="3267"/>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6"/>
      <c r="Q46" s="1810">
        <f t="shared" si="11"/>
        <v>111</v>
      </c>
      <c r="R46" s="774" t="s">
        <v>17</v>
      </c>
      <c r="S46" s="775">
        <f t="shared" si="12"/>
        <v>100</v>
      </c>
      <c r="T46" s="774" t="s">
        <v>17</v>
      </c>
      <c r="U46" s="775">
        <f t="shared" si="13"/>
        <v>100</v>
      </c>
      <c r="V46" s="774" t="s">
        <v>17</v>
      </c>
      <c r="W46" s="775">
        <f t="shared" si="14"/>
        <v>100</v>
      </c>
      <c r="X46" s="1813"/>
      <c r="Y46" s="3268"/>
      <c r="Z46" s="1814">
        <f t="shared" si="15"/>
        <v>111</v>
      </c>
      <c r="AA46" s="1811">
        <f t="shared" si="3"/>
        <v>1</v>
      </c>
      <c r="AB46" s="1811">
        <f t="shared" si="4"/>
        <v>1</v>
      </c>
      <c r="AC46" s="1811">
        <f t="shared" si="5"/>
        <v>1</v>
      </c>
    </row>
    <row r="47" spans="1:29" ht="15">
      <c r="A47" s="479" t="s">
        <v>2573</v>
      </c>
      <c r="B47" s="480"/>
      <c r="C47" s="1407" t="s">
        <v>1</v>
      </c>
      <c r="D47" s="1408"/>
      <c r="E47" s="1409">
        <v>41860</v>
      </c>
      <c r="F47" s="1410"/>
      <c r="G47" s="1411">
        <v>40180</v>
      </c>
      <c r="H47" s="1412"/>
      <c r="I47" s="1409">
        <v>39579</v>
      </c>
      <c r="J47" s="1412"/>
      <c r="K47" s="783"/>
      <c r="L47" s="1143"/>
      <c r="M47" s="1144"/>
      <c r="N47" s="1131"/>
      <c r="O47" s="1144"/>
      <c r="P47" s="3260" t="str">
        <f>A47</f>
        <v>成交单价（元/平方米）</v>
      </c>
      <c r="Q47" s="3260"/>
      <c r="R47" s="3255">
        <f>E47</f>
        <v>41860</v>
      </c>
      <c r="S47" s="3255"/>
      <c r="T47" s="3255">
        <f>G47</f>
        <v>40180</v>
      </c>
      <c r="U47" s="3255"/>
      <c r="V47" s="3255">
        <f>I47</f>
        <v>39579</v>
      </c>
      <c r="W47" s="3255"/>
      <c r="X47" s="759"/>
      <c r="Y47" s="781"/>
      <c r="Z47" s="759"/>
      <c r="AA47" s="759"/>
      <c r="AB47" s="759"/>
      <c r="AC47" s="759"/>
    </row>
    <row r="48" spans="1:29" ht="15.75" thickBot="1">
      <c r="A48" s="486" t="s">
        <v>2665</v>
      </c>
      <c r="B48" s="487"/>
      <c r="C48" s="1413">
        <f>R49</f>
        <v>40537</v>
      </c>
      <c r="D48" s="1414"/>
      <c r="E48" s="1415">
        <f>R48</f>
        <v>40995</v>
      </c>
      <c r="F48" s="1415"/>
      <c r="G48" s="1413">
        <f>T48</f>
        <v>40136</v>
      </c>
      <c r="H48" s="1414"/>
      <c r="I48" s="1415">
        <f>V48</f>
        <v>40481</v>
      </c>
      <c r="J48" s="1414"/>
      <c r="K48" s="784"/>
      <c r="L48" s="1143"/>
      <c r="M48" s="1144"/>
      <c r="N48" s="1131"/>
      <c r="O48" s="1144"/>
      <c r="P48" s="3260" t="str">
        <f>A48</f>
        <v>比较价值（元/平方米）</v>
      </c>
      <c r="Q48" s="3260"/>
      <c r="R48" s="3261">
        <f>IF(F1="售价",ROUND(PRODUCT(R47,AA7:AA46),0),ROUND(PRODUCT(R47,AA7:AA46),1))</f>
        <v>40995</v>
      </c>
      <c r="S48" s="3261"/>
      <c r="T48" s="3261">
        <f>IF(F1="售价",ROUND(PRODUCT(T47,AB7:AB46),0),ROUND(PRODUCT(T47,AB7:AB46),1))</f>
        <v>40136</v>
      </c>
      <c r="U48" s="3261"/>
      <c r="V48" s="3261">
        <f>IF(F1="售价",ROUND(PRODUCT(V47,AC7:AC46),0),ROUND(PRODUCT(V47,AC7:AC46),1))</f>
        <v>40481</v>
      </c>
      <c r="W48" s="3261"/>
      <c r="X48" s="759"/>
      <c r="Y48" s="759"/>
      <c r="Z48" s="759"/>
      <c r="AA48" s="759"/>
      <c r="AB48" s="759"/>
      <c r="AC48" s="759"/>
    </row>
    <row r="49" spans="1:29" ht="15.75" thickBot="1">
      <c r="A49" s="492" t="s">
        <v>2666</v>
      </c>
      <c r="B49" s="493"/>
      <c r="C49" s="1417">
        <f>R49</f>
        <v>40537</v>
      </c>
      <c r="D49" s="1417"/>
      <c r="E49" s="1417"/>
      <c r="F49" s="1417"/>
      <c r="G49" s="1417"/>
      <c r="H49" s="1417"/>
      <c r="I49" s="1417"/>
      <c r="J49" s="1417"/>
      <c r="K49" s="785"/>
      <c r="L49" s="1143"/>
      <c r="M49" s="1144"/>
      <c r="N49" s="1131"/>
      <c r="O49" s="1144"/>
      <c r="P49" s="3257" t="str">
        <f>A49</f>
        <v>估价对象XX用房的比较价值（楼面单价，元/平方米）</v>
      </c>
      <c r="Q49" s="3258"/>
      <c r="R49" s="3259">
        <f>IF(F1="售价",ROUND(AVERAGE(R48:V48),0),ROUND(AVERAGE(R48:V48),1))</f>
        <v>40537</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2.1100134162702844E-2</v>
      </c>
      <c r="F52" s="500" t="str">
        <f>IF(OR(E52&gt;=0.3,E52&lt;=-0.3),"超过30%","")</f>
        <v/>
      </c>
      <c r="G52" s="499">
        <f>IF(G47&lt;G48,G48/G47-1,G47/G48-1)</f>
        <v>1.0962726729120131E-3</v>
      </c>
      <c r="H52" s="500" t="str">
        <f>IF(OR(G52&gt;=0.3,G52&lt;=-0.3),"超过30%","")</f>
        <v/>
      </c>
      <c r="I52" s="499">
        <f>IF(I47&lt;I48,I48/I47-1,I47/I48-1)</f>
        <v>2.278986331135191E-2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2.1402232409806654E-2</v>
      </c>
      <c r="F53" s="500" t="str">
        <f>IF(OR(E53&gt;=0.2,E53&lt;=-0.2),"超过20%","")</f>
        <v/>
      </c>
      <c r="G53" s="499">
        <f>IF(G48&lt;I48,I48/G48-1,G48/I48-1)</f>
        <v>8.5957743671516429E-3</v>
      </c>
      <c r="H53" s="500" t="str">
        <f>IF(OR(G53&gt;=0.2,G53&lt;=-0.2),"超过20%","")</f>
        <v/>
      </c>
      <c r="I53" s="499">
        <f>IF(I48&lt;E48,E48/I48-1,I48/E48-1)</f>
        <v>1.2697314789654301E-2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4.1811846689895571E-2</v>
      </c>
      <c r="F54" s="500" t="str">
        <f>IF(OR(E54&gt;=0.3,E54&lt;=-0.3),"超过30%","")</f>
        <v/>
      </c>
      <c r="G54" s="499">
        <f>IF(G47&lt;I47,I47/G47-1,G47/I47-1)</f>
        <v>1.5184820232951868E-2</v>
      </c>
      <c r="H54" s="500" t="str">
        <f>IF(OR(G54&gt;=0.3,G54&lt;=-0.3),"超过30%","")</f>
        <v/>
      </c>
      <c r="I54" s="499">
        <f>IF(I47&lt;E47,E47/I47-1,I47/E47-1)</f>
        <v>5.7631572298441069E-2</v>
      </c>
      <c r="J54" s="500" t="str">
        <f>IF(OR(I54&gt;=0.3,I54&lt;=-0.3),"超过30%","")</f>
        <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2544</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2546</v>
      </c>
      <c r="B61" s="510"/>
      <c r="C61" s="522" t="s">
        <v>2648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t="str">
        <f>C9</f>
        <v>商业</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3"/>
      <c r="O66" s="1153"/>
      <c r="P66" s="2630"/>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v>
      </c>
      <c r="K67" s="547" t="str">
        <f t="shared" si="17"/>
        <v>（含）-</v>
      </c>
      <c r="L67" s="547" t="str">
        <f t="shared" si="17"/>
        <v>（含）-</v>
      </c>
      <c r="M67" s="448" t="str">
        <f>M68&amp;"（含）"&amp;"-"&amp;P68</f>
        <v>（含）-</v>
      </c>
      <c r="N67" s="1153"/>
      <c r="O67" s="1153"/>
      <c r="P67" s="2630"/>
      <c r="Q67" s="504"/>
    </row>
    <row r="68" spans="1:17" ht="15">
      <c r="A68" s="534"/>
      <c r="B68" s="548"/>
      <c r="C68" s="549">
        <v>0</v>
      </c>
      <c r="D68" s="549">
        <v>1</v>
      </c>
      <c r="E68" s="549">
        <v>2</v>
      </c>
      <c r="F68" s="549">
        <v>3</v>
      </c>
      <c r="G68" s="549">
        <v>4</v>
      </c>
      <c r="H68" s="549">
        <v>5</v>
      </c>
      <c r="I68" s="549">
        <v>6</v>
      </c>
      <c r="J68" s="549">
        <v>7</v>
      </c>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0"/>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0"/>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0"/>
      <c r="Q85" s="504"/>
    </row>
    <row r="86" spans="1:17" s="117" customFormat="1" ht="15.75" thickTop="1">
      <c r="A86" s="579"/>
      <c r="B86" s="538" t="s">
        <v>2676</v>
      </c>
      <c r="C86" s="2986" t="s">
        <v>3120</v>
      </c>
      <c r="D86" s="2986" t="s">
        <v>3121</v>
      </c>
      <c r="E86" s="2986" t="s">
        <v>3122</v>
      </c>
      <c r="F86" s="2986" t="s">
        <v>3123</v>
      </c>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2986" t="s">
        <v>3150</v>
      </c>
      <c r="D90" s="2986" t="s">
        <v>3151</v>
      </c>
      <c r="E90" s="2986" t="s">
        <v>3152</v>
      </c>
      <c r="F90" s="2986" t="s">
        <v>3153</v>
      </c>
      <c r="G90" s="2986" t="s">
        <v>3154</v>
      </c>
      <c r="H90" s="555"/>
      <c r="I90" s="555"/>
      <c r="J90" s="555"/>
      <c r="K90" s="555"/>
      <c r="L90" s="556"/>
      <c r="M90" s="557"/>
      <c r="N90" s="1154"/>
      <c r="O90" s="1154"/>
      <c r="P90" s="2631"/>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31"/>
      <c r="Q91" s="559"/>
    </row>
    <row r="92" spans="1:17" ht="15.75" thickTop="1">
      <c r="A92" s="534"/>
      <c r="B92" s="538" t="str">
        <f>B28</f>
        <v>楼层</v>
      </c>
      <c r="C92" s="554" t="s">
        <v>3124</v>
      </c>
      <c r="D92" s="554" t="s">
        <v>3125</v>
      </c>
      <c r="E92" s="554"/>
      <c r="F92" s="554"/>
      <c r="G92" s="554"/>
      <c r="H92" s="554"/>
      <c r="I92" s="554"/>
      <c r="J92" s="554"/>
      <c r="K92" s="554"/>
      <c r="L92" s="580"/>
      <c r="M92" s="581"/>
      <c r="N92" s="1152"/>
      <c r="O92" s="1152"/>
      <c r="P92" s="2630"/>
      <c r="Q92" s="504"/>
    </row>
    <row r="93" spans="1:17" ht="15.75" thickBot="1">
      <c r="A93" s="534"/>
      <c r="B93" s="543"/>
      <c r="C93" s="536">
        <v>100</v>
      </c>
      <c r="D93" s="536">
        <v>110</v>
      </c>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2559</v>
      </c>
      <c r="B100" s="528" t="s">
        <v>2677</v>
      </c>
      <c r="C100" s="2987" t="s">
        <v>3126</v>
      </c>
      <c r="D100" s="2987" t="s">
        <v>3127</v>
      </c>
      <c r="E100" s="2987" t="s">
        <v>3157</v>
      </c>
      <c r="F100" s="2987" t="s">
        <v>3159</v>
      </c>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0"/>
      <c r="Q101" s="504"/>
    </row>
    <row r="102" spans="1:17" ht="29.25" thickTop="1">
      <c r="A102" s="534"/>
      <c r="B102" s="538" t="s">
        <v>2609</v>
      </c>
      <c r="C102" s="578" t="str">
        <f>C103&amp;"(含)"&amp;"-"&amp;D103</f>
        <v>0(含)-500</v>
      </c>
      <c r="D102" s="578" t="str">
        <f t="shared" ref="D102:L102" si="23">D103&amp;"(含)"&amp;"-"&amp;E103</f>
        <v>500(含)-1000</v>
      </c>
      <c r="E102" s="578" t="str">
        <f t="shared" si="23"/>
        <v>1000(含)-1500</v>
      </c>
      <c r="F102" s="578" t="str">
        <f t="shared" si="23"/>
        <v>1500(含)-2000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709">
        <v>0</v>
      </c>
      <c r="D103" s="710">
        <v>500</v>
      </c>
      <c r="E103" s="710">
        <v>1000</v>
      </c>
      <c r="F103" s="710">
        <v>1500</v>
      </c>
      <c r="G103" s="710">
        <v>2000</v>
      </c>
      <c r="H103" s="595"/>
      <c r="I103" s="595"/>
      <c r="J103" s="596"/>
      <c r="K103" s="596"/>
      <c r="L103" s="597"/>
      <c r="M103" s="598"/>
      <c r="N103" s="1154"/>
      <c r="O103" s="1154"/>
      <c r="P103" s="2631"/>
      <c r="Q103" s="559"/>
    </row>
    <row r="104" spans="1:17" s="471" customFormat="1" ht="15.75" thickBot="1">
      <c r="A104" s="553"/>
      <c r="B104" s="543"/>
      <c r="C104" s="1210">
        <v>100</v>
      </c>
      <c r="D104" s="1211">
        <v>98</v>
      </c>
      <c r="E104" s="1211">
        <v>96</v>
      </c>
      <c r="F104" s="1708">
        <v>94</v>
      </c>
      <c r="G104" s="1708">
        <v>92</v>
      </c>
      <c r="H104" s="536"/>
      <c r="I104" s="536"/>
      <c r="J104" s="536"/>
      <c r="K104" s="536"/>
      <c r="L104" s="536"/>
      <c r="M104" s="537"/>
      <c r="N104" s="1153"/>
      <c r="O104" s="1153"/>
      <c r="P104" s="2631"/>
      <c r="Q104" s="559"/>
    </row>
    <row r="105" spans="1:17" ht="15" thickTop="1">
      <c r="A105" s="599"/>
      <c r="B105" s="538" t="s">
        <v>2610</v>
      </c>
      <c r="C105" s="2986" t="s">
        <v>3155</v>
      </c>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30"/>
      <c r="Q106" s="504"/>
    </row>
    <row r="107" spans="1:17" ht="15" thickTop="1">
      <c r="A107" s="599"/>
      <c r="B107" s="538" t="s">
        <v>2612</v>
      </c>
      <c r="C107" s="2986" t="s">
        <v>3128</v>
      </c>
      <c r="D107" s="2986" t="s">
        <v>3129</v>
      </c>
      <c r="E107" s="2986" t="s">
        <v>3130</v>
      </c>
      <c r="F107" s="2988" t="s">
        <v>3131</v>
      </c>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0"/>
      <c r="Q111" s="504"/>
    </row>
    <row r="112" spans="1:17" s="471" customFormat="1" ht="15" thickTop="1">
      <c r="A112" s="593"/>
      <c r="B112" s="538" t="s">
        <v>2614</v>
      </c>
      <c r="C112" s="2986" t="s">
        <v>3132</v>
      </c>
      <c r="D112" s="2986" t="s">
        <v>3133</v>
      </c>
      <c r="E112" s="2986" t="s">
        <v>3134</v>
      </c>
      <c r="F112" s="2986" t="s">
        <v>3135</v>
      </c>
      <c r="G112" s="2986" t="s">
        <v>3136</v>
      </c>
      <c r="H112" s="583"/>
      <c r="I112" s="583"/>
      <c r="J112" s="583"/>
      <c r="K112" s="584"/>
      <c r="L112" s="585"/>
      <c r="M112" s="586"/>
      <c r="N112" s="1154"/>
      <c r="O112" s="1154"/>
      <c r="P112" s="2631"/>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31"/>
      <c r="Q113" s="559"/>
    </row>
    <row r="114" spans="1:17" ht="15" thickTop="1">
      <c r="A114" s="599"/>
      <c r="B114" s="538" t="s">
        <v>2678</v>
      </c>
      <c r="C114" s="2986" t="s">
        <v>3137</v>
      </c>
      <c r="D114" s="2986" t="s">
        <v>3138</v>
      </c>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30"/>
      <c r="Q115" s="504"/>
    </row>
    <row r="116" spans="1:17" ht="15" thickTop="1">
      <c r="A116" s="599"/>
      <c r="B116" s="538" t="s">
        <v>2679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0"/>
      <c r="Q117" s="504"/>
    </row>
    <row r="118" spans="1:17" ht="15" thickTop="1">
      <c r="A118" s="599"/>
      <c r="B118" s="538" t="s">
        <v>2680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31"/>
      <c r="Q121" s="559"/>
    </row>
    <row r="122" spans="1:17" ht="15" thickTop="1">
      <c r="A122" s="599"/>
      <c r="B122" s="538" t="s">
        <v>2616</v>
      </c>
      <c r="C122" s="2986" t="s">
        <v>3128</v>
      </c>
      <c r="D122" s="2986" t="s">
        <v>3129</v>
      </c>
      <c r="E122" s="2986" t="s">
        <v>3130</v>
      </c>
      <c r="F122" s="2988" t="s">
        <v>3131</v>
      </c>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95</v>
      </c>
      <c r="E123" s="544">
        <f t="shared" si="30"/>
        <v>90</v>
      </c>
      <c r="F123" s="544">
        <f t="shared" si="30"/>
        <v>85</v>
      </c>
      <c r="G123" s="544">
        <f t="shared" si="30"/>
        <v>80</v>
      </c>
      <c r="H123" s="544">
        <f t="shared" si="30"/>
        <v>75</v>
      </c>
      <c r="I123" s="544">
        <f t="shared" si="30"/>
        <v>70</v>
      </c>
      <c r="J123" s="544">
        <f t="shared" si="30"/>
        <v>65</v>
      </c>
      <c r="K123" s="544">
        <f t="shared" si="30"/>
        <v>60</v>
      </c>
      <c r="L123" s="544">
        <f t="shared" si="30"/>
        <v>55</v>
      </c>
      <c r="M123" s="545">
        <f t="shared" si="30"/>
        <v>50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北京万年基业建设投资有限公司：</v>
      </c>
    </row>
    <row r="4" spans="1:1" ht="36">
      <c r="A4" s="1947" t="str">
        <f>"受贵公司委托，我公司对"&amp;项目基本情况!S1&amp;"进行了预评估。"</f>
        <v>受贵公司委托，我公司对北京市丰台区万兴路1号院3、4号楼商业用房房地产房地产抵押价值进行了预评估。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估价对象为北京市丰台区万兴路1号院3、4号楼商业用房房地产房地产，为所有。根据《国有土地使用证》[]，估价对象（分摊）出让国有建设用地使用权面积为4009平方米，建筑面积为4376.09平方米。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万兴路1号院3、4号楼商业用房房地产房地产,属开发建设的商业项目，该项目尚在开发建设中。根据《国有土地使用证》[]，估价对象（分摊）出让国有建设用地使用权面积为4009平方米，规划建筑面积为4376.09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2019年9月26日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26日，估价对象规划用途为商业，土地取得方式为出让，出让国有建设用地使用权剩余土地使用年限为商业31.46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31.46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2682</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6"/>
      <c r="D2" s="1365"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4376.09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80" t="s">
        <v>2647</v>
      </c>
      <c r="Q4" s="3281"/>
      <c r="R4" s="3275" t="s">
        <v>2643</v>
      </c>
      <c r="S4" s="3276"/>
      <c r="T4" s="3275" t="s">
        <v>2644</v>
      </c>
      <c r="U4" s="3276"/>
      <c r="V4" s="3284" t="s">
        <v>2645</v>
      </c>
      <c r="W4" s="3284"/>
      <c r="X4" s="2670"/>
      <c r="Y4" s="3275" t="s">
        <v>2647</v>
      </c>
      <c r="Z4" s="3276"/>
      <c r="AA4" s="3274" t="s">
        <v>2643</v>
      </c>
      <c r="AB4" s="3274" t="s">
        <v>2644</v>
      </c>
      <c r="AC4" s="3277" t="s">
        <v>2645</v>
      </c>
    </row>
    <row r="5" spans="1:29" ht="15">
      <c r="A5" s="404"/>
      <c r="B5" s="405"/>
      <c r="C5" s="3236" t="s">
        <v>2538</v>
      </c>
      <c r="D5" s="3237"/>
      <c r="E5" s="3234" t="s">
        <v>2539</v>
      </c>
      <c r="F5" s="3235"/>
      <c r="G5" s="3236" t="s">
        <v>2540</v>
      </c>
      <c r="H5" s="3237"/>
      <c r="I5" s="3236" t="s">
        <v>2541</v>
      </c>
      <c r="J5" s="3237"/>
      <c r="K5" s="610"/>
      <c r="L5" s="1130"/>
      <c r="M5" s="1131"/>
      <c r="N5" s="1131"/>
      <c r="O5" s="1131"/>
      <c r="P5" s="3282"/>
      <c r="Q5" s="3250"/>
      <c r="R5" s="3232"/>
      <c r="S5" s="3233"/>
      <c r="T5" s="3232"/>
      <c r="U5" s="3233"/>
      <c r="V5" s="3255"/>
      <c r="W5" s="3255"/>
      <c r="X5" s="1813"/>
      <c r="Y5" s="3232"/>
      <c r="Z5" s="3233"/>
      <c r="AA5" s="3226"/>
      <c r="AB5" s="3226"/>
      <c r="AC5" s="3278"/>
    </row>
    <row r="6" spans="1:29" ht="15.75" thickBot="1">
      <c r="A6" s="406"/>
      <c r="B6" s="407"/>
      <c r="C6" s="3238" t="s">
        <v>2542</v>
      </c>
      <c r="D6" s="3239"/>
      <c r="E6" s="3240" t="s">
        <v>2542</v>
      </c>
      <c r="F6" s="3241"/>
      <c r="G6" s="3238" t="s">
        <v>2542</v>
      </c>
      <c r="H6" s="3239"/>
      <c r="I6" s="3238" t="s">
        <v>2542</v>
      </c>
      <c r="J6" s="3239"/>
      <c r="K6" s="610" t="s">
        <v>2543</v>
      </c>
      <c r="L6" s="1130"/>
      <c r="M6" s="1131"/>
      <c r="N6" s="1131"/>
      <c r="O6" s="1131"/>
      <c r="P6" s="3283"/>
      <c r="Q6" s="3252"/>
      <c r="R6" s="3232"/>
      <c r="S6" s="3233"/>
      <c r="T6" s="3253"/>
      <c r="U6" s="3254"/>
      <c r="V6" s="3255"/>
      <c r="W6" s="3255"/>
      <c r="X6" s="1813"/>
      <c r="Y6" s="3253"/>
      <c r="Z6" s="3254"/>
      <c r="AA6" s="3227"/>
      <c r="AB6" s="3227"/>
      <c r="AC6" s="3279"/>
    </row>
    <row r="7" spans="1:29" s="117" customFormat="1" ht="15.75" thickBot="1">
      <c r="A7" s="408" t="s">
        <v>2544</v>
      </c>
      <c r="B7" s="409"/>
      <c r="C7" s="410">
        <f>'数据-取费表'!B2</f>
        <v>43734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5" t="s">
        <v>2545</v>
      </c>
      <c r="Q7" s="3256"/>
      <c r="R7" s="770" t="s">
        <v>17</v>
      </c>
      <c r="S7" s="771">
        <f t="shared" ref="S7:S15" si="0">F7</f>
        <v>0</v>
      </c>
      <c r="T7" s="770" t="s">
        <v>17</v>
      </c>
      <c r="U7" s="771">
        <f t="shared" ref="U7:U15" si="1">H7</f>
        <v>0</v>
      </c>
      <c r="V7" s="770" t="s">
        <v>17</v>
      </c>
      <c r="W7" s="771">
        <f t="shared" ref="W7:W15" si="2">J7</f>
        <v>0</v>
      </c>
      <c r="X7" s="772"/>
      <c r="Y7" s="3228" t="s">
        <v>2545</v>
      </c>
      <c r="Z7" s="3229"/>
      <c r="AA7" s="773" t="e">
        <f>D7/F7</f>
        <v>#DIV/0!</v>
      </c>
      <c r="AB7" s="773" t="e">
        <f>D7/H7</f>
        <v>#DIV/0!</v>
      </c>
      <c r="AC7" s="2671"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5" t="s">
        <v>2548</v>
      </c>
      <c r="Q8" s="3229"/>
      <c r="R8" s="770" t="s">
        <v>17</v>
      </c>
      <c r="S8" s="771">
        <f t="shared" si="0"/>
        <v>0</v>
      </c>
      <c r="T8" s="770" t="s">
        <v>17</v>
      </c>
      <c r="U8" s="771">
        <f t="shared" si="1"/>
        <v>0</v>
      </c>
      <c r="V8" s="770" t="s">
        <v>17</v>
      </c>
      <c r="W8" s="771">
        <f t="shared" si="2"/>
        <v>0</v>
      </c>
      <c r="X8" s="772"/>
      <c r="Y8" s="3228" t="s">
        <v>2548</v>
      </c>
      <c r="Z8" s="3229"/>
      <c r="AA8" s="773" t="e">
        <f t="shared" ref="AA8:AA47" si="3">D8/F8</f>
        <v>#DIV/0!</v>
      </c>
      <c r="AB8" s="773" t="e">
        <f t="shared" ref="AB8:AB47" si="4">D8/H8</f>
        <v>#DIV/0!</v>
      </c>
      <c r="AC8" s="2671"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2" t="s">
        <v>2551</v>
      </c>
      <c r="Q9" s="1795" t="str">
        <f t="shared" ref="Q9:Q15" si="6">B9</f>
        <v>用途</v>
      </c>
      <c r="R9" s="770" t="s">
        <v>17</v>
      </c>
      <c r="S9" s="771">
        <f t="shared" si="0"/>
        <v>100</v>
      </c>
      <c r="T9" s="770" t="s">
        <v>17</v>
      </c>
      <c r="U9" s="771">
        <f t="shared" si="1"/>
        <v>100</v>
      </c>
      <c r="V9" s="770" t="s">
        <v>17</v>
      </c>
      <c r="W9" s="771">
        <f t="shared" si="2"/>
        <v>100</v>
      </c>
      <c r="X9" s="772"/>
      <c r="Y9" s="3076" t="s">
        <v>2552</v>
      </c>
      <c r="Z9" s="55" t="str">
        <f t="shared" ref="Z9:Z15" si="7">Q9</f>
        <v>用途</v>
      </c>
      <c r="AA9" s="773">
        <f t="shared" si="3"/>
        <v>1</v>
      </c>
      <c r="AB9" s="773">
        <f t="shared" si="4"/>
        <v>1</v>
      </c>
      <c r="AC9" s="2671">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2"/>
      <c r="Q10" s="1795"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2671">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2"/>
      <c r="Q11" s="1795"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42"/>
      <c r="Q12" s="1795">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42"/>
      <c r="Q13" s="1795">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42"/>
      <c r="Q14" s="1795">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2671">
        <f t="shared" si="5"/>
        <v>1</v>
      </c>
    </row>
    <row r="15" spans="1:29" ht="15">
      <c r="A15" s="440" t="s">
        <v>2555</v>
      </c>
      <c r="B15" s="629" t="s">
        <v>2683</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9" t="s">
        <v>2556</v>
      </c>
      <c r="Q15" s="1810" t="str">
        <f t="shared" si="6"/>
        <v>办公集聚程度</v>
      </c>
      <c r="R15" s="774" t="s">
        <v>17</v>
      </c>
      <c r="S15" s="775">
        <f t="shared" si="0"/>
        <v>100</v>
      </c>
      <c r="T15" s="774" t="s">
        <v>17</v>
      </c>
      <c r="U15" s="775">
        <f t="shared" si="1"/>
        <v>100</v>
      </c>
      <c r="V15" s="774" t="s">
        <v>17</v>
      </c>
      <c r="W15" s="775">
        <f t="shared" si="2"/>
        <v>100</v>
      </c>
      <c r="X15" s="1813"/>
      <c r="Y15" s="3262" t="s">
        <v>2556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70"/>
      <c r="Q16" s="1810"/>
      <c r="R16" s="774"/>
      <c r="S16" s="775"/>
      <c r="T16" s="774"/>
      <c r="U16" s="775"/>
      <c r="V16" s="774"/>
      <c r="W16" s="775"/>
      <c r="X16" s="1813"/>
      <c r="Y16" s="3263"/>
      <c r="Z16" s="1814"/>
      <c r="AA16" s="1811">
        <v>1</v>
      </c>
      <c r="AB16" s="1811">
        <v>1</v>
      </c>
      <c r="AC16" s="2674">
        <v>1</v>
      </c>
    </row>
    <row r="17" spans="1:29" ht="15">
      <c r="A17" s="428"/>
      <c r="B17" s="631" t="s">
        <v>2093</v>
      </c>
      <c r="C17" s="2675"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0"/>
      <c r="Q17" s="1810" t="str">
        <f>B17</f>
        <v>交通便捷度</v>
      </c>
      <c r="R17" s="774" t="s">
        <v>17</v>
      </c>
      <c r="S17" s="775">
        <f>F17</f>
        <v>100</v>
      </c>
      <c r="T17" s="774" t="s">
        <v>17</v>
      </c>
      <c r="U17" s="775">
        <f>H17</f>
        <v>100</v>
      </c>
      <c r="V17" s="774" t="s">
        <v>17</v>
      </c>
      <c r="W17" s="775">
        <f>J17</f>
        <v>100</v>
      </c>
      <c r="X17" s="1813"/>
      <c r="Y17" s="3263"/>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70"/>
      <c r="Q18" s="1810"/>
      <c r="R18" s="774"/>
      <c r="S18" s="775"/>
      <c r="T18" s="774"/>
      <c r="U18" s="775"/>
      <c r="V18" s="774"/>
      <c r="W18" s="775"/>
      <c r="X18" s="1813"/>
      <c r="Y18" s="3263"/>
      <c r="Z18" s="1814"/>
      <c r="AA18" s="1811">
        <v>1</v>
      </c>
      <c r="AB18" s="1811">
        <v>1</v>
      </c>
      <c r="AC18" s="2674">
        <v>1</v>
      </c>
    </row>
    <row r="19" spans="1:29" ht="15">
      <c r="A19" s="428"/>
      <c r="B19" s="631" t="s">
        <v>2684</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0"/>
      <c r="Q19" s="1810" t="str">
        <f>B19</f>
        <v>公共配套设施</v>
      </c>
      <c r="R19" s="774" t="s">
        <v>17</v>
      </c>
      <c r="S19" s="775">
        <f>F19</f>
        <v>100</v>
      </c>
      <c r="T19" s="774" t="s">
        <v>17</v>
      </c>
      <c r="U19" s="775">
        <f>H19</f>
        <v>100</v>
      </c>
      <c r="V19" s="774" t="s">
        <v>17</v>
      </c>
      <c r="W19" s="775">
        <f>J19</f>
        <v>100</v>
      </c>
      <c r="X19" s="1813"/>
      <c r="Y19" s="3263"/>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70"/>
      <c r="Q20" s="1810"/>
      <c r="R20" s="774"/>
      <c r="S20" s="775"/>
      <c r="T20" s="774"/>
      <c r="U20" s="775"/>
      <c r="V20" s="774"/>
      <c r="W20" s="775"/>
      <c r="X20" s="1813"/>
      <c r="Y20" s="3263"/>
      <c r="Z20" s="1814"/>
      <c r="AA20" s="1811">
        <v>1</v>
      </c>
      <c r="AB20" s="1811">
        <v>1</v>
      </c>
      <c r="AC20" s="2674">
        <v>1</v>
      </c>
    </row>
    <row r="21" spans="1:29" ht="15">
      <c r="A21" s="428"/>
      <c r="B21" s="633" t="s">
        <v>2685</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0"/>
      <c r="Q21" s="1810" t="str">
        <f>B21</f>
        <v>基础设施水平</v>
      </c>
      <c r="R21" s="774" t="s">
        <v>17</v>
      </c>
      <c r="S21" s="775">
        <f>F21</f>
        <v>100</v>
      </c>
      <c r="T21" s="774" t="s">
        <v>17</v>
      </c>
      <c r="U21" s="775">
        <f>H21</f>
        <v>100</v>
      </c>
      <c r="V21" s="774" t="s">
        <v>17</v>
      </c>
      <c r="W21" s="775">
        <f>J21</f>
        <v>100</v>
      </c>
      <c r="X21" s="1813"/>
      <c r="Y21" s="3263"/>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70"/>
      <c r="Q22" s="1810"/>
      <c r="R22" s="774"/>
      <c r="S22" s="775"/>
      <c r="T22" s="774"/>
      <c r="U22" s="775"/>
      <c r="V22" s="774"/>
      <c r="W22" s="775"/>
      <c r="X22" s="1813"/>
      <c r="Y22" s="3263"/>
      <c r="Z22" s="1814"/>
      <c r="AA22" s="1811">
        <v>1</v>
      </c>
      <c r="AB22" s="1811">
        <v>1</v>
      </c>
      <c r="AC22" s="2674">
        <v>1</v>
      </c>
    </row>
    <row r="23" spans="1:29" ht="15">
      <c r="A23" s="428"/>
      <c r="B23" s="631" t="s">
        <v>2686</v>
      </c>
      <c r="C23" s="2675"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0"/>
      <c r="Q23" s="1810" t="str">
        <f>B23</f>
        <v>环境质量</v>
      </c>
      <c r="R23" s="774" t="s">
        <v>17</v>
      </c>
      <c r="S23" s="775">
        <f>F23</f>
        <v>100</v>
      </c>
      <c r="T23" s="774" t="s">
        <v>17</v>
      </c>
      <c r="U23" s="775">
        <f>H23</f>
        <v>100</v>
      </c>
      <c r="V23" s="774" t="s">
        <v>17</v>
      </c>
      <c r="W23" s="775">
        <f>J23</f>
        <v>100</v>
      </c>
      <c r="X23" s="1813"/>
      <c r="Y23" s="3263"/>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70"/>
      <c r="Q24" s="1810"/>
      <c r="R24" s="774"/>
      <c r="S24" s="775"/>
      <c r="T24" s="774"/>
      <c r="U24" s="775"/>
      <c r="V24" s="774"/>
      <c r="W24" s="775"/>
      <c r="X24" s="1813"/>
      <c r="Y24" s="3263"/>
      <c r="Z24" s="1814"/>
      <c r="AA24" s="1811">
        <v>1</v>
      </c>
      <c r="AB24" s="1811">
        <v>1</v>
      </c>
      <c r="AC24" s="2674">
        <v>1</v>
      </c>
    </row>
    <row r="25" spans="1:29" ht="27">
      <c r="A25" s="404"/>
      <c r="B25" s="631" t="s">
        <v>2687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70"/>
      <c r="Q25" s="1810" t="str">
        <f>B25</f>
        <v>毗邻道路的类型与等级</v>
      </c>
      <c r="R25" s="774" t="s">
        <v>17</v>
      </c>
      <c r="S25" s="775">
        <f>F25</f>
        <v>100</v>
      </c>
      <c r="T25" s="774" t="s">
        <v>17</v>
      </c>
      <c r="U25" s="775">
        <f>H25</f>
        <v>100</v>
      </c>
      <c r="V25" s="774" t="s">
        <v>17</v>
      </c>
      <c r="W25" s="775">
        <f>J25</f>
        <v>100</v>
      </c>
      <c r="X25" s="1813"/>
      <c r="Y25" s="3263"/>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70"/>
      <c r="Q26" s="1810"/>
      <c r="R26" s="774"/>
      <c r="S26" s="775"/>
      <c r="T26" s="774"/>
      <c r="U26" s="775"/>
      <c r="V26" s="774"/>
      <c r="W26" s="775"/>
      <c r="X26" s="1813"/>
      <c r="Y26" s="3263"/>
      <c r="Z26" s="1814"/>
      <c r="AA26" s="1811">
        <v>1</v>
      </c>
      <c r="AB26" s="1811">
        <v>1</v>
      </c>
      <c r="AC26" s="2674">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0"/>
      <c r="Q27" s="1810" t="str">
        <f t="shared" ref="Q27:Q47" si="11">B27</f>
        <v>楼层</v>
      </c>
      <c r="R27" s="774" t="s">
        <v>17</v>
      </c>
      <c r="S27" s="775">
        <f>F27</f>
        <v>100</v>
      </c>
      <c r="T27" s="774" t="s">
        <v>17</v>
      </c>
      <c r="U27" s="775">
        <f>H27</f>
        <v>100</v>
      </c>
      <c r="V27" s="774" t="s">
        <v>17</v>
      </c>
      <c r="W27" s="775">
        <f>J27</f>
        <v>100</v>
      </c>
      <c r="X27" s="1813"/>
      <c r="Y27" s="3263"/>
      <c r="Z27" s="1814" t="str">
        <f>Q27</f>
        <v>楼层</v>
      </c>
      <c r="AA27" s="1811">
        <f t="shared" si="3"/>
        <v>1</v>
      </c>
      <c r="AB27" s="1811">
        <f t="shared" si="4"/>
        <v>1</v>
      </c>
      <c r="AC27" s="2674">
        <f t="shared" si="5"/>
        <v>1</v>
      </c>
    </row>
    <row r="28" spans="1:29" s="117" customFormat="1" ht="15">
      <c r="A28" s="431"/>
      <c r="B28" s="631" t="s">
        <v>2688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70"/>
      <c r="Q28" s="1795" t="str">
        <f t="shared" si="11"/>
        <v>朝向</v>
      </c>
      <c r="R28" s="770" t="s">
        <v>17</v>
      </c>
      <c r="S28" s="771">
        <f>F28</f>
        <v>100</v>
      </c>
      <c r="T28" s="770" t="s">
        <v>17</v>
      </c>
      <c r="U28" s="771">
        <f>H28</f>
        <v>100</v>
      </c>
      <c r="V28" s="770" t="s">
        <v>17</v>
      </c>
      <c r="W28" s="771">
        <f>J28</f>
        <v>100</v>
      </c>
      <c r="X28" s="772"/>
      <c r="Y28" s="3263"/>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70"/>
      <c r="Q29" s="1810">
        <f t="shared" si="11"/>
        <v>111</v>
      </c>
      <c r="R29" s="774" t="s">
        <v>17</v>
      </c>
      <c r="S29" s="775">
        <f t="shared" ref="S29:S47" si="12">F29</f>
        <v>100</v>
      </c>
      <c r="T29" s="774" t="s">
        <v>17</v>
      </c>
      <c r="U29" s="775">
        <f t="shared" ref="U29:U47" si="13">H29</f>
        <v>100</v>
      </c>
      <c r="V29" s="774" t="s">
        <v>17</v>
      </c>
      <c r="W29" s="775">
        <f t="shared" ref="W29:W47" si="14">J29</f>
        <v>100</v>
      </c>
      <c r="X29" s="1813"/>
      <c r="Y29" s="3263"/>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70"/>
      <c r="Q30" s="1810">
        <f t="shared" si="11"/>
        <v>111</v>
      </c>
      <c r="R30" s="774" t="s">
        <v>17</v>
      </c>
      <c r="S30" s="775">
        <f t="shared" si="12"/>
        <v>100</v>
      </c>
      <c r="T30" s="774" t="s">
        <v>17</v>
      </c>
      <c r="U30" s="775">
        <f t="shared" si="13"/>
        <v>100</v>
      </c>
      <c r="V30" s="774" t="s">
        <v>17</v>
      </c>
      <c r="W30" s="775">
        <f t="shared" si="14"/>
        <v>100</v>
      </c>
      <c r="X30" s="1813"/>
      <c r="Y30" s="3263"/>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70"/>
      <c r="Q31" s="1810">
        <f t="shared" si="11"/>
        <v>111</v>
      </c>
      <c r="R31" s="774" t="s">
        <v>17</v>
      </c>
      <c r="S31" s="775">
        <f t="shared" si="12"/>
        <v>100</v>
      </c>
      <c r="T31" s="774" t="s">
        <v>17</v>
      </c>
      <c r="U31" s="775">
        <f t="shared" si="13"/>
        <v>100</v>
      </c>
      <c r="V31" s="774" t="s">
        <v>17</v>
      </c>
      <c r="W31" s="775">
        <f t="shared" si="14"/>
        <v>100</v>
      </c>
      <c r="X31" s="1813"/>
      <c r="Y31" s="3263"/>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70"/>
      <c r="Q32" s="1810">
        <f t="shared" si="11"/>
        <v>111</v>
      </c>
      <c r="R32" s="774" t="s">
        <v>17</v>
      </c>
      <c r="S32" s="775">
        <f t="shared" si="12"/>
        <v>100</v>
      </c>
      <c r="T32" s="774" t="s">
        <v>17</v>
      </c>
      <c r="U32" s="775">
        <f t="shared" si="13"/>
        <v>100</v>
      </c>
      <c r="V32" s="774" t="s">
        <v>17</v>
      </c>
      <c r="W32" s="775">
        <f t="shared" si="14"/>
        <v>100</v>
      </c>
      <c r="X32" s="1813"/>
      <c r="Y32" s="3263"/>
      <c r="Z32" s="1814">
        <f t="shared" si="15"/>
        <v>111</v>
      </c>
      <c r="AA32" s="1811">
        <f t="shared" si="3"/>
        <v>1</v>
      </c>
      <c r="AB32" s="1811">
        <f t="shared" si="4"/>
        <v>1</v>
      </c>
      <c r="AC32" s="2674">
        <f t="shared" si="5"/>
        <v>1</v>
      </c>
    </row>
    <row r="33" spans="1:29" ht="15">
      <c r="A33" s="440" t="s">
        <v>2559</v>
      </c>
      <c r="B33" s="71" t="s">
        <v>2689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64" t="s">
        <v>2561</v>
      </c>
      <c r="Q33" s="1810" t="str">
        <f t="shared" si="11"/>
        <v>建筑类型</v>
      </c>
      <c r="R33" s="774" t="s">
        <v>17</v>
      </c>
      <c r="S33" s="775">
        <f t="shared" si="12"/>
        <v>100</v>
      </c>
      <c r="T33" s="774" t="s">
        <v>17</v>
      </c>
      <c r="U33" s="775">
        <f t="shared" si="13"/>
        <v>100</v>
      </c>
      <c r="V33" s="774" t="s">
        <v>17</v>
      </c>
      <c r="W33" s="775">
        <f t="shared" si="14"/>
        <v>100</v>
      </c>
      <c r="X33" s="1813"/>
      <c r="Y33" s="3267" t="s">
        <v>2561</v>
      </c>
      <c r="Z33" s="1814" t="str">
        <f t="shared" si="15"/>
        <v>建筑类型</v>
      </c>
      <c r="AA33" s="1811">
        <f t="shared" si="3"/>
        <v>1</v>
      </c>
      <c r="AB33" s="1811">
        <f t="shared" si="4"/>
        <v>1</v>
      </c>
      <c r="AC33" s="2674">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5"/>
      <c r="Q34" s="776" t="str">
        <f t="shared" si="11"/>
        <v>项目建筑规模</v>
      </c>
      <c r="R34" s="777" t="s">
        <v>17</v>
      </c>
      <c r="S34" s="778" t="e">
        <f t="shared" si="12"/>
        <v>#N/A</v>
      </c>
      <c r="T34" s="777" t="s">
        <v>17</v>
      </c>
      <c r="U34" s="778" t="e">
        <f t="shared" si="13"/>
        <v>#N/A</v>
      </c>
      <c r="V34" s="777" t="s">
        <v>17</v>
      </c>
      <c r="W34" s="778" t="e">
        <f t="shared" si="14"/>
        <v>#N/A</v>
      </c>
      <c r="X34" s="779"/>
      <c r="Y34" s="3267"/>
      <c r="Z34" s="780" t="str">
        <f t="shared" si="15"/>
        <v>项目建筑规模</v>
      </c>
      <c r="AA34" s="1811" t="e">
        <f t="shared" si="3"/>
        <v>#N/A</v>
      </c>
      <c r="AB34" s="1811" t="e">
        <f t="shared" si="4"/>
        <v>#N/A</v>
      </c>
      <c r="AC34" s="2674"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5"/>
      <c r="Q35" s="1810" t="str">
        <f t="shared" si="11"/>
        <v>建筑结构</v>
      </c>
      <c r="R35" s="774" t="s">
        <v>17</v>
      </c>
      <c r="S35" s="775">
        <f t="shared" si="12"/>
        <v>100</v>
      </c>
      <c r="T35" s="774" t="s">
        <v>17</v>
      </c>
      <c r="U35" s="775">
        <f t="shared" si="13"/>
        <v>100</v>
      </c>
      <c r="V35" s="774" t="s">
        <v>17</v>
      </c>
      <c r="W35" s="775">
        <f t="shared" si="14"/>
        <v>100</v>
      </c>
      <c r="X35" s="1813"/>
      <c r="Y35" s="3267"/>
      <c r="Z35" s="1814" t="str">
        <f t="shared" si="15"/>
        <v>建筑结构</v>
      </c>
      <c r="AA35" s="1811">
        <f t="shared" si="3"/>
        <v>1</v>
      </c>
      <c r="AB35" s="1811">
        <f t="shared" si="4"/>
        <v>1</v>
      </c>
      <c r="AC35" s="2674">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5"/>
      <c r="Q36" s="1810" t="str">
        <f t="shared" si="11"/>
        <v>公共部分装修</v>
      </c>
      <c r="R36" s="774" t="s">
        <v>17</v>
      </c>
      <c r="S36" s="775">
        <f t="shared" si="12"/>
        <v>100</v>
      </c>
      <c r="T36" s="774" t="s">
        <v>17</v>
      </c>
      <c r="U36" s="775">
        <f t="shared" si="13"/>
        <v>100</v>
      </c>
      <c r="V36" s="774" t="s">
        <v>17</v>
      </c>
      <c r="W36" s="775">
        <f t="shared" si="14"/>
        <v>100</v>
      </c>
      <c r="X36" s="1813"/>
      <c r="Y36" s="3267"/>
      <c r="Z36" s="1814" t="str">
        <f t="shared" si="15"/>
        <v>公共部分装修</v>
      </c>
      <c r="AA36" s="1811">
        <f t="shared" si="3"/>
        <v>1</v>
      </c>
      <c r="AB36" s="1811">
        <f t="shared" si="4"/>
        <v>1</v>
      </c>
      <c r="AC36" s="2674">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5"/>
      <c r="Q37" s="1810" t="str">
        <f t="shared" si="11"/>
        <v>成新度</v>
      </c>
      <c r="R37" s="774" t="s">
        <v>17</v>
      </c>
      <c r="S37" s="775" t="e">
        <f t="shared" si="12"/>
        <v>#N/A</v>
      </c>
      <c r="T37" s="774" t="s">
        <v>17</v>
      </c>
      <c r="U37" s="775" t="e">
        <f t="shared" si="13"/>
        <v>#N/A</v>
      </c>
      <c r="V37" s="774" t="s">
        <v>17</v>
      </c>
      <c r="W37" s="775" t="e">
        <f t="shared" si="14"/>
        <v>#N/A</v>
      </c>
      <c r="X37" s="1813"/>
      <c r="Y37" s="3267"/>
      <c r="Z37" s="1814" t="str">
        <f t="shared" si="15"/>
        <v>成新度</v>
      </c>
      <c r="AA37" s="1811" t="e">
        <f t="shared" si="3"/>
        <v>#N/A</v>
      </c>
      <c r="AB37" s="1811" t="e">
        <f t="shared" si="4"/>
        <v>#N/A</v>
      </c>
      <c r="AC37" s="2674"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5"/>
      <c r="Q38" s="1795" t="str">
        <f t="shared" si="11"/>
        <v>写字楼等级</v>
      </c>
      <c r="R38" s="770" t="s">
        <v>17</v>
      </c>
      <c r="S38" s="771">
        <f t="shared" si="12"/>
        <v>100</v>
      </c>
      <c r="T38" s="770" t="s">
        <v>17</v>
      </c>
      <c r="U38" s="771">
        <f t="shared" si="13"/>
        <v>100</v>
      </c>
      <c r="V38" s="770" t="s">
        <v>17</v>
      </c>
      <c r="W38" s="771">
        <f t="shared" si="14"/>
        <v>100</v>
      </c>
      <c r="X38" s="772"/>
      <c r="Y38" s="3267"/>
      <c r="Z38" s="55" t="str">
        <f t="shared" si="15"/>
        <v>写字楼等级</v>
      </c>
      <c r="AA38" s="773">
        <f t="shared" si="3"/>
        <v>1</v>
      </c>
      <c r="AB38" s="773">
        <f t="shared" si="4"/>
        <v>1</v>
      </c>
      <c r="AC38" s="2671">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5" t="s">
        <v>2561</v>
      </c>
      <c r="Q39" s="1810" t="str">
        <f t="shared" si="11"/>
        <v>物业管理</v>
      </c>
      <c r="R39" s="774" t="s">
        <v>17</v>
      </c>
      <c r="S39" s="775">
        <f t="shared" si="12"/>
        <v>100</v>
      </c>
      <c r="T39" s="774" t="s">
        <v>17</v>
      </c>
      <c r="U39" s="775">
        <f t="shared" si="13"/>
        <v>100</v>
      </c>
      <c r="V39" s="774" t="s">
        <v>17</v>
      </c>
      <c r="W39" s="775">
        <f t="shared" si="14"/>
        <v>100</v>
      </c>
      <c r="X39" s="1813"/>
      <c r="Y39" s="3267" t="s">
        <v>2561</v>
      </c>
      <c r="Z39" s="1814" t="str">
        <f t="shared" si="15"/>
        <v>物业管理</v>
      </c>
      <c r="AA39" s="1811">
        <f t="shared" si="3"/>
        <v>1</v>
      </c>
      <c r="AB39" s="1811">
        <f t="shared" si="4"/>
        <v>1</v>
      </c>
      <c r="AC39" s="2674">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5"/>
      <c r="Q40" s="1810" t="str">
        <f t="shared" si="11"/>
        <v>市政基础设施</v>
      </c>
      <c r="R40" s="774" t="s">
        <v>17</v>
      </c>
      <c r="S40" s="775">
        <f t="shared" si="12"/>
        <v>100</v>
      </c>
      <c r="T40" s="774" t="s">
        <v>17</v>
      </c>
      <c r="U40" s="775">
        <f t="shared" si="13"/>
        <v>100</v>
      </c>
      <c r="V40" s="774" t="s">
        <v>17</v>
      </c>
      <c r="W40" s="775">
        <f t="shared" si="14"/>
        <v>100</v>
      </c>
      <c r="X40" s="1813"/>
      <c r="Y40" s="3267"/>
      <c r="Z40" s="1814" t="str">
        <f t="shared" si="15"/>
        <v>市政基础设施</v>
      </c>
      <c r="AA40" s="1811">
        <f t="shared" si="3"/>
        <v>1</v>
      </c>
      <c r="AB40" s="1811">
        <f t="shared" si="4"/>
        <v>1</v>
      </c>
      <c r="AC40" s="2674">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5"/>
      <c r="Q41" s="1810" t="str">
        <f t="shared" si="11"/>
        <v>层高</v>
      </c>
      <c r="R41" s="774" t="s">
        <v>17</v>
      </c>
      <c r="S41" s="775">
        <f t="shared" si="12"/>
        <v>100</v>
      </c>
      <c r="T41" s="774" t="s">
        <v>17</v>
      </c>
      <c r="U41" s="775">
        <f t="shared" si="13"/>
        <v>100</v>
      </c>
      <c r="V41" s="774" t="s">
        <v>17</v>
      </c>
      <c r="W41" s="775">
        <f t="shared" si="14"/>
        <v>100</v>
      </c>
      <c r="X41" s="1813"/>
      <c r="Y41" s="3267"/>
      <c r="Z41" s="1814" t="str">
        <f t="shared" si="15"/>
        <v>层高</v>
      </c>
      <c r="AA41" s="1811">
        <f t="shared" si="3"/>
        <v>1</v>
      </c>
      <c r="AB41" s="1811">
        <f t="shared" si="4"/>
        <v>1</v>
      </c>
      <c r="AC41" s="2674">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5"/>
      <c r="Q42" s="776" t="str">
        <f t="shared" si="11"/>
        <v>单套建筑面积</v>
      </c>
      <c r="R42" s="777" t="s">
        <v>17</v>
      </c>
      <c r="S42" s="778">
        <f t="shared" si="12"/>
        <v>100</v>
      </c>
      <c r="T42" s="777" t="s">
        <v>17</v>
      </c>
      <c r="U42" s="778">
        <f t="shared" si="13"/>
        <v>100</v>
      </c>
      <c r="V42" s="777" t="s">
        <v>17</v>
      </c>
      <c r="W42" s="778">
        <f t="shared" si="14"/>
        <v>100</v>
      </c>
      <c r="X42" s="779"/>
      <c r="Y42" s="3267"/>
      <c r="Z42" s="780" t="str">
        <f t="shared" si="15"/>
        <v>单套建筑面积</v>
      </c>
      <c r="AA42" s="1811">
        <f t="shared" si="3"/>
        <v>1</v>
      </c>
      <c r="AB42" s="1811">
        <f t="shared" si="4"/>
        <v>1</v>
      </c>
      <c r="AC42" s="2674">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5"/>
      <c r="Q43" s="1810" t="str">
        <f t="shared" si="11"/>
        <v>内部装修</v>
      </c>
      <c r="R43" s="774" t="s">
        <v>17</v>
      </c>
      <c r="S43" s="775">
        <f t="shared" si="12"/>
        <v>100</v>
      </c>
      <c r="T43" s="774" t="s">
        <v>17</v>
      </c>
      <c r="U43" s="775">
        <f t="shared" si="13"/>
        <v>100</v>
      </c>
      <c r="V43" s="774" t="s">
        <v>17</v>
      </c>
      <c r="W43" s="775">
        <f t="shared" si="14"/>
        <v>100</v>
      </c>
      <c r="X43" s="1813"/>
      <c r="Y43" s="3267"/>
      <c r="Z43" s="1814" t="str">
        <f t="shared" si="15"/>
        <v>内部装修</v>
      </c>
      <c r="AA43" s="1811">
        <f t="shared" si="3"/>
        <v>1</v>
      </c>
      <c r="AB43" s="1811">
        <f t="shared" si="4"/>
        <v>1</v>
      </c>
      <c r="AC43" s="2674">
        <f t="shared" si="5"/>
        <v>1</v>
      </c>
    </row>
    <row r="44" spans="1:29" ht="15">
      <c r="A44" s="472"/>
      <c r="B44" s="422" t="s">
        <v>2572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65"/>
      <c r="Q44" s="1810" t="str">
        <f t="shared" si="11"/>
        <v>内部装修维护情况</v>
      </c>
      <c r="R44" s="774" t="s">
        <v>17</v>
      </c>
      <c r="S44" s="775">
        <f t="shared" si="12"/>
        <v>100</v>
      </c>
      <c r="T44" s="774" t="s">
        <v>17</v>
      </c>
      <c r="U44" s="775">
        <f t="shared" si="13"/>
        <v>100</v>
      </c>
      <c r="V44" s="774" t="s">
        <v>17</v>
      </c>
      <c r="W44" s="775">
        <f t="shared" si="14"/>
        <v>100</v>
      </c>
      <c r="X44" s="1813"/>
      <c r="Y44" s="3267"/>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5"/>
      <c r="Q45" s="1795">
        <f t="shared" si="11"/>
        <v>111</v>
      </c>
      <c r="R45" s="770" t="s">
        <v>17</v>
      </c>
      <c r="S45" s="771">
        <f t="shared" si="12"/>
        <v>100</v>
      </c>
      <c r="T45" s="770" t="s">
        <v>17</v>
      </c>
      <c r="U45" s="771">
        <f t="shared" si="13"/>
        <v>100</v>
      </c>
      <c r="V45" s="770" t="s">
        <v>17</v>
      </c>
      <c r="W45" s="771">
        <f t="shared" si="14"/>
        <v>100</v>
      </c>
      <c r="X45" s="772"/>
      <c r="Y45" s="3267"/>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5"/>
      <c r="Q46" s="1810">
        <f t="shared" si="11"/>
        <v>111</v>
      </c>
      <c r="R46" s="774" t="s">
        <v>17</v>
      </c>
      <c r="S46" s="775">
        <f t="shared" si="12"/>
        <v>100</v>
      </c>
      <c r="T46" s="774" t="s">
        <v>17</v>
      </c>
      <c r="U46" s="775">
        <f t="shared" si="13"/>
        <v>100</v>
      </c>
      <c r="V46" s="774" t="s">
        <v>17</v>
      </c>
      <c r="W46" s="775">
        <f t="shared" si="14"/>
        <v>100</v>
      </c>
      <c r="X46" s="1813"/>
      <c r="Y46" s="3267"/>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6"/>
      <c r="Q47" s="1810">
        <f t="shared" si="11"/>
        <v>111</v>
      </c>
      <c r="R47" s="774" t="s">
        <v>17</v>
      </c>
      <c r="S47" s="775">
        <f t="shared" si="12"/>
        <v>100</v>
      </c>
      <c r="T47" s="774" t="s">
        <v>17</v>
      </c>
      <c r="U47" s="775">
        <f t="shared" si="13"/>
        <v>100</v>
      </c>
      <c r="V47" s="774" t="s">
        <v>17</v>
      </c>
      <c r="W47" s="775">
        <f t="shared" si="14"/>
        <v>100</v>
      </c>
      <c r="X47" s="1813"/>
      <c r="Y47" s="3268"/>
      <c r="Z47" s="1814">
        <f t="shared" si="15"/>
        <v>111</v>
      </c>
      <c r="AA47" s="1811">
        <f t="shared" si="3"/>
        <v>1</v>
      </c>
      <c r="AB47" s="1811">
        <f t="shared" si="4"/>
        <v>1</v>
      </c>
      <c r="AC47" s="2674">
        <f t="shared" si="5"/>
        <v>1</v>
      </c>
    </row>
    <row r="48" spans="1:29" ht="15">
      <c r="A48" s="479" t="s">
        <v>2573</v>
      </c>
      <c r="B48" s="480"/>
      <c r="C48" s="1407" t="s">
        <v>1</v>
      </c>
      <c r="D48" s="1408"/>
      <c r="E48" s="1409"/>
      <c r="F48" s="1410"/>
      <c r="G48" s="1411"/>
      <c r="H48" s="1412"/>
      <c r="I48" s="1409"/>
      <c r="J48" s="485"/>
      <c r="K48" s="783"/>
      <c r="L48" s="1143"/>
      <c r="M48" s="1131"/>
      <c r="N48" s="1131"/>
      <c r="O48" s="1131"/>
      <c r="P48" s="3242" t="str">
        <f>A48</f>
        <v>成交单价（元/平方米）</v>
      </c>
      <c r="Q48" s="3260"/>
      <c r="R48" s="3261">
        <f>E48</f>
        <v>0</v>
      </c>
      <c r="S48" s="3261"/>
      <c r="T48" s="3261">
        <f>G48</f>
        <v>0</v>
      </c>
      <c r="U48" s="3261"/>
      <c r="V48" s="3261">
        <f>I48</f>
        <v>0</v>
      </c>
      <c r="W48" s="3261"/>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42"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86" t="str">
        <f>A50</f>
        <v>估价对象XX用房的比较价值（楼面单价，元/平方米）</v>
      </c>
      <c r="Q50" s="3287"/>
      <c r="R50" s="3288" t="e">
        <f>IF(F1="售价",ROUND(AVERAGE(R49:V49),0),ROUND(AVERAGE(R49:V49),1))</f>
        <v>#DIV/0!</v>
      </c>
      <c r="S50" s="3288"/>
      <c r="T50" s="3288"/>
      <c r="U50" s="3288"/>
      <c r="V50" s="3288"/>
      <c r="W50" s="328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1"/>
      <c r="Q58" s="504"/>
    </row>
    <row r="59" spans="1:29" s="508" customFormat="1" ht="15">
      <c r="A59" s="505" t="s">
        <v>2544</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2581</v>
      </c>
      <c r="B61" s="516"/>
      <c r="C61" s="517"/>
      <c r="D61" s="518"/>
      <c r="E61" s="518"/>
      <c r="F61" s="518"/>
      <c r="G61" s="518"/>
      <c r="H61" s="518"/>
      <c r="I61" s="518"/>
      <c r="J61" s="518"/>
      <c r="K61" s="518"/>
      <c r="L61" s="518"/>
      <c r="M61" s="519"/>
      <c r="N61" s="518"/>
      <c r="O61" s="519"/>
      <c r="P61" s="2682"/>
      <c r="Q61" s="504"/>
    </row>
    <row r="62" spans="1:29" s="117" customFormat="1" ht="15">
      <c r="A62" s="521" t="s">
        <v>2546</v>
      </c>
      <c r="B62" s="510"/>
      <c r="C62" s="522" t="s">
        <v>2648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2584</v>
      </c>
      <c r="B64" s="528" t="s">
        <v>2550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2559</v>
      </c>
      <c r="B101" s="528" t="s">
        <v>2608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2698</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6"/>
      <c r="D2" s="1124"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4376.09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30" t="s">
        <v>2643</v>
      </c>
      <c r="S4" s="3231"/>
      <c r="T4" s="3230" t="s">
        <v>2644</v>
      </c>
      <c r="U4" s="3231"/>
      <c r="V4" s="3255" t="s">
        <v>2645</v>
      </c>
      <c r="W4" s="3255"/>
      <c r="X4" s="1813"/>
      <c r="Y4" s="3230" t="s">
        <v>2647</v>
      </c>
      <c r="Z4" s="3231"/>
      <c r="AA4" s="3225" t="s">
        <v>2643</v>
      </c>
      <c r="AB4" s="3226" t="s">
        <v>2644</v>
      </c>
      <c r="AC4" s="3225" t="s">
        <v>2645</v>
      </c>
    </row>
    <row r="5" spans="1:29" ht="15">
      <c r="A5" s="404"/>
      <c r="B5" s="405"/>
      <c r="C5" s="3236" t="s">
        <v>2538</v>
      </c>
      <c r="D5" s="3237"/>
      <c r="E5" s="3234" t="s">
        <v>2539</v>
      </c>
      <c r="F5" s="3235"/>
      <c r="G5" s="3236" t="s">
        <v>2540</v>
      </c>
      <c r="H5" s="3237"/>
      <c r="I5" s="3236" t="s">
        <v>2541</v>
      </c>
      <c r="J5" s="3237"/>
      <c r="K5" s="610"/>
      <c r="L5" s="1130"/>
      <c r="M5" s="1131"/>
      <c r="N5" s="1131"/>
      <c r="O5" s="1131"/>
      <c r="P5" s="3249"/>
      <c r="Q5" s="3250"/>
      <c r="R5" s="3232"/>
      <c r="S5" s="3233"/>
      <c r="T5" s="3232"/>
      <c r="U5" s="3233"/>
      <c r="V5" s="3255"/>
      <c r="W5" s="3255"/>
      <c r="X5" s="1813"/>
      <c r="Y5" s="3232"/>
      <c r="Z5" s="3233"/>
      <c r="AA5" s="3226"/>
      <c r="AB5" s="3226"/>
      <c r="AC5" s="3226"/>
    </row>
    <row r="6" spans="1:29" ht="15.75" thickBot="1">
      <c r="A6" s="406"/>
      <c r="B6" s="407"/>
      <c r="C6" s="3238" t="s">
        <v>2542</v>
      </c>
      <c r="D6" s="3239"/>
      <c r="E6" s="3240" t="s">
        <v>2542</v>
      </c>
      <c r="F6" s="3241"/>
      <c r="G6" s="3238" t="s">
        <v>2542</v>
      </c>
      <c r="H6" s="3239"/>
      <c r="I6" s="3238" t="s">
        <v>2542</v>
      </c>
      <c r="J6" s="3239"/>
      <c r="K6" s="610" t="s">
        <v>2543</v>
      </c>
      <c r="L6" s="1130"/>
      <c r="M6" s="1131"/>
      <c r="N6" s="1131"/>
      <c r="O6" s="1131"/>
      <c r="P6" s="3251"/>
      <c r="Q6" s="3252"/>
      <c r="R6" s="3232"/>
      <c r="S6" s="3233"/>
      <c r="T6" s="3253"/>
      <c r="U6" s="3254"/>
      <c r="V6" s="3255"/>
      <c r="W6" s="3255"/>
      <c r="X6" s="1813"/>
      <c r="Y6" s="3253"/>
      <c r="Z6" s="3254"/>
      <c r="AA6" s="3227"/>
      <c r="AB6" s="3227"/>
      <c r="AC6" s="3227"/>
    </row>
    <row r="7" spans="1:29" s="117" customFormat="1" ht="15.75" thickBot="1">
      <c r="A7" s="408" t="s">
        <v>2544</v>
      </c>
      <c r="B7" s="409"/>
      <c r="C7" s="410">
        <f>'数据-取费表'!B2</f>
        <v>43734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8" t="s">
        <v>2545</v>
      </c>
      <c r="Q7" s="3256"/>
      <c r="R7" s="770" t="s">
        <v>17</v>
      </c>
      <c r="S7" s="771">
        <f t="shared" ref="S7:S15" si="0">F7</f>
        <v>0</v>
      </c>
      <c r="T7" s="770" t="s">
        <v>17</v>
      </c>
      <c r="U7" s="771">
        <f t="shared" ref="U7:U15" si="1">H7</f>
        <v>0</v>
      </c>
      <c r="V7" s="770" t="s">
        <v>17</v>
      </c>
      <c r="W7" s="771">
        <f t="shared" ref="W7:W15" si="2">J7</f>
        <v>0</v>
      </c>
      <c r="X7" s="772"/>
      <c r="Y7" s="3228" t="s">
        <v>2545</v>
      </c>
      <c r="Z7" s="3229"/>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0" t="s">
        <v>2551</v>
      </c>
      <c r="Q9" s="1795" t="str">
        <f t="shared" ref="Q9:Q15" si="6">B9</f>
        <v>用途</v>
      </c>
      <c r="R9" s="770" t="s">
        <v>17</v>
      </c>
      <c r="S9" s="771">
        <f t="shared" si="0"/>
        <v>100</v>
      </c>
      <c r="T9" s="770" t="s">
        <v>17</v>
      </c>
      <c r="U9" s="771">
        <f t="shared" si="1"/>
        <v>100</v>
      </c>
      <c r="V9" s="770" t="s">
        <v>17</v>
      </c>
      <c r="W9" s="771">
        <f t="shared" si="2"/>
        <v>100</v>
      </c>
      <c r="X9" s="772"/>
      <c r="Y9" s="307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0"/>
      <c r="Q10" s="1795"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0"/>
      <c r="Q11" s="1795"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60"/>
      <c r="Q12" s="1795">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60"/>
      <c r="Q13" s="1795">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60"/>
      <c r="Q14" s="1795">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773">
        <f t="shared" si="5"/>
        <v>1</v>
      </c>
    </row>
    <row r="15" spans="1:29" ht="57">
      <c r="A15" s="440" t="s">
        <v>2555</v>
      </c>
      <c r="B15" s="69" t="s">
        <v>2699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2" t="s">
        <v>2556</v>
      </c>
      <c r="Q15" s="1810" t="str">
        <f t="shared" si="6"/>
        <v>产业集聚程度</v>
      </c>
      <c r="R15" s="774" t="s">
        <v>17</v>
      </c>
      <c r="S15" s="775">
        <f t="shared" si="0"/>
        <v>100</v>
      </c>
      <c r="T15" s="774" t="s">
        <v>17</v>
      </c>
      <c r="U15" s="775">
        <f t="shared" si="1"/>
        <v>100</v>
      </c>
      <c r="V15" s="774" t="s">
        <v>17</v>
      </c>
      <c r="W15" s="775">
        <f t="shared" si="2"/>
        <v>100</v>
      </c>
      <c r="X15" s="1813"/>
      <c r="Y15" s="3262"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63"/>
      <c r="Q16" s="1810"/>
      <c r="R16" s="774"/>
      <c r="S16" s="775"/>
      <c r="T16" s="774"/>
      <c r="U16" s="775"/>
      <c r="V16" s="774"/>
      <c r="W16" s="775"/>
      <c r="X16" s="1813"/>
      <c r="Y16" s="3263"/>
      <c r="Z16" s="1814"/>
      <c r="AA16" s="1811">
        <v>1</v>
      </c>
      <c r="AB16" s="1811">
        <v>1</v>
      </c>
      <c r="AC16" s="1811">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3"/>
      <c r="Q17" s="1810" t="str">
        <f>B17</f>
        <v>交通便捷度</v>
      </c>
      <c r="R17" s="774" t="s">
        <v>17</v>
      </c>
      <c r="S17" s="775">
        <f>F17</f>
        <v>100</v>
      </c>
      <c r="T17" s="774" t="s">
        <v>17</v>
      </c>
      <c r="U17" s="775">
        <f>H17</f>
        <v>100</v>
      </c>
      <c r="V17" s="774" t="s">
        <v>17</v>
      </c>
      <c r="W17" s="775">
        <f>J17</f>
        <v>100</v>
      </c>
      <c r="X17" s="1813"/>
      <c r="Y17" s="326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63"/>
      <c r="Q18" s="1810"/>
      <c r="R18" s="774"/>
      <c r="S18" s="775"/>
      <c r="T18" s="774"/>
      <c r="U18" s="775"/>
      <c r="V18" s="774"/>
      <c r="W18" s="775"/>
      <c r="X18" s="1813"/>
      <c r="Y18" s="3263"/>
      <c r="Z18" s="1814"/>
      <c r="AA18" s="1811">
        <v>1</v>
      </c>
      <c r="AB18" s="1811">
        <v>1</v>
      </c>
      <c r="AC18" s="1811">
        <v>1</v>
      </c>
    </row>
    <row r="19" spans="1:29" ht="42.75">
      <c r="A19" s="428"/>
      <c r="B19" s="451" t="s">
        <v>2684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3"/>
      <c r="Q19" s="1810" t="str">
        <f>B19</f>
        <v>公共配套设施</v>
      </c>
      <c r="R19" s="774" t="s">
        <v>17</v>
      </c>
      <c r="S19" s="775">
        <f>F19</f>
        <v>100</v>
      </c>
      <c r="T19" s="774" t="s">
        <v>17</v>
      </c>
      <c r="U19" s="775">
        <f>H19</f>
        <v>100</v>
      </c>
      <c r="V19" s="774" t="s">
        <v>17</v>
      </c>
      <c r="W19" s="775">
        <f>J19</f>
        <v>100</v>
      </c>
      <c r="X19" s="1813"/>
      <c r="Y19" s="326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63"/>
      <c r="Q20" s="1810"/>
      <c r="R20" s="774"/>
      <c r="S20" s="775"/>
      <c r="T20" s="774"/>
      <c r="U20" s="775"/>
      <c r="V20" s="774"/>
      <c r="W20" s="775"/>
      <c r="X20" s="1813"/>
      <c r="Y20" s="3263"/>
      <c r="Z20" s="1814"/>
      <c r="AA20" s="1811">
        <v>1</v>
      </c>
      <c r="AB20" s="1811">
        <v>1</v>
      </c>
      <c r="AC20" s="1811">
        <v>1</v>
      </c>
    </row>
    <row r="21" spans="1:29" ht="28.5">
      <c r="A21" s="428"/>
      <c r="B21" s="1384" t="s">
        <v>2685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3"/>
      <c r="Q21" s="1810" t="str">
        <f>B21</f>
        <v>基础设施水平</v>
      </c>
      <c r="R21" s="774" t="s">
        <v>17</v>
      </c>
      <c r="S21" s="775">
        <f>F21</f>
        <v>100</v>
      </c>
      <c r="T21" s="774" t="s">
        <v>17</v>
      </c>
      <c r="U21" s="775">
        <f>H21</f>
        <v>100</v>
      </c>
      <c r="V21" s="774" t="s">
        <v>17</v>
      </c>
      <c r="W21" s="775">
        <f>J21</f>
        <v>100</v>
      </c>
      <c r="X21" s="1813"/>
      <c r="Y21" s="326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63"/>
      <c r="Q22" s="1810"/>
      <c r="R22" s="774"/>
      <c r="S22" s="775"/>
      <c r="T22" s="774"/>
      <c r="U22" s="775"/>
      <c r="V22" s="774"/>
      <c r="W22" s="775"/>
      <c r="X22" s="1813"/>
      <c r="Y22" s="3263"/>
      <c r="Z22" s="1814"/>
      <c r="AA22" s="1811">
        <v>1</v>
      </c>
      <c r="AB22" s="1811">
        <v>1</v>
      </c>
      <c r="AC22" s="1811">
        <v>1</v>
      </c>
    </row>
    <row r="23" spans="1:29" ht="71.25">
      <c r="A23" s="428"/>
      <c r="B23" s="451" t="s">
        <v>2686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3"/>
      <c r="Q23" s="1810" t="str">
        <f>B23</f>
        <v>环境质量</v>
      </c>
      <c r="R23" s="774" t="s">
        <v>17</v>
      </c>
      <c r="S23" s="775">
        <f>F23</f>
        <v>100</v>
      </c>
      <c r="T23" s="774" t="s">
        <v>17</v>
      </c>
      <c r="U23" s="775">
        <f>H23</f>
        <v>100</v>
      </c>
      <c r="V23" s="774" t="s">
        <v>17</v>
      </c>
      <c r="W23" s="775">
        <f>J23</f>
        <v>100</v>
      </c>
      <c r="X23" s="1813"/>
      <c r="Y23" s="3263"/>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63"/>
      <c r="Q24" s="1810"/>
      <c r="R24" s="774"/>
      <c r="S24" s="775"/>
      <c r="T24" s="774"/>
      <c r="U24" s="775"/>
      <c r="V24" s="774"/>
      <c r="W24" s="775"/>
      <c r="X24" s="1813"/>
      <c r="Y24" s="326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3"/>
      <c r="Q25" s="1810">
        <f>B25</f>
        <v>111</v>
      </c>
      <c r="R25" s="774" t="s">
        <v>17</v>
      </c>
      <c r="S25" s="775">
        <f>F25</f>
        <v>100</v>
      </c>
      <c r="T25" s="774" t="s">
        <v>17</v>
      </c>
      <c r="U25" s="775">
        <f>H25</f>
        <v>100</v>
      </c>
      <c r="V25" s="774" t="s">
        <v>17</v>
      </c>
      <c r="W25" s="775">
        <f>J25</f>
        <v>100</v>
      </c>
      <c r="X25" s="1813"/>
      <c r="Y25" s="326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3"/>
      <c r="Q26" s="1810">
        <f t="shared" ref="Q26:Q40" si="11">B26</f>
        <v>111</v>
      </c>
      <c r="R26" s="774" t="s">
        <v>17</v>
      </c>
      <c r="S26" s="775">
        <f>F26</f>
        <v>100</v>
      </c>
      <c r="T26" s="774" t="s">
        <v>17</v>
      </c>
      <c r="U26" s="775">
        <f>H26</f>
        <v>100</v>
      </c>
      <c r="V26" s="774" t="s">
        <v>17</v>
      </c>
      <c r="W26" s="775">
        <f>J26</f>
        <v>100</v>
      </c>
      <c r="X26" s="1813"/>
      <c r="Y26" s="326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3"/>
      <c r="Q27" s="1795">
        <f t="shared" si="11"/>
        <v>111</v>
      </c>
      <c r="R27" s="770" t="s">
        <v>17</v>
      </c>
      <c r="S27" s="771">
        <f>F27</f>
        <v>100</v>
      </c>
      <c r="T27" s="770" t="s">
        <v>17</v>
      </c>
      <c r="U27" s="771">
        <f>H27</f>
        <v>100</v>
      </c>
      <c r="V27" s="770" t="s">
        <v>17</v>
      </c>
      <c r="W27" s="771">
        <f>J27</f>
        <v>100</v>
      </c>
      <c r="X27" s="772"/>
      <c r="Y27" s="326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3"/>
      <c r="Q28" s="1810">
        <f t="shared" si="11"/>
        <v>111</v>
      </c>
      <c r="R28" s="774" t="s">
        <v>17</v>
      </c>
      <c r="S28" s="775">
        <f t="shared" ref="S28:S40" si="12">F28</f>
        <v>100</v>
      </c>
      <c r="T28" s="774" t="s">
        <v>17</v>
      </c>
      <c r="U28" s="775">
        <f t="shared" ref="U28:U40" si="13">H28</f>
        <v>100</v>
      </c>
      <c r="V28" s="774" t="s">
        <v>17</v>
      </c>
      <c r="W28" s="775">
        <f t="shared" ref="W28:W40" si="14">J28</f>
        <v>100</v>
      </c>
      <c r="X28" s="1813"/>
      <c r="Y28" s="3263"/>
      <c r="Z28" s="1814">
        <f t="shared" ref="Z28:Z40" si="15">Q28</f>
        <v>111</v>
      </c>
      <c r="AA28" s="1811">
        <f t="shared" si="3"/>
        <v>1</v>
      </c>
      <c r="AB28" s="1811">
        <f t="shared" si="4"/>
        <v>1</v>
      </c>
      <c r="AC28" s="1811">
        <f t="shared" si="5"/>
        <v>1</v>
      </c>
    </row>
    <row r="29" spans="1:29" ht="28.5">
      <c r="A29" s="466" t="s">
        <v>2559</v>
      </c>
      <c r="B29" s="71" t="s">
        <v>2689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89" t="s">
        <v>2561</v>
      </c>
      <c r="Q29" s="1810" t="str">
        <f t="shared" si="11"/>
        <v>建筑类型</v>
      </c>
      <c r="R29" s="774" t="s">
        <v>17</v>
      </c>
      <c r="S29" s="775">
        <f t="shared" si="12"/>
        <v>100</v>
      </c>
      <c r="T29" s="774" t="s">
        <v>17</v>
      </c>
      <c r="U29" s="775">
        <f t="shared" si="13"/>
        <v>100</v>
      </c>
      <c r="V29" s="774" t="s">
        <v>17</v>
      </c>
      <c r="W29" s="775">
        <f t="shared" si="14"/>
        <v>100</v>
      </c>
      <c r="X29" s="1813"/>
      <c r="Y29" s="3267"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7"/>
      <c r="Q30" s="776" t="str">
        <f t="shared" si="11"/>
        <v>项目建筑规模</v>
      </c>
      <c r="R30" s="777" t="s">
        <v>17</v>
      </c>
      <c r="S30" s="778" t="e">
        <f t="shared" si="12"/>
        <v>#N/A</v>
      </c>
      <c r="T30" s="777" t="s">
        <v>17</v>
      </c>
      <c r="U30" s="778" t="e">
        <f t="shared" si="13"/>
        <v>#N/A</v>
      </c>
      <c r="V30" s="777" t="s">
        <v>17</v>
      </c>
      <c r="W30" s="778" t="e">
        <f t="shared" si="14"/>
        <v>#N/A</v>
      </c>
      <c r="X30" s="779"/>
      <c r="Y30" s="3267"/>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7"/>
      <c r="Q31" s="1810" t="str">
        <f t="shared" si="11"/>
        <v>建筑结构</v>
      </c>
      <c r="R31" s="774" t="s">
        <v>17</v>
      </c>
      <c r="S31" s="775">
        <f t="shared" si="12"/>
        <v>100</v>
      </c>
      <c r="T31" s="774" t="s">
        <v>17</v>
      </c>
      <c r="U31" s="775">
        <f t="shared" si="13"/>
        <v>100</v>
      </c>
      <c r="V31" s="774" t="s">
        <v>17</v>
      </c>
      <c r="W31" s="775">
        <f t="shared" si="14"/>
        <v>100</v>
      </c>
      <c r="X31" s="1813"/>
      <c r="Y31" s="3267"/>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7"/>
      <c r="Q32" s="1810" t="str">
        <f t="shared" si="11"/>
        <v>公共部分装修</v>
      </c>
      <c r="R32" s="774" t="s">
        <v>17</v>
      </c>
      <c r="S32" s="775">
        <f t="shared" si="12"/>
        <v>100</v>
      </c>
      <c r="T32" s="774" t="s">
        <v>17</v>
      </c>
      <c r="U32" s="775">
        <f t="shared" si="13"/>
        <v>100</v>
      </c>
      <c r="V32" s="774" t="s">
        <v>17</v>
      </c>
      <c r="W32" s="775">
        <f t="shared" si="14"/>
        <v>100</v>
      </c>
      <c r="X32" s="1813"/>
      <c r="Y32" s="3267"/>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7"/>
      <c r="Q33" s="1810" t="str">
        <f t="shared" si="11"/>
        <v>成新度</v>
      </c>
      <c r="R33" s="774" t="s">
        <v>17</v>
      </c>
      <c r="S33" s="775" t="e">
        <f t="shared" si="12"/>
        <v>#N/A</v>
      </c>
      <c r="T33" s="774" t="s">
        <v>17</v>
      </c>
      <c r="U33" s="775" t="e">
        <f t="shared" si="13"/>
        <v>#N/A</v>
      </c>
      <c r="V33" s="774" t="s">
        <v>17</v>
      </c>
      <c r="W33" s="775" t="e">
        <f t="shared" si="14"/>
        <v>#N/A</v>
      </c>
      <c r="X33" s="1813"/>
      <c r="Y33" s="3267"/>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7"/>
      <c r="Q34" s="1795" t="str">
        <f t="shared" si="11"/>
        <v>物业管理</v>
      </c>
      <c r="R34" s="770" t="s">
        <v>17</v>
      </c>
      <c r="S34" s="771">
        <f t="shared" si="12"/>
        <v>100</v>
      </c>
      <c r="T34" s="770" t="s">
        <v>17</v>
      </c>
      <c r="U34" s="771">
        <f t="shared" si="13"/>
        <v>100</v>
      </c>
      <c r="V34" s="770" t="s">
        <v>17</v>
      </c>
      <c r="W34" s="771">
        <f t="shared" si="14"/>
        <v>100</v>
      </c>
      <c r="X34" s="772"/>
      <c r="Y34" s="3267"/>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7" t="s">
        <v>2561</v>
      </c>
      <c r="Q35" s="1810" t="str">
        <f t="shared" si="11"/>
        <v>市政基础设施</v>
      </c>
      <c r="R35" s="774" t="s">
        <v>17</v>
      </c>
      <c r="S35" s="775">
        <f t="shared" si="12"/>
        <v>100</v>
      </c>
      <c r="T35" s="774" t="s">
        <v>17</v>
      </c>
      <c r="U35" s="775">
        <f t="shared" si="13"/>
        <v>100</v>
      </c>
      <c r="V35" s="774" t="s">
        <v>17</v>
      </c>
      <c r="W35" s="775">
        <f t="shared" si="14"/>
        <v>100</v>
      </c>
      <c r="X35" s="1813"/>
      <c r="Y35" s="3267"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7"/>
      <c r="Q36" s="1810" t="str">
        <f t="shared" si="11"/>
        <v>内部装修</v>
      </c>
      <c r="R36" s="774" t="s">
        <v>17</v>
      </c>
      <c r="S36" s="775">
        <f t="shared" si="12"/>
        <v>100</v>
      </c>
      <c r="T36" s="774" t="s">
        <v>17</v>
      </c>
      <c r="U36" s="775">
        <f t="shared" si="13"/>
        <v>100</v>
      </c>
      <c r="V36" s="774" t="s">
        <v>17</v>
      </c>
      <c r="W36" s="775">
        <f t="shared" si="14"/>
        <v>100</v>
      </c>
      <c r="X36" s="1813"/>
      <c r="Y36" s="3267"/>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7"/>
      <c r="Q37" s="1810" t="str">
        <f t="shared" si="11"/>
        <v>内部装修状况</v>
      </c>
      <c r="R37" s="774" t="s">
        <v>17</v>
      </c>
      <c r="S37" s="775">
        <f t="shared" si="12"/>
        <v>100</v>
      </c>
      <c r="T37" s="774" t="s">
        <v>17</v>
      </c>
      <c r="U37" s="775">
        <f t="shared" si="13"/>
        <v>100</v>
      </c>
      <c r="V37" s="774" t="s">
        <v>17</v>
      </c>
      <c r="W37" s="775">
        <f t="shared" si="14"/>
        <v>100</v>
      </c>
      <c r="X37" s="1813"/>
      <c r="Y37" s="326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7"/>
      <c r="Q38" s="776">
        <f t="shared" si="11"/>
        <v>111</v>
      </c>
      <c r="R38" s="777" t="s">
        <v>17</v>
      </c>
      <c r="S38" s="778">
        <f t="shared" si="12"/>
        <v>100</v>
      </c>
      <c r="T38" s="777" t="s">
        <v>17</v>
      </c>
      <c r="U38" s="778">
        <f t="shared" si="13"/>
        <v>100</v>
      </c>
      <c r="V38" s="777" t="s">
        <v>17</v>
      </c>
      <c r="W38" s="778">
        <f t="shared" si="14"/>
        <v>100</v>
      </c>
      <c r="X38" s="779"/>
      <c r="Y38" s="326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7"/>
      <c r="Q39" s="1810">
        <f t="shared" si="11"/>
        <v>111</v>
      </c>
      <c r="R39" s="774" t="s">
        <v>17</v>
      </c>
      <c r="S39" s="775">
        <f t="shared" si="12"/>
        <v>100</v>
      </c>
      <c r="T39" s="774" t="s">
        <v>17</v>
      </c>
      <c r="U39" s="775">
        <f t="shared" si="13"/>
        <v>100</v>
      </c>
      <c r="V39" s="774" t="s">
        <v>17</v>
      </c>
      <c r="W39" s="775">
        <f t="shared" si="14"/>
        <v>100</v>
      </c>
      <c r="X39" s="1813"/>
      <c r="Y39" s="3267"/>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8"/>
      <c r="Q40" s="1810">
        <f t="shared" si="11"/>
        <v>111</v>
      </c>
      <c r="R40" s="774" t="s">
        <v>17</v>
      </c>
      <c r="S40" s="775">
        <f t="shared" si="12"/>
        <v>100</v>
      </c>
      <c r="T40" s="774" t="s">
        <v>17</v>
      </c>
      <c r="U40" s="775">
        <f t="shared" si="13"/>
        <v>100</v>
      </c>
      <c r="V40" s="774" t="s">
        <v>17</v>
      </c>
      <c r="W40" s="775">
        <f t="shared" si="14"/>
        <v>100</v>
      </c>
      <c r="X40" s="1813"/>
      <c r="Y40" s="3268"/>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60" t="str">
        <f>A41</f>
        <v>成交单价（元/平方米）</v>
      </c>
      <c r="Q41" s="3260"/>
      <c r="R41" s="3261">
        <f>E41</f>
        <v>0</v>
      </c>
      <c r="S41" s="3261"/>
      <c r="T41" s="3261">
        <f>G41</f>
        <v>0</v>
      </c>
      <c r="U41" s="3261"/>
      <c r="V41" s="3261">
        <f>I41</f>
        <v>0</v>
      </c>
      <c r="W41" s="3261"/>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57" t="str">
        <f>A43</f>
        <v>估价对象XX用房的比较价值（楼面单价，元/平方米）</v>
      </c>
      <c r="Q43" s="3258"/>
      <c r="R43" s="3259" t="e">
        <f>IF(F1="售价",ROUND(AVERAGE(R42:V42),0),ROUND(AVERAGE(R42:V42),1))</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4"/>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30" t="s">
        <v>2643</v>
      </c>
      <c r="S4" s="3231"/>
      <c r="T4" s="3230" t="s">
        <v>2644</v>
      </c>
      <c r="U4" s="3231"/>
      <c r="V4" s="3255" t="s">
        <v>2645</v>
      </c>
      <c r="W4" s="3255"/>
      <c r="X4" s="1813"/>
      <c r="Y4" s="3230" t="s">
        <v>2647</v>
      </c>
      <c r="Z4" s="3231"/>
      <c r="AA4" s="3225" t="s">
        <v>2643</v>
      </c>
      <c r="AB4" s="3226" t="s">
        <v>2644</v>
      </c>
      <c r="AC4" s="3225" t="s">
        <v>2645</v>
      </c>
    </row>
    <row r="5" spans="1:29" ht="15">
      <c r="A5" s="404"/>
      <c r="B5" s="405"/>
      <c r="C5" s="3236" t="s">
        <v>2538</v>
      </c>
      <c r="D5" s="3237"/>
      <c r="E5" s="3234" t="s">
        <v>2539</v>
      </c>
      <c r="F5" s="3235"/>
      <c r="G5" s="3236" t="s">
        <v>2540</v>
      </c>
      <c r="H5" s="3237"/>
      <c r="I5" s="3236" t="s">
        <v>2541</v>
      </c>
      <c r="J5" s="3237"/>
      <c r="K5" s="610"/>
      <c r="L5" s="1130"/>
      <c r="M5" s="1131"/>
      <c r="N5" s="1131"/>
      <c r="O5" s="1131"/>
      <c r="P5" s="3249"/>
      <c r="Q5" s="3250"/>
      <c r="R5" s="3232"/>
      <c r="S5" s="3233"/>
      <c r="T5" s="3232"/>
      <c r="U5" s="3233"/>
      <c r="V5" s="3255"/>
      <c r="W5" s="3255"/>
      <c r="X5" s="1813"/>
      <c r="Y5" s="3232"/>
      <c r="Z5" s="3233"/>
      <c r="AA5" s="3226"/>
      <c r="AB5" s="3226"/>
      <c r="AC5" s="3226"/>
    </row>
    <row r="6" spans="1:29" ht="15.75" thickBot="1">
      <c r="A6" s="406"/>
      <c r="B6" s="407"/>
      <c r="C6" s="3238" t="s">
        <v>2542</v>
      </c>
      <c r="D6" s="3239"/>
      <c r="E6" s="3240" t="s">
        <v>2542</v>
      </c>
      <c r="F6" s="3241"/>
      <c r="G6" s="3238" t="s">
        <v>2542</v>
      </c>
      <c r="H6" s="3239"/>
      <c r="I6" s="3238" t="s">
        <v>2542</v>
      </c>
      <c r="J6" s="3239"/>
      <c r="K6" s="610" t="s">
        <v>2543</v>
      </c>
      <c r="L6" s="1130"/>
      <c r="M6" s="1131"/>
      <c r="N6" s="1131"/>
      <c r="O6" s="1131"/>
      <c r="P6" s="3251"/>
      <c r="Q6" s="3252"/>
      <c r="R6" s="3232"/>
      <c r="S6" s="3233"/>
      <c r="T6" s="3253"/>
      <c r="U6" s="3254"/>
      <c r="V6" s="3255"/>
      <c r="W6" s="3255"/>
      <c r="X6" s="1813"/>
      <c r="Y6" s="3253"/>
      <c r="Z6" s="3254"/>
      <c r="AA6" s="3227"/>
      <c r="AB6" s="3227"/>
      <c r="AC6" s="3227"/>
    </row>
    <row r="7" spans="1:29" s="117" customFormat="1" ht="15.75" thickBot="1">
      <c r="A7" s="408" t="s">
        <v>2544</v>
      </c>
      <c r="B7" s="409"/>
      <c r="C7" s="410">
        <f>'数据-取费表'!B2</f>
        <v>43734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8" t="s">
        <v>2545</v>
      </c>
      <c r="Q7" s="3256"/>
      <c r="R7" s="770" t="s">
        <v>17</v>
      </c>
      <c r="S7" s="771">
        <f t="shared" ref="S7:S14" si="0">F7</f>
        <v>0</v>
      </c>
      <c r="T7" s="770" t="s">
        <v>17</v>
      </c>
      <c r="U7" s="771">
        <f t="shared" ref="U7:U14" si="1">H7</f>
        <v>0</v>
      </c>
      <c r="V7" s="770" t="s">
        <v>17</v>
      </c>
      <c r="W7" s="771">
        <f t="shared" ref="W7:W14" si="2">J7</f>
        <v>0</v>
      </c>
      <c r="X7" s="772"/>
      <c r="Y7" s="3228" t="s">
        <v>2545</v>
      </c>
      <c r="Z7" s="3229"/>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0" t="s">
        <v>2551</v>
      </c>
      <c r="Q9" s="1795" t="str">
        <f t="shared" ref="Q9:Q14" si="6">B9</f>
        <v>用途</v>
      </c>
      <c r="R9" s="770" t="s">
        <v>17</v>
      </c>
      <c r="S9" s="771">
        <f t="shared" si="0"/>
        <v>100</v>
      </c>
      <c r="T9" s="770" t="s">
        <v>17</v>
      </c>
      <c r="U9" s="771">
        <f t="shared" si="1"/>
        <v>100</v>
      </c>
      <c r="V9" s="770" t="s">
        <v>17</v>
      </c>
      <c r="W9" s="771">
        <f t="shared" si="2"/>
        <v>100</v>
      </c>
      <c r="X9" s="772"/>
      <c r="Y9" s="3076"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0"/>
      <c r="Q10" s="1795"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0"/>
      <c r="Q11" s="1795">
        <f t="shared" si="6"/>
        <v>111</v>
      </c>
      <c r="R11" s="770" t="s">
        <v>17</v>
      </c>
      <c r="S11" s="771">
        <f t="shared" si="0"/>
        <v>100</v>
      </c>
      <c r="T11" s="770" t="s">
        <v>17</v>
      </c>
      <c r="U11" s="771">
        <f t="shared" si="1"/>
        <v>100</v>
      </c>
      <c r="V11" s="770" t="s">
        <v>17</v>
      </c>
      <c r="W11" s="771">
        <f t="shared" si="2"/>
        <v>100</v>
      </c>
      <c r="X11" s="772"/>
      <c r="Y11" s="307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0"/>
      <c r="Q12" s="1795">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0"/>
      <c r="Q13" s="1795">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
      <c r="A14" s="401" t="s">
        <v>2555</v>
      </c>
      <c r="B14" s="629" t="s">
        <v>2705</v>
      </c>
      <c r="C14" s="2693"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2" t="s">
        <v>2556</v>
      </c>
      <c r="Q14" s="1810" t="str">
        <f t="shared" si="6"/>
        <v>交通便捷度</v>
      </c>
      <c r="R14" s="774" t="s">
        <v>17</v>
      </c>
      <c r="S14" s="775">
        <f t="shared" si="0"/>
        <v>100</v>
      </c>
      <c r="T14" s="774" t="s">
        <v>17</v>
      </c>
      <c r="U14" s="775">
        <f t="shared" si="1"/>
        <v>100</v>
      </c>
      <c r="V14" s="774" t="s">
        <v>17</v>
      </c>
      <c r="W14" s="775">
        <f t="shared" si="2"/>
        <v>100</v>
      </c>
      <c r="X14" s="1813"/>
      <c r="Y14" s="3262"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63"/>
      <c r="Q15" s="1810"/>
      <c r="R15" s="774"/>
      <c r="S15" s="775"/>
      <c r="T15" s="774"/>
      <c r="U15" s="775"/>
      <c r="V15" s="774"/>
      <c r="W15" s="775"/>
      <c r="X15" s="1813"/>
      <c r="Y15" s="3263"/>
      <c r="Z15" s="1814"/>
      <c r="AA15" s="1811">
        <v>1</v>
      </c>
      <c r="AB15" s="1811">
        <v>1</v>
      </c>
      <c r="AC15" s="1811">
        <v>1</v>
      </c>
    </row>
    <row r="16" spans="1:29" ht="15">
      <c r="A16" s="404"/>
      <c r="B16" s="631" t="s">
        <v>2684</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3"/>
      <c r="Q16" s="1810" t="str">
        <f>B16</f>
        <v>公共配套设施</v>
      </c>
      <c r="R16" s="774" t="s">
        <v>17</v>
      </c>
      <c r="S16" s="775">
        <f>F16</f>
        <v>100</v>
      </c>
      <c r="T16" s="774" t="s">
        <v>17</v>
      </c>
      <c r="U16" s="775">
        <f>H16</f>
        <v>100</v>
      </c>
      <c r="V16" s="774" t="s">
        <v>17</v>
      </c>
      <c r="W16" s="775">
        <f>J16</f>
        <v>100</v>
      </c>
      <c r="X16" s="1813"/>
      <c r="Y16" s="3263"/>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63"/>
      <c r="Q17" s="1810"/>
      <c r="R17" s="774"/>
      <c r="S17" s="775"/>
      <c r="T17" s="774"/>
      <c r="U17" s="775"/>
      <c r="V17" s="774"/>
      <c r="W17" s="775"/>
      <c r="X17" s="1813"/>
      <c r="Y17" s="3263"/>
      <c r="Z17" s="1814"/>
      <c r="AA17" s="1811">
        <v>1</v>
      </c>
      <c r="AB17" s="1811">
        <v>1</v>
      </c>
      <c r="AC17" s="1811">
        <v>1</v>
      </c>
    </row>
    <row r="18" spans="1:29" ht="15">
      <c r="A18" s="404"/>
      <c r="B18" s="633" t="s">
        <v>2685</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3"/>
      <c r="Q18" s="1810" t="str">
        <f>B18</f>
        <v>基础设施水平</v>
      </c>
      <c r="R18" s="774" t="s">
        <v>17</v>
      </c>
      <c r="S18" s="775">
        <f>F18</f>
        <v>100</v>
      </c>
      <c r="T18" s="774" t="s">
        <v>17</v>
      </c>
      <c r="U18" s="775">
        <f>H18</f>
        <v>100</v>
      </c>
      <c r="V18" s="774" t="s">
        <v>17</v>
      </c>
      <c r="W18" s="775">
        <f>J18</f>
        <v>100</v>
      </c>
      <c r="X18" s="1813"/>
      <c r="Y18" s="3263"/>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63"/>
      <c r="Q19" s="1810"/>
      <c r="R19" s="774"/>
      <c r="S19" s="775"/>
      <c r="T19" s="774"/>
      <c r="U19" s="775"/>
      <c r="V19" s="774"/>
      <c r="W19" s="775"/>
      <c r="X19" s="1813"/>
      <c r="Y19" s="3263"/>
      <c r="Z19" s="1814"/>
      <c r="AA19" s="1811">
        <v>1</v>
      </c>
      <c r="AB19" s="1811">
        <v>1</v>
      </c>
      <c r="AC19" s="1811">
        <v>1</v>
      </c>
    </row>
    <row r="20" spans="1:29" ht="15">
      <c r="A20" s="404"/>
      <c r="B20" s="631" t="s">
        <v>2706</v>
      </c>
      <c r="C20" s="2607"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3"/>
      <c r="Q20" s="1810" t="str">
        <f>B20</f>
        <v>自然及人文环境</v>
      </c>
      <c r="R20" s="774" t="s">
        <v>17</v>
      </c>
      <c r="S20" s="775">
        <f>F20</f>
        <v>100</v>
      </c>
      <c r="T20" s="774" t="s">
        <v>17</v>
      </c>
      <c r="U20" s="775">
        <f>H20</f>
        <v>100</v>
      </c>
      <c r="V20" s="774" t="s">
        <v>17</v>
      </c>
      <c r="W20" s="775">
        <f>J20</f>
        <v>100</v>
      </c>
      <c r="X20" s="1813"/>
      <c r="Y20" s="326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63"/>
      <c r="Q21" s="1810"/>
      <c r="R21" s="774"/>
      <c r="S21" s="775"/>
      <c r="T21" s="774"/>
      <c r="U21" s="775"/>
      <c r="V21" s="774"/>
      <c r="W21" s="775"/>
      <c r="X21" s="1813"/>
      <c r="Y21" s="3263"/>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3"/>
      <c r="Q22" s="1810" t="str">
        <f>B22</f>
        <v>楼层</v>
      </c>
      <c r="R22" s="774" t="s">
        <v>17</v>
      </c>
      <c r="S22" s="775">
        <f>F22</f>
        <v>100</v>
      </c>
      <c r="T22" s="774" t="s">
        <v>17</v>
      </c>
      <c r="U22" s="775">
        <f>H22</f>
        <v>100</v>
      </c>
      <c r="V22" s="774" t="s">
        <v>17</v>
      </c>
      <c r="W22" s="775">
        <f>J22</f>
        <v>100</v>
      </c>
      <c r="X22" s="1813"/>
      <c r="Y22" s="326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3"/>
      <c r="Q23" s="1810">
        <f>B23</f>
        <v>111</v>
      </c>
      <c r="R23" s="774" t="s">
        <v>17</v>
      </c>
      <c r="S23" s="775">
        <f>F23</f>
        <v>100</v>
      </c>
      <c r="T23" s="774" t="s">
        <v>17</v>
      </c>
      <c r="U23" s="775">
        <f>H23</f>
        <v>100</v>
      </c>
      <c r="V23" s="774" t="s">
        <v>17</v>
      </c>
      <c r="W23" s="775">
        <f>J23</f>
        <v>100</v>
      </c>
      <c r="X23" s="1813"/>
      <c r="Y23" s="326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3"/>
      <c r="Q24" s="1810">
        <f t="shared" ref="Q24:Q36" si="11">B24</f>
        <v>111</v>
      </c>
      <c r="R24" s="774" t="s">
        <v>17</v>
      </c>
      <c r="S24" s="775">
        <f>F24</f>
        <v>100</v>
      </c>
      <c r="T24" s="774" t="s">
        <v>17</v>
      </c>
      <c r="U24" s="775">
        <f>H24</f>
        <v>100</v>
      </c>
      <c r="V24" s="774" t="s">
        <v>17</v>
      </c>
      <c r="W24" s="775">
        <f>J24</f>
        <v>100</v>
      </c>
      <c r="X24" s="1813"/>
      <c r="Y24" s="326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3"/>
      <c r="Q25" s="1795">
        <f t="shared" si="11"/>
        <v>111</v>
      </c>
      <c r="R25" s="770" t="s">
        <v>17</v>
      </c>
      <c r="S25" s="771">
        <f>F25</f>
        <v>100</v>
      </c>
      <c r="T25" s="770" t="s">
        <v>17</v>
      </c>
      <c r="U25" s="771">
        <f>H25</f>
        <v>100</v>
      </c>
      <c r="V25" s="770" t="s">
        <v>17</v>
      </c>
      <c r="W25" s="771">
        <f>J25</f>
        <v>100</v>
      </c>
      <c r="X25" s="772"/>
      <c r="Y25" s="3263"/>
      <c r="Z25" s="55">
        <f>Q25</f>
        <v>111</v>
      </c>
      <c r="AA25" s="1811">
        <f>D25/F25</f>
        <v>1</v>
      </c>
      <c r="AB25" s="1811">
        <f>D25/H25</f>
        <v>1</v>
      </c>
      <c r="AC25" s="1811">
        <f>D25/J25</f>
        <v>1</v>
      </c>
    </row>
    <row r="26" spans="1:29" ht="28.5">
      <c r="A26" s="652" t="s">
        <v>2559</v>
      </c>
      <c r="B26" s="70" t="s">
        <v>2708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9"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67"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7"/>
      <c r="Q27" s="776" t="str">
        <f t="shared" si="11"/>
        <v>项目停车位配比</v>
      </c>
      <c r="R27" s="777" t="s">
        <v>17</v>
      </c>
      <c r="S27" s="778">
        <f t="shared" si="12"/>
        <v>100</v>
      </c>
      <c r="T27" s="777" t="s">
        <v>17</v>
      </c>
      <c r="U27" s="778">
        <f t="shared" si="13"/>
        <v>100</v>
      </c>
      <c r="V27" s="777" t="s">
        <v>17</v>
      </c>
      <c r="W27" s="778">
        <f t="shared" si="14"/>
        <v>100</v>
      </c>
      <c r="X27" s="779"/>
      <c r="Y27" s="3267"/>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7"/>
      <c r="Q28" s="1810" t="str">
        <f t="shared" si="11"/>
        <v>公共部分装修</v>
      </c>
      <c r="R28" s="774" t="s">
        <v>17</v>
      </c>
      <c r="S28" s="775">
        <f t="shared" si="12"/>
        <v>100</v>
      </c>
      <c r="T28" s="774" t="s">
        <v>17</v>
      </c>
      <c r="U28" s="775">
        <f t="shared" si="13"/>
        <v>100</v>
      </c>
      <c r="V28" s="774" t="s">
        <v>17</v>
      </c>
      <c r="W28" s="775">
        <f t="shared" si="14"/>
        <v>100</v>
      </c>
      <c r="X28" s="1813"/>
      <c r="Y28" s="3267"/>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7"/>
      <c r="Q29" s="1810" t="str">
        <f t="shared" si="11"/>
        <v>成新率</v>
      </c>
      <c r="R29" s="774" t="s">
        <v>17</v>
      </c>
      <c r="S29" s="775" t="e">
        <f t="shared" si="12"/>
        <v>#N/A</v>
      </c>
      <c r="T29" s="774" t="s">
        <v>17</v>
      </c>
      <c r="U29" s="775" t="e">
        <f t="shared" si="13"/>
        <v>#N/A</v>
      </c>
      <c r="V29" s="774" t="s">
        <v>17</v>
      </c>
      <c r="W29" s="775" t="e">
        <f t="shared" si="14"/>
        <v>#N/A</v>
      </c>
      <c r="X29" s="1813"/>
      <c r="Y29" s="3267"/>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7"/>
      <c r="Q30" s="1810" t="str">
        <f t="shared" si="11"/>
        <v>物业等级</v>
      </c>
      <c r="R30" s="774" t="s">
        <v>17</v>
      </c>
      <c r="S30" s="775">
        <f t="shared" si="12"/>
        <v>100</v>
      </c>
      <c r="T30" s="774" t="s">
        <v>17</v>
      </c>
      <c r="U30" s="775">
        <f t="shared" si="13"/>
        <v>100</v>
      </c>
      <c r="V30" s="774" t="s">
        <v>17</v>
      </c>
      <c r="W30" s="775">
        <f t="shared" si="14"/>
        <v>100</v>
      </c>
      <c r="X30" s="1813"/>
      <c r="Y30" s="3267"/>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7"/>
      <c r="Q31" s="1795" t="str">
        <f t="shared" si="11"/>
        <v>停车位面积</v>
      </c>
      <c r="R31" s="770" t="s">
        <v>17</v>
      </c>
      <c r="S31" s="771" t="e">
        <f t="shared" si="12"/>
        <v>#N/A</v>
      </c>
      <c r="T31" s="770" t="s">
        <v>17</v>
      </c>
      <c r="U31" s="771" t="e">
        <f t="shared" si="13"/>
        <v>#N/A</v>
      </c>
      <c r="V31" s="770" t="s">
        <v>17</v>
      </c>
      <c r="W31" s="771" t="e">
        <f t="shared" si="14"/>
        <v>#N/A</v>
      </c>
      <c r="X31" s="772"/>
      <c r="Y31" s="3267"/>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7" t="s">
        <v>2561</v>
      </c>
      <c r="Q32" s="1810" t="str">
        <f t="shared" si="11"/>
        <v>车位类型</v>
      </c>
      <c r="R32" s="774" t="s">
        <v>17</v>
      </c>
      <c r="S32" s="775">
        <f t="shared" si="12"/>
        <v>100</v>
      </c>
      <c r="T32" s="774" t="s">
        <v>17</v>
      </c>
      <c r="U32" s="775">
        <f t="shared" si="13"/>
        <v>100</v>
      </c>
      <c r="V32" s="774" t="s">
        <v>17</v>
      </c>
      <c r="W32" s="775">
        <f t="shared" si="14"/>
        <v>100</v>
      </c>
      <c r="X32" s="1813"/>
      <c r="Y32" s="3267"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7"/>
      <c r="Q33" s="1810" t="str">
        <f t="shared" si="11"/>
        <v>是否直接入户</v>
      </c>
      <c r="R33" s="774" t="s">
        <v>17</v>
      </c>
      <c r="S33" s="775">
        <f t="shared" si="12"/>
        <v>100</v>
      </c>
      <c r="T33" s="774" t="s">
        <v>17</v>
      </c>
      <c r="U33" s="775">
        <f t="shared" si="13"/>
        <v>100</v>
      </c>
      <c r="V33" s="774" t="s">
        <v>17</v>
      </c>
      <c r="W33" s="775">
        <f t="shared" si="14"/>
        <v>100</v>
      </c>
      <c r="X33" s="1813"/>
      <c r="Y33" s="326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7"/>
      <c r="Q34" s="1810">
        <f t="shared" si="11"/>
        <v>111</v>
      </c>
      <c r="R34" s="774" t="s">
        <v>17</v>
      </c>
      <c r="S34" s="775">
        <f t="shared" si="12"/>
        <v>100</v>
      </c>
      <c r="T34" s="774" t="s">
        <v>17</v>
      </c>
      <c r="U34" s="775">
        <f t="shared" si="13"/>
        <v>100</v>
      </c>
      <c r="V34" s="774" t="s">
        <v>17</v>
      </c>
      <c r="W34" s="775">
        <f t="shared" si="14"/>
        <v>100</v>
      </c>
      <c r="X34" s="1813"/>
      <c r="Y34" s="326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7"/>
      <c r="Q35" s="776">
        <f t="shared" si="11"/>
        <v>111</v>
      </c>
      <c r="R35" s="777" t="s">
        <v>17</v>
      </c>
      <c r="S35" s="778">
        <f t="shared" si="12"/>
        <v>100</v>
      </c>
      <c r="T35" s="777" t="s">
        <v>17</v>
      </c>
      <c r="U35" s="778">
        <f t="shared" si="13"/>
        <v>100</v>
      </c>
      <c r="V35" s="777" t="s">
        <v>17</v>
      </c>
      <c r="W35" s="778">
        <f t="shared" si="14"/>
        <v>100</v>
      </c>
      <c r="X35" s="779"/>
      <c r="Y35" s="326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7"/>
      <c r="Q36" s="1810">
        <f t="shared" si="11"/>
        <v>111</v>
      </c>
      <c r="R36" s="774" t="s">
        <v>17</v>
      </c>
      <c r="S36" s="775">
        <f t="shared" si="12"/>
        <v>100</v>
      </c>
      <c r="T36" s="774" t="s">
        <v>17</v>
      </c>
      <c r="U36" s="775">
        <f t="shared" si="13"/>
        <v>100</v>
      </c>
      <c r="V36" s="774" t="s">
        <v>17</v>
      </c>
      <c r="W36" s="775">
        <f t="shared" si="14"/>
        <v>100</v>
      </c>
      <c r="X36" s="1813"/>
      <c r="Y36" s="3267"/>
      <c r="Z36" s="1814">
        <f t="shared" si="15"/>
        <v>111</v>
      </c>
      <c r="AA36" s="1811">
        <f t="shared" si="3"/>
        <v>1</v>
      </c>
      <c r="AB36" s="1811">
        <f t="shared" si="4"/>
        <v>1</v>
      </c>
      <c r="AC36" s="1811">
        <f t="shared" si="5"/>
        <v>1</v>
      </c>
    </row>
    <row r="37" spans="1:29" ht="15">
      <c r="A37" s="479" t="s">
        <v>2716</v>
      </c>
      <c r="B37" s="2695" t="s">
        <v>2717</v>
      </c>
      <c r="C37" s="1407" t="s">
        <v>1</v>
      </c>
      <c r="D37" s="1408"/>
      <c r="E37" s="1409"/>
      <c r="F37" s="1410"/>
      <c r="G37" s="1411"/>
      <c r="H37" s="1412"/>
      <c r="I37" s="1409"/>
      <c r="J37" s="1412"/>
      <c r="K37" s="619"/>
      <c r="L37" s="1143"/>
      <c r="M37" s="1144"/>
      <c r="N37" s="1131"/>
      <c r="O37" s="1144"/>
      <c r="P37" s="3260" t="str">
        <f>A37</f>
        <v>成交单价</v>
      </c>
      <c r="Q37" s="3260"/>
      <c r="R37" s="3261">
        <f>E37</f>
        <v>0</v>
      </c>
      <c r="S37" s="3261"/>
      <c r="T37" s="3261">
        <f>G37</f>
        <v>0</v>
      </c>
      <c r="U37" s="3261"/>
      <c r="V37" s="3261">
        <f>I37</f>
        <v>0</v>
      </c>
      <c r="W37" s="3261"/>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57" t="str">
        <f>A39</f>
        <v>估价对象XX用房的比较价值（楼面单价，元/平方米）</v>
      </c>
      <c r="Q39" s="3258"/>
      <c r="R39" s="3259" t="e">
        <f>IF(F1="售价",ROUND(AVERAGE(R38:V38),0),ROUND(AVERAGE(R38:V38),1))</f>
        <v>#DIV/0!</v>
      </c>
      <c r="S39" s="3259"/>
      <c r="T39" s="3259"/>
      <c r="U39" s="3259"/>
      <c r="V39" s="3259"/>
      <c r="W39" s="325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30" t="s">
        <v>2643</v>
      </c>
      <c r="S4" s="3231"/>
      <c r="T4" s="3230" t="s">
        <v>2644</v>
      </c>
      <c r="U4" s="3231"/>
      <c r="V4" s="3255" t="s">
        <v>2645</v>
      </c>
      <c r="W4" s="3255"/>
      <c r="X4" s="1813"/>
      <c r="Y4" s="3230" t="s">
        <v>2647</v>
      </c>
      <c r="Z4" s="3231"/>
      <c r="AA4" s="3225" t="s">
        <v>2643</v>
      </c>
      <c r="AB4" s="3226" t="s">
        <v>2644</v>
      </c>
      <c r="AC4" s="3225" t="s">
        <v>2645</v>
      </c>
    </row>
    <row r="5" spans="1:29" ht="15">
      <c r="A5" s="404"/>
      <c r="B5" s="405"/>
      <c r="C5" s="3236" t="s">
        <v>2538</v>
      </c>
      <c r="D5" s="3237"/>
      <c r="E5" s="3234" t="s">
        <v>2539</v>
      </c>
      <c r="F5" s="3235"/>
      <c r="G5" s="3236" t="s">
        <v>2540</v>
      </c>
      <c r="H5" s="3237"/>
      <c r="I5" s="3236" t="s">
        <v>2541</v>
      </c>
      <c r="J5" s="3237"/>
      <c r="K5" s="610"/>
      <c r="L5" s="1130"/>
      <c r="M5" s="1131"/>
      <c r="N5" s="1131"/>
      <c r="O5" s="1131"/>
      <c r="P5" s="3249"/>
      <c r="Q5" s="3250"/>
      <c r="R5" s="3232"/>
      <c r="S5" s="3233"/>
      <c r="T5" s="3232"/>
      <c r="U5" s="3233"/>
      <c r="V5" s="3255"/>
      <c r="W5" s="3255"/>
      <c r="X5" s="1813"/>
      <c r="Y5" s="3232"/>
      <c r="Z5" s="3233"/>
      <c r="AA5" s="3226"/>
      <c r="AB5" s="3226"/>
      <c r="AC5" s="3226"/>
    </row>
    <row r="6" spans="1:29" ht="15.75" thickBot="1">
      <c r="A6" s="406"/>
      <c r="B6" s="407"/>
      <c r="C6" s="3238" t="s">
        <v>2542</v>
      </c>
      <c r="D6" s="3239"/>
      <c r="E6" s="3240" t="s">
        <v>2542</v>
      </c>
      <c r="F6" s="3241"/>
      <c r="G6" s="3238" t="s">
        <v>2542</v>
      </c>
      <c r="H6" s="3239"/>
      <c r="I6" s="3238" t="s">
        <v>2542</v>
      </c>
      <c r="J6" s="3239"/>
      <c r="K6" s="610" t="s">
        <v>2543</v>
      </c>
      <c r="L6" s="1130"/>
      <c r="M6" s="1131"/>
      <c r="N6" s="1131"/>
      <c r="O6" s="1131"/>
      <c r="P6" s="3251"/>
      <c r="Q6" s="3252"/>
      <c r="R6" s="3232"/>
      <c r="S6" s="3233"/>
      <c r="T6" s="3253"/>
      <c r="U6" s="3254"/>
      <c r="V6" s="3255"/>
      <c r="W6" s="3255"/>
      <c r="X6" s="1813"/>
      <c r="Y6" s="3253"/>
      <c r="Z6" s="3254"/>
      <c r="AA6" s="3227"/>
      <c r="AB6" s="3227"/>
      <c r="AC6" s="3227"/>
    </row>
    <row r="7" spans="1:29" s="117" customFormat="1" ht="15.75" thickBot="1">
      <c r="A7" s="408" t="s">
        <v>2544</v>
      </c>
      <c r="B7" s="409"/>
      <c r="C7" s="410">
        <f>'数据-取费表'!B2</f>
        <v>43734</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28" t="s">
        <v>2545</v>
      </c>
      <c r="Q7" s="3256"/>
      <c r="R7" s="770" t="s">
        <v>17</v>
      </c>
      <c r="S7" s="771">
        <f t="shared" ref="S7:S14" si="0">F7</f>
        <v>0</v>
      </c>
      <c r="T7" s="770" t="s">
        <v>17</v>
      </c>
      <c r="U7" s="771">
        <f t="shared" ref="U7:U14" si="1">H7</f>
        <v>0</v>
      </c>
      <c r="V7" s="770" t="s">
        <v>17</v>
      </c>
      <c r="W7" s="771">
        <f t="shared" ref="W7:W14" si="2">J7</f>
        <v>0</v>
      </c>
      <c r="X7" s="772"/>
      <c r="Y7" s="3228" t="s">
        <v>2545</v>
      </c>
      <c r="Z7" s="3229"/>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0" t="s">
        <v>2551</v>
      </c>
      <c r="Q9" s="1795" t="str">
        <f t="shared" ref="Q9:Q14" si="6">B9</f>
        <v>用途</v>
      </c>
      <c r="R9" s="770" t="s">
        <v>17</v>
      </c>
      <c r="S9" s="771">
        <f t="shared" si="0"/>
        <v>100</v>
      </c>
      <c r="T9" s="770" t="s">
        <v>17</v>
      </c>
      <c r="U9" s="771">
        <f t="shared" si="1"/>
        <v>100</v>
      </c>
      <c r="V9" s="770" t="s">
        <v>17</v>
      </c>
      <c r="W9" s="771">
        <f t="shared" si="2"/>
        <v>100</v>
      </c>
      <c r="X9" s="772"/>
      <c r="Y9" s="3076"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0"/>
      <c r="Q10" s="1795"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0"/>
      <c r="Q11" s="1795">
        <f t="shared" si="6"/>
        <v>111</v>
      </c>
      <c r="R11" s="770" t="s">
        <v>17</v>
      </c>
      <c r="S11" s="771">
        <f t="shared" si="0"/>
        <v>100</v>
      </c>
      <c r="T11" s="770" t="s">
        <v>17</v>
      </c>
      <c r="U11" s="771">
        <f t="shared" si="1"/>
        <v>100</v>
      </c>
      <c r="V11" s="770" t="s">
        <v>17</v>
      </c>
      <c r="W11" s="771">
        <f t="shared" si="2"/>
        <v>100</v>
      </c>
      <c r="X11" s="772"/>
      <c r="Y11" s="307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0"/>
      <c r="Q12" s="1795">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60"/>
      <c r="Q13" s="1795">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
      <c r="A14" s="440" t="s">
        <v>2555</v>
      </c>
      <c r="B14" s="69" t="s">
        <v>2705</v>
      </c>
      <c r="C14" s="2693"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2" t="s">
        <v>2556</v>
      </c>
      <c r="Q14" s="1810" t="str">
        <f t="shared" si="6"/>
        <v>交通便捷度</v>
      </c>
      <c r="R14" s="774" t="s">
        <v>17</v>
      </c>
      <c r="S14" s="775">
        <f t="shared" si="0"/>
        <v>100</v>
      </c>
      <c r="T14" s="774" t="s">
        <v>17</v>
      </c>
      <c r="U14" s="775">
        <f t="shared" si="1"/>
        <v>100</v>
      </c>
      <c r="V14" s="774" t="s">
        <v>17</v>
      </c>
      <c r="W14" s="775">
        <f t="shared" si="2"/>
        <v>100</v>
      </c>
      <c r="X14" s="1813"/>
      <c r="Y14" s="3262"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63"/>
      <c r="Q15" s="1810"/>
      <c r="R15" s="774"/>
      <c r="S15" s="775"/>
      <c r="T15" s="774"/>
      <c r="U15" s="775"/>
      <c r="V15" s="774"/>
      <c r="W15" s="775"/>
      <c r="X15" s="1813"/>
      <c r="Y15" s="3263"/>
      <c r="Z15" s="1814"/>
      <c r="AA15" s="1811">
        <v>1</v>
      </c>
      <c r="AB15" s="1811">
        <v>1</v>
      </c>
      <c r="AC15" s="1811">
        <v>1</v>
      </c>
    </row>
    <row r="16" spans="1:29" ht="15">
      <c r="A16" s="428"/>
      <c r="B16" s="451" t="s">
        <v>2684</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3"/>
      <c r="Q16" s="1810" t="str">
        <f>B16</f>
        <v>公共配套设施</v>
      </c>
      <c r="R16" s="774" t="s">
        <v>17</v>
      </c>
      <c r="S16" s="775">
        <f>F16</f>
        <v>100</v>
      </c>
      <c r="T16" s="774" t="s">
        <v>17</v>
      </c>
      <c r="U16" s="775">
        <f>H16</f>
        <v>100</v>
      </c>
      <c r="V16" s="774" t="s">
        <v>17</v>
      </c>
      <c r="W16" s="775">
        <f>J16</f>
        <v>100</v>
      </c>
      <c r="X16" s="1813"/>
      <c r="Y16" s="3263"/>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63"/>
      <c r="Q17" s="1810"/>
      <c r="R17" s="774"/>
      <c r="S17" s="775"/>
      <c r="T17" s="774"/>
      <c r="U17" s="775"/>
      <c r="V17" s="774"/>
      <c r="W17" s="775"/>
      <c r="X17" s="1813"/>
      <c r="Y17" s="3263"/>
      <c r="Z17" s="1814"/>
      <c r="AA17" s="1811">
        <v>1</v>
      </c>
      <c r="AB17" s="1811">
        <v>1</v>
      </c>
      <c r="AC17" s="1811">
        <v>1</v>
      </c>
    </row>
    <row r="18" spans="1:29" ht="15">
      <c r="A18" s="428"/>
      <c r="B18" s="1384" t="s">
        <v>2685</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3"/>
      <c r="Q18" s="1810" t="str">
        <f>B18</f>
        <v>基础设施水平</v>
      </c>
      <c r="R18" s="774" t="s">
        <v>17</v>
      </c>
      <c r="S18" s="775">
        <f>F18</f>
        <v>100</v>
      </c>
      <c r="T18" s="774" t="s">
        <v>17</v>
      </c>
      <c r="U18" s="775">
        <f>H18</f>
        <v>100</v>
      </c>
      <c r="V18" s="774" t="s">
        <v>17</v>
      </c>
      <c r="W18" s="775">
        <f>J18</f>
        <v>100</v>
      </c>
      <c r="X18" s="1813"/>
      <c r="Y18" s="3263"/>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63"/>
      <c r="Q19" s="1810"/>
      <c r="R19" s="774"/>
      <c r="S19" s="775"/>
      <c r="T19" s="774"/>
      <c r="U19" s="775"/>
      <c r="V19" s="774"/>
      <c r="W19" s="775"/>
      <c r="X19" s="1813"/>
      <c r="Y19" s="3263"/>
      <c r="Z19" s="1814"/>
      <c r="AA19" s="1811">
        <v>1</v>
      </c>
      <c r="AB19" s="1811">
        <v>1</v>
      </c>
      <c r="AC19" s="1811">
        <v>1</v>
      </c>
    </row>
    <row r="20" spans="1:29" ht="15">
      <c r="A20" s="428"/>
      <c r="B20" s="451" t="s">
        <v>2706</v>
      </c>
      <c r="C20" s="2607"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3"/>
      <c r="Q20" s="1810" t="str">
        <f>B20</f>
        <v>自然及人文环境</v>
      </c>
      <c r="R20" s="774" t="s">
        <v>17</v>
      </c>
      <c r="S20" s="775">
        <f>F20</f>
        <v>100</v>
      </c>
      <c r="T20" s="774" t="s">
        <v>17</v>
      </c>
      <c r="U20" s="775">
        <f>H20</f>
        <v>100</v>
      </c>
      <c r="V20" s="774" t="s">
        <v>17</v>
      </c>
      <c r="W20" s="775">
        <f>J20</f>
        <v>100</v>
      </c>
      <c r="X20" s="1813"/>
      <c r="Y20" s="326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63"/>
      <c r="Q21" s="1810"/>
      <c r="R21" s="774"/>
      <c r="S21" s="775"/>
      <c r="T21" s="774"/>
      <c r="U21" s="775"/>
      <c r="V21" s="774"/>
      <c r="W21" s="775"/>
      <c r="X21" s="1813"/>
      <c r="Y21" s="3263"/>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3"/>
      <c r="Q22" s="1810" t="str">
        <f>B22</f>
        <v>楼层</v>
      </c>
      <c r="R22" s="774" t="s">
        <v>17</v>
      </c>
      <c r="S22" s="775">
        <f>F22</f>
        <v>100</v>
      </c>
      <c r="T22" s="774" t="s">
        <v>17</v>
      </c>
      <c r="U22" s="775">
        <f>H22</f>
        <v>100</v>
      </c>
      <c r="V22" s="774" t="s">
        <v>17</v>
      </c>
      <c r="W22" s="775">
        <f>J22</f>
        <v>100</v>
      </c>
      <c r="X22" s="1813"/>
      <c r="Y22" s="3263"/>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3"/>
      <c r="Q23" s="1810">
        <f>B23</f>
        <v>111</v>
      </c>
      <c r="R23" s="774" t="s">
        <v>17</v>
      </c>
      <c r="S23" s="775">
        <f>F23</f>
        <v>100</v>
      </c>
      <c r="T23" s="774" t="s">
        <v>17</v>
      </c>
      <c r="U23" s="775">
        <f>H23</f>
        <v>100</v>
      </c>
      <c r="V23" s="774" t="s">
        <v>17</v>
      </c>
      <c r="W23" s="775">
        <f>J23</f>
        <v>100</v>
      </c>
      <c r="X23" s="1813"/>
      <c r="Y23" s="3263"/>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3"/>
      <c r="Q24" s="1810">
        <f t="shared" ref="Q24:Q34" si="11">B24</f>
        <v>111</v>
      </c>
      <c r="R24" s="774" t="s">
        <v>17</v>
      </c>
      <c r="S24" s="775">
        <f>F24</f>
        <v>100</v>
      </c>
      <c r="T24" s="774" t="s">
        <v>17</v>
      </c>
      <c r="U24" s="775">
        <f>H24</f>
        <v>100</v>
      </c>
      <c r="V24" s="774" t="s">
        <v>17</v>
      </c>
      <c r="W24" s="775">
        <f>J24</f>
        <v>100</v>
      </c>
      <c r="X24" s="1813"/>
      <c r="Y24" s="3263"/>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63"/>
      <c r="Q25" s="1795">
        <f t="shared" si="11"/>
        <v>111</v>
      </c>
      <c r="R25" s="770" t="s">
        <v>17</v>
      </c>
      <c r="S25" s="771">
        <f>F25</f>
        <v>100</v>
      </c>
      <c r="T25" s="770" t="s">
        <v>17</v>
      </c>
      <c r="U25" s="771">
        <f>H25</f>
        <v>100</v>
      </c>
      <c r="V25" s="770" t="s">
        <v>17</v>
      </c>
      <c r="W25" s="771">
        <f>J25</f>
        <v>100</v>
      </c>
      <c r="X25" s="772"/>
      <c r="Y25" s="3263"/>
      <c r="Z25" s="55">
        <f>Q25</f>
        <v>111</v>
      </c>
      <c r="AA25" s="1811">
        <f>D25/F25</f>
        <v>1</v>
      </c>
      <c r="AB25" s="1811">
        <f>D25/H25</f>
        <v>1</v>
      </c>
      <c r="AC25" s="1811">
        <f>D25/J25</f>
        <v>1</v>
      </c>
    </row>
    <row r="26" spans="1:29" ht="28.5">
      <c r="A26" s="466" t="s">
        <v>2559</v>
      </c>
      <c r="B26" s="71" t="s">
        <v>2710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89"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67"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7"/>
      <c r="Q27" s="776" t="str">
        <f t="shared" si="11"/>
        <v>成新率</v>
      </c>
      <c r="R27" s="777" t="s">
        <v>17</v>
      </c>
      <c r="S27" s="778" t="e">
        <f t="shared" si="12"/>
        <v>#N/A</v>
      </c>
      <c r="T27" s="777" t="s">
        <v>17</v>
      </c>
      <c r="U27" s="778" t="e">
        <f t="shared" si="13"/>
        <v>#N/A</v>
      </c>
      <c r="V27" s="777" t="s">
        <v>17</v>
      </c>
      <c r="W27" s="778" t="e">
        <f t="shared" si="14"/>
        <v>#N/A</v>
      </c>
      <c r="X27" s="779"/>
      <c r="Y27" s="3267"/>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7"/>
      <c r="Q28" s="1810" t="str">
        <f t="shared" si="11"/>
        <v>物业等级</v>
      </c>
      <c r="R28" s="774" t="s">
        <v>17</v>
      </c>
      <c r="S28" s="775">
        <f t="shared" si="12"/>
        <v>100</v>
      </c>
      <c r="T28" s="774" t="s">
        <v>17</v>
      </c>
      <c r="U28" s="775">
        <f t="shared" si="13"/>
        <v>100</v>
      </c>
      <c r="V28" s="774" t="s">
        <v>17</v>
      </c>
      <c r="W28" s="775">
        <f t="shared" si="14"/>
        <v>100</v>
      </c>
      <c r="X28" s="1813"/>
      <c r="Y28" s="3267"/>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7"/>
      <c r="Q29" s="1810" t="str">
        <f t="shared" si="11"/>
        <v>有无电梯</v>
      </c>
      <c r="R29" s="774" t="s">
        <v>17</v>
      </c>
      <c r="S29" s="775">
        <f t="shared" si="12"/>
        <v>100</v>
      </c>
      <c r="T29" s="774" t="s">
        <v>17</v>
      </c>
      <c r="U29" s="775">
        <f t="shared" si="13"/>
        <v>100</v>
      </c>
      <c r="V29" s="774" t="s">
        <v>17</v>
      </c>
      <c r="W29" s="775">
        <f t="shared" si="14"/>
        <v>100</v>
      </c>
      <c r="X29" s="1813"/>
      <c r="Y29" s="3267"/>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7"/>
      <c r="Q30" s="1810" t="str">
        <f t="shared" si="11"/>
        <v>建筑面积</v>
      </c>
      <c r="R30" s="774" t="s">
        <v>17</v>
      </c>
      <c r="S30" s="775" t="e">
        <f t="shared" si="12"/>
        <v>#N/A</v>
      </c>
      <c r="T30" s="774" t="s">
        <v>17</v>
      </c>
      <c r="U30" s="775" t="e">
        <f t="shared" si="13"/>
        <v>#N/A</v>
      </c>
      <c r="V30" s="774" t="s">
        <v>17</v>
      </c>
      <c r="W30" s="775" t="e">
        <f t="shared" si="14"/>
        <v>#N/A</v>
      </c>
      <c r="X30" s="1813"/>
      <c r="Y30" s="3267"/>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7"/>
      <c r="Q31" s="1795" t="str">
        <f t="shared" si="11"/>
        <v>是否封闭</v>
      </c>
      <c r="R31" s="770" t="s">
        <v>17</v>
      </c>
      <c r="S31" s="771">
        <f t="shared" si="12"/>
        <v>100</v>
      </c>
      <c r="T31" s="770" t="s">
        <v>17</v>
      </c>
      <c r="U31" s="771">
        <f t="shared" si="13"/>
        <v>100</v>
      </c>
      <c r="V31" s="770" t="s">
        <v>17</v>
      </c>
      <c r="W31" s="771">
        <f t="shared" si="14"/>
        <v>100</v>
      </c>
      <c r="X31" s="772"/>
      <c r="Y31" s="326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7" t="s">
        <v>2561</v>
      </c>
      <c r="Q32" s="1810">
        <f t="shared" si="11"/>
        <v>111</v>
      </c>
      <c r="R32" s="774" t="s">
        <v>17</v>
      </c>
      <c r="S32" s="775">
        <f t="shared" si="12"/>
        <v>100</v>
      </c>
      <c r="T32" s="774" t="s">
        <v>17</v>
      </c>
      <c r="U32" s="775">
        <f t="shared" si="13"/>
        <v>100</v>
      </c>
      <c r="V32" s="774" t="s">
        <v>17</v>
      </c>
      <c r="W32" s="775">
        <f t="shared" si="14"/>
        <v>100</v>
      </c>
      <c r="X32" s="1813"/>
      <c r="Y32" s="3267" t="s">
        <v>2561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7"/>
      <c r="Q33" s="1810">
        <f t="shared" si="11"/>
        <v>111</v>
      </c>
      <c r="R33" s="774" t="s">
        <v>17</v>
      </c>
      <c r="S33" s="775">
        <f t="shared" si="12"/>
        <v>100</v>
      </c>
      <c r="T33" s="774" t="s">
        <v>17</v>
      </c>
      <c r="U33" s="775">
        <f t="shared" si="13"/>
        <v>100</v>
      </c>
      <c r="V33" s="774" t="s">
        <v>17</v>
      </c>
      <c r="W33" s="775">
        <f t="shared" si="14"/>
        <v>100</v>
      </c>
      <c r="X33" s="1813"/>
      <c r="Y33" s="3267"/>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67"/>
      <c r="Q34" s="1810">
        <f t="shared" si="11"/>
        <v>111</v>
      </c>
      <c r="R34" s="774" t="s">
        <v>17</v>
      </c>
      <c r="S34" s="775">
        <f t="shared" si="12"/>
        <v>100</v>
      </c>
      <c r="T34" s="774" t="s">
        <v>17</v>
      </c>
      <c r="U34" s="775">
        <f t="shared" si="13"/>
        <v>100</v>
      </c>
      <c r="V34" s="774" t="s">
        <v>17</v>
      </c>
      <c r="W34" s="775">
        <f t="shared" si="14"/>
        <v>100</v>
      </c>
      <c r="X34" s="1813"/>
      <c r="Y34" s="3267"/>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60" t="str">
        <f>A35</f>
        <v>成交单价（元/平方米）</v>
      </c>
      <c r="Q35" s="3260"/>
      <c r="R35" s="3261">
        <f>E35</f>
        <v>0</v>
      </c>
      <c r="S35" s="3261"/>
      <c r="T35" s="3261">
        <f>G35</f>
        <v>0</v>
      </c>
      <c r="U35" s="3261"/>
      <c r="V35" s="3261">
        <f>I35</f>
        <v>0</v>
      </c>
      <c r="W35" s="3261"/>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57" t="str">
        <f>A37</f>
        <v>估价对象XX用房的比较价值（楼面单价，元/平方米）</v>
      </c>
      <c r="Q37" s="3258"/>
      <c r="R37" s="3259" t="e">
        <f>IF(F1="售价",ROUND(AVERAGE(R36:V36),0),ROUND(AVERAGE(R36:V36),1))</f>
        <v>#DIV/0!</v>
      </c>
      <c r="S37" s="3259"/>
      <c r="T37" s="3259"/>
      <c r="U37" s="3259"/>
      <c r="V37" s="3259"/>
      <c r="W37" s="325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30" t="s">
        <v>2643</v>
      </c>
      <c r="S4" s="3231"/>
      <c r="T4" s="3230" t="s">
        <v>2644</v>
      </c>
      <c r="U4" s="3231"/>
      <c r="V4" s="3255" t="s">
        <v>2645</v>
      </c>
      <c r="W4" s="3255"/>
      <c r="X4" s="1813"/>
      <c r="Y4" s="3230" t="s">
        <v>2647</v>
      </c>
      <c r="Z4" s="3231"/>
      <c r="AA4" s="3225" t="s">
        <v>2643</v>
      </c>
      <c r="AB4" s="3226" t="s">
        <v>2644</v>
      </c>
      <c r="AC4" s="3225" t="s">
        <v>2645</v>
      </c>
    </row>
    <row r="5" spans="1:30" ht="15">
      <c r="A5" s="404"/>
      <c r="B5" s="405"/>
      <c r="C5" s="3236" t="s">
        <v>2538</v>
      </c>
      <c r="D5" s="3237"/>
      <c r="E5" s="3234" t="s">
        <v>2539</v>
      </c>
      <c r="F5" s="3235"/>
      <c r="G5" s="3236" t="s">
        <v>2540</v>
      </c>
      <c r="H5" s="3237"/>
      <c r="I5" s="3236" t="s">
        <v>2541</v>
      </c>
      <c r="J5" s="3237"/>
      <c r="K5" s="610"/>
      <c r="L5" s="1130"/>
      <c r="M5" s="1131"/>
      <c r="N5" s="1131"/>
      <c r="O5" s="1131"/>
      <c r="P5" s="3249"/>
      <c r="Q5" s="3250"/>
      <c r="R5" s="3232"/>
      <c r="S5" s="3233"/>
      <c r="T5" s="3232"/>
      <c r="U5" s="3233"/>
      <c r="V5" s="3255"/>
      <c r="W5" s="3255"/>
      <c r="X5" s="1813"/>
      <c r="Y5" s="3232"/>
      <c r="Z5" s="3233"/>
      <c r="AA5" s="3226"/>
      <c r="AB5" s="3226"/>
      <c r="AC5" s="3226"/>
    </row>
    <row r="6" spans="1:30" ht="15.75" thickBot="1">
      <c r="A6" s="406"/>
      <c r="B6" s="407"/>
      <c r="C6" s="3238" t="s">
        <v>2542</v>
      </c>
      <c r="D6" s="3239"/>
      <c r="E6" s="3240" t="s">
        <v>2542</v>
      </c>
      <c r="F6" s="3241"/>
      <c r="G6" s="3238" t="s">
        <v>2542</v>
      </c>
      <c r="H6" s="3239"/>
      <c r="I6" s="3238" t="s">
        <v>2542</v>
      </c>
      <c r="J6" s="3239"/>
      <c r="K6" s="610" t="s">
        <v>2543</v>
      </c>
      <c r="L6" s="1130"/>
      <c r="M6" s="1131"/>
      <c r="N6" s="1131"/>
      <c r="O6" s="1131"/>
      <c r="P6" s="3251"/>
      <c r="Q6" s="3252"/>
      <c r="R6" s="3232"/>
      <c r="S6" s="3233"/>
      <c r="T6" s="3253"/>
      <c r="U6" s="3254"/>
      <c r="V6" s="3255"/>
      <c r="W6" s="3255"/>
      <c r="X6" s="1813"/>
      <c r="Y6" s="3253"/>
      <c r="Z6" s="3254"/>
      <c r="AA6" s="3227"/>
      <c r="AB6" s="3227"/>
      <c r="AC6" s="3227"/>
    </row>
    <row r="7" spans="1:30" s="117" customFormat="1" ht="15.75" thickBot="1">
      <c r="A7" s="408" t="s">
        <v>2544</v>
      </c>
      <c r="B7" s="409"/>
      <c r="C7" s="410">
        <f>'数据-取费表'!B2</f>
        <v>43734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28" t="s">
        <v>2545</v>
      </c>
      <c r="Q7" s="3256"/>
      <c r="R7" s="770" t="s">
        <v>17</v>
      </c>
      <c r="S7" s="771">
        <f t="shared" ref="S7:S15" si="0">F7</f>
        <v>0</v>
      </c>
      <c r="T7" s="770" t="s">
        <v>17</v>
      </c>
      <c r="U7" s="771">
        <f t="shared" ref="U7:U15" si="1">H7</f>
        <v>0</v>
      </c>
      <c r="V7" s="770" t="s">
        <v>17</v>
      </c>
      <c r="W7" s="771">
        <f t="shared" ref="W7:W15" si="2">J7</f>
        <v>0</v>
      </c>
      <c r="X7" s="772"/>
      <c r="Y7" s="3228" t="s">
        <v>2545</v>
      </c>
      <c r="Z7" s="3229"/>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45" si="3">D8/F8</f>
        <v>#DIV/0!</v>
      </c>
      <c r="AB8" s="773" t="e">
        <f t="shared" ref="AB8:AB45" si="4">D8/H8</f>
        <v>#DIV/0!</v>
      </c>
      <c r="AC8" s="773" t="e">
        <f t="shared" ref="AC8:AC45" si="5">D8/J8</f>
        <v>#DIV/0!</v>
      </c>
    </row>
    <row r="9" spans="1:30" s="117" customFormat="1">
      <c r="A9" s="415" t="s">
        <v>2549</v>
      </c>
      <c r="B9" s="71" t="s">
        <v>2550</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60" t="s">
        <v>2551</v>
      </c>
      <c r="Q9" s="1795" t="str">
        <f t="shared" ref="Q9:Q15" si="6">B9</f>
        <v>用途</v>
      </c>
      <c r="R9" s="770" t="s">
        <v>17</v>
      </c>
      <c r="S9" s="771">
        <f t="shared" si="0"/>
        <v>100</v>
      </c>
      <c r="T9" s="770" t="s">
        <v>17</v>
      </c>
      <c r="U9" s="771">
        <f t="shared" si="1"/>
        <v>100</v>
      </c>
      <c r="V9" s="770" t="s">
        <v>17</v>
      </c>
      <c r="W9" s="771">
        <f t="shared" si="2"/>
        <v>100</v>
      </c>
      <c r="X9" s="772"/>
      <c r="Y9" s="3076"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60"/>
      <c r="Q10" s="1795" t="str">
        <f t="shared" si="6"/>
        <v>土地使用年限（年）</v>
      </c>
      <c r="R10" s="770" t="s">
        <v>17</v>
      </c>
      <c r="S10" s="771">
        <f t="shared" si="0"/>
        <v>109</v>
      </c>
      <c r="T10" s="770" t="s">
        <v>17</v>
      </c>
      <c r="U10" s="771">
        <f t="shared" si="1"/>
        <v>109</v>
      </c>
      <c r="V10" s="770" t="s">
        <v>17</v>
      </c>
      <c r="W10" s="771">
        <f t="shared" si="2"/>
        <v>109</v>
      </c>
      <c r="X10" s="772"/>
      <c r="Y10" s="3076"/>
      <c r="Z10" s="55" t="str">
        <f t="shared" si="7"/>
        <v>土地使用年限（年）</v>
      </c>
      <c r="AA10" s="773">
        <f t="shared" si="3"/>
        <v>0.91743119266055051</v>
      </c>
      <c r="AB10" s="773">
        <f t="shared" si="4"/>
        <v>0.91743119266055051</v>
      </c>
      <c r="AC10" s="773">
        <f t="shared" si="5"/>
        <v>0.91743119266055051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0"/>
      <c r="Q11" s="1795"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773" t="e">
        <f t="shared" si="5"/>
        <v>#N/A</v>
      </c>
    </row>
    <row r="12" spans="1:30" s="117" customFormat="1" ht="15">
      <c r="A12" s="431"/>
      <c r="B12" s="2600"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0"/>
      <c r="Q12" s="1795" t="str">
        <f t="shared" si="6"/>
        <v>配建</v>
      </c>
      <c r="R12" s="770" t="s">
        <v>17</v>
      </c>
      <c r="S12" s="771">
        <f t="shared" si="0"/>
        <v>100</v>
      </c>
      <c r="T12" s="770" t="s">
        <v>17</v>
      </c>
      <c r="U12" s="771">
        <f t="shared" si="1"/>
        <v>100</v>
      </c>
      <c r="V12" s="770" t="s">
        <v>17</v>
      </c>
      <c r="W12" s="771">
        <f t="shared" si="2"/>
        <v>100</v>
      </c>
      <c r="X12" s="772"/>
      <c r="Y12" s="3076"/>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0"/>
      <c r="Q13" s="1795">
        <f t="shared" si="6"/>
        <v>111</v>
      </c>
      <c r="R13" s="770" t="s">
        <v>17</v>
      </c>
      <c r="S13" s="771">
        <f t="shared" si="0"/>
        <v>100</v>
      </c>
      <c r="T13" s="770" t="s">
        <v>17</v>
      </c>
      <c r="U13" s="771">
        <f t="shared" si="1"/>
        <v>100</v>
      </c>
      <c r="V13" s="770" t="s">
        <v>17</v>
      </c>
      <c r="W13" s="771">
        <f t="shared" si="2"/>
        <v>100</v>
      </c>
      <c r="X13" s="772"/>
      <c r="Y13" s="3076"/>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0"/>
      <c r="Q14" s="1795">
        <f t="shared" si="6"/>
        <v>111</v>
      </c>
      <c r="R14" s="770" t="s">
        <v>17</v>
      </c>
      <c r="S14" s="771">
        <f t="shared" si="0"/>
        <v>100</v>
      </c>
      <c r="T14" s="770" t="s">
        <v>17</v>
      </c>
      <c r="U14" s="771">
        <f t="shared" si="1"/>
        <v>100</v>
      </c>
      <c r="V14" s="770" t="s">
        <v>17</v>
      </c>
      <c r="W14" s="771">
        <f t="shared" si="2"/>
        <v>100</v>
      </c>
      <c r="X14" s="772"/>
      <c r="Y14" s="3076"/>
      <c r="Z14" s="55">
        <f t="shared" si="7"/>
        <v>111</v>
      </c>
      <c r="AA14" s="773">
        <f>D14/F14</f>
        <v>1</v>
      </c>
      <c r="AB14" s="773">
        <f>D14/H14</f>
        <v>1</v>
      </c>
      <c r="AC14" s="773">
        <f>D14/J14</f>
        <v>1</v>
      </c>
    </row>
    <row r="15" spans="1:30" ht="15">
      <c r="A15" s="440" t="s">
        <v>2555</v>
      </c>
      <c r="B15" s="69"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2" t="s">
        <v>2556</v>
      </c>
      <c r="Q15" s="1810" t="str">
        <f t="shared" si="6"/>
        <v>居住社区成熟度</v>
      </c>
      <c r="R15" s="774" t="s">
        <v>17</v>
      </c>
      <c r="S15" s="775">
        <f t="shared" si="0"/>
        <v>100</v>
      </c>
      <c r="T15" s="774" t="s">
        <v>17</v>
      </c>
      <c r="U15" s="775">
        <f t="shared" si="1"/>
        <v>100</v>
      </c>
      <c r="V15" s="774" t="s">
        <v>17</v>
      </c>
      <c r="W15" s="775">
        <f t="shared" si="2"/>
        <v>100</v>
      </c>
      <c r="X15" s="1813"/>
      <c r="Y15" s="3262" t="s">
        <v>2556</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63"/>
      <c r="Q16" s="1810"/>
      <c r="R16" s="774"/>
      <c r="S16" s="775"/>
      <c r="T16" s="774"/>
      <c r="U16" s="775"/>
      <c r="V16" s="774"/>
      <c r="W16" s="775"/>
      <c r="X16" s="1813"/>
      <c r="Y16" s="3263"/>
      <c r="Z16" s="1814"/>
      <c r="AA16" s="1811">
        <v>1</v>
      </c>
      <c r="AB16" s="1811">
        <v>1</v>
      </c>
      <c r="AC16" s="1811">
        <v>1</v>
      </c>
    </row>
    <row r="17" spans="1:29" ht="15">
      <c r="A17" s="428"/>
      <c r="B17" s="451" t="s">
        <v>2649</v>
      </c>
      <c r="C17" s="2664"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3"/>
      <c r="Q17" s="1810" t="str">
        <f>B17</f>
        <v>商业繁华度</v>
      </c>
      <c r="R17" s="774" t="s">
        <v>17</v>
      </c>
      <c r="S17" s="775">
        <f>F17</f>
        <v>100</v>
      </c>
      <c r="T17" s="774" t="s">
        <v>17</v>
      </c>
      <c r="U17" s="775">
        <f>H17</f>
        <v>100</v>
      </c>
      <c r="V17" s="774" t="s">
        <v>17</v>
      </c>
      <c r="W17" s="775">
        <f>J17</f>
        <v>100</v>
      </c>
      <c r="X17" s="1813"/>
      <c r="Y17" s="3263"/>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63"/>
      <c r="Q18" s="1810"/>
      <c r="R18" s="774"/>
      <c r="S18" s="775"/>
      <c r="T18" s="774"/>
      <c r="U18" s="775"/>
      <c r="V18" s="774"/>
      <c r="W18" s="775"/>
      <c r="X18" s="1813"/>
      <c r="Y18" s="3263"/>
      <c r="Z18" s="1814"/>
      <c r="AA18" s="1811">
        <v>1</v>
      </c>
      <c r="AB18" s="1811">
        <v>1</v>
      </c>
      <c r="AC18" s="1811">
        <v>1</v>
      </c>
    </row>
    <row r="19" spans="1:29" ht="15">
      <c r="A19" s="428"/>
      <c r="B19" s="451" t="s">
        <v>2683</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3"/>
      <c r="Q19" s="1810" t="str">
        <f>B19</f>
        <v>办公集聚程度</v>
      </c>
      <c r="R19" s="774" t="s">
        <v>17</v>
      </c>
      <c r="S19" s="775">
        <f>F19</f>
        <v>100</v>
      </c>
      <c r="T19" s="774" t="s">
        <v>17</v>
      </c>
      <c r="U19" s="775">
        <f>H19</f>
        <v>100</v>
      </c>
      <c r="V19" s="774" t="s">
        <v>17</v>
      </c>
      <c r="W19" s="775">
        <f>J19</f>
        <v>100</v>
      </c>
      <c r="X19" s="1813"/>
      <c r="Y19" s="3263"/>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63"/>
      <c r="Q20" s="1810"/>
      <c r="R20" s="774"/>
      <c r="S20" s="775"/>
      <c r="T20" s="774"/>
      <c r="U20" s="775"/>
      <c r="V20" s="774"/>
      <c r="W20" s="775"/>
      <c r="X20" s="1813"/>
      <c r="Y20" s="3263"/>
      <c r="Z20" s="1814"/>
      <c r="AA20" s="1811">
        <v>1</v>
      </c>
      <c r="AB20" s="1811">
        <v>1</v>
      </c>
      <c r="AC20" s="1811">
        <v>1</v>
      </c>
    </row>
    <row r="21" spans="1:29" ht="15">
      <c r="A21" s="428"/>
      <c r="B21" s="451" t="s">
        <v>2705</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3"/>
      <c r="Q21" s="1810" t="str">
        <f>B21</f>
        <v>交通便捷度</v>
      </c>
      <c r="R21" s="774" t="s">
        <v>17</v>
      </c>
      <c r="S21" s="775">
        <f>F21</f>
        <v>100</v>
      </c>
      <c r="T21" s="774" t="s">
        <v>17</v>
      </c>
      <c r="U21" s="775">
        <f>H21</f>
        <v>100</v>
      </c>
      <c r="V21" s="774" t="s">
        <v>17</v>
      </c>
      <c r="W21" s="775">
        <f>J21</f>
        <v>100</v>
      </c>
      <c r="X21" s="1813"/>
      <c r="Y21" s="3263"/>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63"/>
      <c r="Q22" s="1810"/>
      <c r="R22" s="774"/>
      <c r="S22" s="775"/>
      <c r="T22" s="774"/>
      <c r="U22" s="775"/>
      <c r="V22" s="774"/>
      <c r="W22" s="775"/>
      <c r="X22" s="1813"/>
      <c r="Y22" s="3263"/>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3"/>
      <c r="Q23" s="1810" t="str">
        <f t="shared" ref="Q23:Q37" si="8">B23</f>
        <v>区域土地利用方向</v>
      </c>
      <c r="R23" s="774" t="s">
        <v>17</v>
      </c>
      <c r="S23" s="775">
        <f>F23</f>
        <v>100</v>
      </c>
      <c r="T23" s="774" t="s">
        <v>17</v>
      </c>
      <c r="U23" s="775">
        <f>H23</f>
        <v>100</v>
      </c>
      <c r="V23" s="774" t="s">
        <v>17</v>
      </c>
      <c r="W23" s="775">
        <f>J23</f>
        <v>100</v>
      </c>
      <c r="X23" s="1813"/>
      <c r="Y23" s="3263"/>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63"/>
      <c r="Q24" s="1810"/>
      <c r="R24" s="774"/>
      <c r="S24" s="775"/>
      <c r="T24" s="774"/>
      <c r="U24" s="775"/>
      <c r="V24" s="774"/>
      <c r="W24" s="775"/>
      <c r="X24" s="1813"/>
      <c r="Y24" s="3263"/>
      <c r="Z24" s="1814"/>
      <c r="AA24" s="1811"/>
      <c r="AB24" s="1811"/>
      <c r="AC24" s="1811"/>
    </row>
    <row r="25" spans="1:29" ht="27">
      <c r="A25" s="404"/>
      <c r="B25" s="1384" t="s">
        <v>2745</v>
      </c>
      <c r="C25" s="2664"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3"/>
      <c r="Q25" s="1810" t="str">
        <f t="shared" si="8"/>
        <v>自然及人文环境状况</v>
      </c>
      <c r="R25" s="774" t="s">
        <v>17</v>
      </c>
      <c r="S25" s="775">
        <f>F25</f>
        <v>100</v>
      </c>
      <c r="T25" s="774" t="s">
        <v>17</v>
      </c>
      <c r="U25" s="775">
        <f>H25</f>
        <v>100</v>
      </c>
      <c r="V25" s="774" t="s">
        <v>17</v>
      </c>
      <c r="W25" s="775">
        <f>J25</f>
        <v>100</v>
      </c>
      <c r="X25" s="1813"/>
      <c r="Y25" s="3263"/>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63"/>
      <c r="Q26" s="1810"/>
      <c r="R26" s="774"/>
      <c r="S26" s="775"/>
      <c r="T26" s="774"/>
      <c r="U26" s="775"/>
      <c r="V26" s="774"/>
      <c r="W26" s="775"/>
      <c r="X26" s="1813"/>
      <c r="Y26" s="3263"/>
      <c r="Z26" s="1814"/>
      <c r="AA26" s="1811">
        <v>1</v>
      </c>
      <c r="AB26" s="1811">
        <v>1</v>
      </c>
      <c r="AC26" s="1811">
        <v>1</v>
      </c>
    </row>
    <row r="27" spans="1:29" s="117" customFormat="1" ht="15">
      <c r="A27" s="649"/>
      <c r="B27" s="1384" t="s">
        <v>2650</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3"/>
      <c r="Q27" s="1795" t="str">
        <f t="shared" si="8"/>
        <v>公共配套设施</v>
      </c>
      <c r="R27" s="770" t="s">
        <v>17</v>
      </c>
      <c r="S27" s="771">
        <f>F27</f>
        <v>100</v>
      </c>
      <c r="T27" s="770" t="s">
        <v>17</v>
      </c>
      <c r="U27" s="771">
        <f>H27</f>
        <v>100</v>
      </c>
      <c r="V27" s="770" t="s">
        <v>17</v>
      </c>
      <c r="W27" s="771">
        <f>J27</f>
        <v>100</v>
      </c>
      <c r="X27" s="772"/>
      <c r="Y27" s="3263"/>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63"/>
      <c r="Q28" s="1795"/>
      <c r="R28" s="770"/>
      <c r="S28" s="771"/>
      <c r="T28" s="770"/>
      <c r="U28" s="771"/>
      <c r="V28" s="770"/>
      <c r="W28" s="771"/>
      <c r="X28" s="772"/>
      <c r="Y28" s="3263"/>
      <c r="Z28" s="55"/>
      <c r="AA28" s="1811">
        <v>1</v>
      </c>
      <c r="AB28" s="1811">
        <v>1</v>
      </c>
      <c r="AC28" s="1811">
        <v>1</v>
      </c>
    </row>
    <row r="29" spans="1:29" s="117" customFormat="1" ht="15">
      <c r="A29" s="649"/>
      <c r="B29" s="1384" t="s">
        <v>2651</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3"/>
      <c r="Q29" s="1795" t="str">
        <f t="shared" ref="Q29" si="9">B29</f>
        <v>基础设施水平</v>
      </c>
      <c r="R29" s="770" t="s">
        <v>17</v>
      </c>
      <c r="S29" s="771">
        <f>F29</f>
        <v>100</v>
      </c>
      <c r="T29" s="770" t="s">
        <v>17</v>
      </c>
      <c r="U29" s="771">
        <f>H29</f>
        <v>100</v>
      </c>
      <c r="V29" s="770" t="s">
        <v>17</v>
      </c>
      <c r="W29" s="771">
        <f>J29</f>
        <v>100</v>
      </c>
      <c r="X29" s="772"/>
      <c r="Y29" s="3263"/>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63"/>
      <c r="Q30" s="1795"/>
      <c r="R30" s="770"/>
      <c r="S30" s="771"/>
      <c r="T30" s="770"/>
      <c r="U30" s="771"/>
      <c r="V30" s="770"/>
      <c r="W30" s="771"/>
      <c r="X30" s="772"/>
      <c r="Y30" s="3263"/>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63"/>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3"/>
      <c r="Q32" s="1810" t="str">
        <f t="shared" si="8"/>
        <v>毗邻道路的类型与等级</v>
      </c>
      <c r="R32" s="774" t="s">
        <v>17</v>
      </c>
      <c r="S32" s="775">
        <f t="shared" si="10"/>
        <v>100</v>
      </c>
      <c r="T32" s="774" t="s">
        <v>17</v>
      </c>
      <c r="U32" s="775">
        <f t="shared" si="11"/>
        <v>100</v>
      </c>
      <c r="V32" s="774" t="s">
        <v>17</v>
      </c>
      <c r="W32" s="775">
        <f t="shared" si="12"/>
        <v>100</v>
      </c>
      <c r="X32" s="1813"/>
      <c r="Y32" s="3263"/>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63"/>
      <c r="Q33" s="1810"/>
      <c r="R33" s="774"/>
      <c r="S33" s="775"/>
      <c r="T33" s="774"/>
      <c r="U33" s="775"/>
      <c r="V33" s="774"/>
      <c r="W33" s="775"/>
      <c r="X33" s="1813"/>
      <c r="Y33" s="3263"/>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3"/>
      <c r="Q34" s="1810" t="str">
        <f t="shared" si="8"/>
        <v>土地级别</v>
      </c>
      <c r="R34" s="774" t="s">
        <v>17</v>
      </c>
      <c r="S34" s="775">
        <f t="shared" si="10"/>
        <v>100</v>
      </c>
      <c r="T34" s="774" t="s">
        <v>17</v>
      </c>
      <c r="U34" s="775">
        <f t="shared" si="11"/>
        <v>100</v>
      </c>
      <c r="V34" s="774" t="s">
        <v>17</v>
      </c>
      <c r="W34" s="775">
        <f t="shared" si="12"/>
        <v>100</v>
      </c>
      <c r="X34" s="1813"/>
      <c r="Y34" s="326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3"/>
      <c r="Q35" s="1810">
        <f t="shared" si="8"/>
        <v>111</v>
      </c>
      <c r="R35" s="774" t="s">
        <v>17</v>
      </c>
      <c r="S35" s="775">
        <f t="shared" si="10"/>
        <v>100</v>
      </c>
      <c r="T35" s="774" t="s">
        <v>17</v>
      </c>
      <c r="U35" s="775">
        <f t="shared" si="11"/>
        <v>100</v>
      </c>
      <c r="V35" s="774" t="s">
        <v>17</v>
      </c>
      <c r="W35" s="775">
        <f t="shared" si="12"/>
        <v>100</v>
      </c>
      <c r="X35" s="1813"/>
      <c r="Y35" s="326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9" t="s">
        <v>2561</v>
      </c>
      <c r="Q36" s="1810">
        <f t="shared" si="8"/>
        <v>111</v>
      </c>
      <c r="R36" s="774" t="s">
        <v>17</v>
      </c>
      <c r="S36" s="775">
        <f t="shared" si="10"/>
        <v>100</v>
      </c>
      <c r="T36" s="774" t="s">
        <v>17</v>
      </c>
      <c r="U36" s="775">
        <f t="shared" si="11"/>
        <v>100</v>
      </c>
      <c r="V36" s="774" t="s">
        <v>17</v>
      </c>
      <c r="W36" s="775">
        <f t="shared" si="12"/>
        <v>100</v>
      </c>
      <c r="X36" s="1813"/>
      <c r="Y36" s="3267"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7"/>
      <c r="Q37" s="1810">
        <f t="shared" si="8"/>
        <v>111</v>
      </c>
      <c r="R37" s="777" t="s">
        <v>17</v>
      </c>
      <c r="S37" s="778">
        <f t="shared" si="10"/>
        <v>100</v>
      </c>
      <c r="T37" s="777" t="s">
        <v>17</v>
      </c>
      <c r="U37" s="778">
        <f t="shared" si="11"/>
        <v>100</v>
      </c>
      <c r="V37" s="777" t="s">
        <v>17</v>
      </c>
      <c r="W37" s="778">
        <f t="shared" si="12"/>
        <v>100</v>
      </c>
      <c r="X37" s="779"/>
      <c r="Y37" s="3267"/>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7"/>
      <c r="Q38" s="1810" t="str">
        <f>B38</f>
        <v>宗地面积</v>
      </c>
      <c r="R38" s="774" t="s">
        <v>17</v>
      </c>
      <c r="S38" s="775" t="e">
        <f t="shared" si="10"/>
        <v>#N/A</v>
      </c>
      <c r="T38" s="774" t="s">
        <v>17</v>
      </c>
      <c r="U38" s="775" t="e">
        <f t="shared" si="11"/>
        <v>#N/A</v>
      </c>
      <c r="V38" s="774" t="s">
        <v>17</v>
      </c>
      <c r="W38" s="775" t="e">
        <f t="shared" si="12"/>
        <v>#N/A</v>
      </c>
      <c r="X38" s="1813"/>
      <c r="Y38" s="3267"/>
      <c r="Z38" s="1814" t="str">
        <f t="shared" si="13"/>
        <v>宗地面积</v>
      </c>
      <c r="AA38" s="1811" t="e">
        <f t="shared" si="3"/>
        <v>#N/A</v>
      </c>
      <c r="AB38" s="1811" t="e">
        <f t="shared" si="4"/>
        <v>#N/A</v>
      </c>
      <c r="AC38" s="1811" t="e">
        <f t="shared" si="5"/>
        <v>#N/A</v>
      </c>
    </row>
    <row r="39" spans="1:29" ht="15">
      <c r="A39" s="472"/>
      <c r="B39" s="422" t="s">
        <v>2748</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67"/>
      <c r="Q39" s="1810" t="str">
        <f t="shared" ref="Q39:Q45" si="14">B39</f>
        <v>宗地形状</v>
      </c>
      <c r="R39" s="774" t="s">
        <v>17</v>
      </c>
      <c r="S39" s="775">
        <f t="shared" si="10"/>
        <v>100</v>
      </c>
      <c r="T39" s="774" t="s">
        <v>17</v>
      </c>
      <c r="U39" s="775">
        <f t="shared" si="11"/>
        <v>100</v>
      </c>
      <c r="V39" s="774" t="s">
        <v>17</v>
      </c>
      <c r="W39" s="775">
        <f t="shared" si="12"/>
        <v>100</v>
      </c>
      <c r="X39" s="1813"/>
      <c r="Y39" s="3267"/>
      <c r="Z39" s="1814" t="str">
        <f t="shared" si="13"/>
        <v>宗地形状</v>
      </c>
      <c r="AA39" s="1811">
        <f t="shared" si="3"/>
        <v>1</v>
      </c>
      <c r="AB39" s="1811">
        <f t="shared" si="4"/>
        <v>1</v>
      </c>
      <c r="AC39" s="1811">
        <f t="shared" si="5"/>
        <v>1</v>
      </c>
    </row>
    <row r="40" spans="1:29" ht="15">
      <c r="A40" s="472"/>
      <c r="B40" s="422" t="s">
        <v>2749</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67"/>
      <c r="Q40" s="1810" t="str">
        <f t="shared" si="14"/>
        <v>临街宽度及深度</v>
      </c>
      <c r="R40" s="774" t="s">
        <v>17</v>
      </c>
      <c r="S40" s="775">
        <f t="shared" si="10"/>
        <v>100</v>
      </c>
      <c r="T40" s="774" t="s">
        <v>17</v>
      </c>
      <c r="U40" s="775">
        <f t="shared" si="11"/>
        <v>100</v>
      </c>
      <c r="V40" s="774" t="s">
        <v>17</v>
      </c>
      <c r="W40" s="775">
        <f t="shared" si="12"/>
        <v>100</v>
      </c>
      <c r="X40" s="1813"/>
      <c r="Y40" s="3267"/>
      <c r="Z40" s="1814" t="str">
        <f t="shared" si="13"/>
        <v>临街宽度及深度</v>
      </c>
      <c r="AA40" s="1811">
        <f t="shared" si="3"/>
        <v>1</v>
      </c>
      <c r="AB40" s="1811">
        <f t="shared" si="4"/>
        <v>1</v>
      </c>
      <c r="AC40" s="1811">
        <f t="shared" si="5"/>
        <v>1</v>
      </c>
    </row>
    <row r="41" spans="1:29" s="117" customFormat="1" ht="15">
      <c r="A41" s="473"/>
      <c r="B41" s="422" t="s">
        <v>2750</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67"/>
      <c r="Q41" s="1810" t="str">
        <f t="shared" si="14"/>
        <v>宗地开发程度</v>
      </c>
      <c r="R41" s="770" t="s">
        <v>17</v>
      </c>
      <c r="S41" s="771">
        <f t="shared" si="10"/>
        <v>100</v>
      </c>
      <c r="T41" s="770" t="s">
        <v>17</v>
      </c>
      <c r="U41" s="771">
        <f t="shared" si="11"/>
        <v>100</v>
      </c>
      <c r="V41" s="770" t="s">
        <v>17</v>
      </c>
      <c r="W41" s="771">
        <f t="shared" si="12"/>
        <v>100</v>
      </c>
      <c r="X41" s="772"/>
      <c r="Y41" s="3267"/>
      <c r="Z41" s="55" t="str">
        <f t="shared" si="13"/>
        <v>宗地开发程度</v>
      </c>
      <c r="AA41" s="773">
        <f t="shared" si="3"/>
        <v>1</v>
      </c>
      <c r="AB41" s="773">
        <f t="shared" si="4"/>
        <v>1</v>
      </c>
      <c r="AC41" s="773">
        <f t="shared" si="5"/>
        <v>1</v>
      </c>
    </row>
    <row r="42" spans="1:29" ht="15">
      <c r="A42" s="472"/>
      <c r="B42" s="422" t="s">
        <v>2751</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67" t="s">
        <v>2561</v>
      </c>
      <c r="Q42" s="1810" t="str">
        <f t="shared" si="14"/>
        <v>工程地质条件</v>
      </c>
      <c r="R42" s="774" t="s">
        <v>17</v>
      </c>
      <c r="S42" s="775">
        <f t="shared" si="10"/>
        <v>100</v>
      </c>
      <c r="T42" s="774" t="s">
        <v>17</v>
      </c>
      <c r="U42" s="775">
        <f t="shared" si="11"/>
        <v>100</v>
      </c>
      <c r="V42" s="774" t="s">
        <v>17</v>
      </c>
      <c r="W42" s="775">
        <f t="shared" si="12"/>
        <v>100</v>
      </c>
      <c r="X42" s="1813"/>
      <c r="Y42" s="3267"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7"/>
      <c r="Q43" s="1810">
        <f t="shared" si="14"/>
        <v>111</v>
      </c>
      <c r="R43" s="774" t="s">
        <v>17</v>
      </c>
      <c r="S43" s="775">
        <f t="shared" si="10"/>
        <v>100</v>
      </c>
      <c r="T43" s="774" t="s">
        <v>17</v>
      </c>
      <c r="U43" s="775">
        <f t="shared" si="11"/>
        <v>100</v>
      </c>
      <c r="V43" s="774" t="s">
        <v>17</v>
      </c>
      <c r="W43" s="775">
        <f t="shared" si="12"/>
        <v>100</v>
      </c>
      <c r="X43" s="1813"/>
      <c r="Y43" s="326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7"/>
      <c r="Q44" s="1810">
        <f t="shared" si="14"/>
        <v>111</v>
      </c>
      <c r="R44" s="774" t="s">
        <v>17</v>
      </c>
      <c r="S44" s="775">
        <f t="shared" si="10"/>
        <v>100</v>
      </c>
      <c r="T44" s="774" t="s">
        <v>17</v>
      </c>
      <c r="U44" s="775">
        <f t="shared" si="11"/>
        <v>100</v>
      </c>
      <c r="V44" s="774" t="s">
        <v>17</v>
      </c>
      <c r="W44" s="775">
        <f t="shared" si="12"/>
        <v>100</v>
      </c>
      <c r="X44" s="1813"/>
      <c r="Y44" s="3267"/>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7"/>
      <c r="Q45" s="1810">
        <f t="shared" si="14"/>
        <v>111</v>
      </c>
      <c r="R45" s="777" t="s">
        <v>17</v>
      </c>
      <c r="S45" s="778">
        <f t="shared" si="10"/>
        <v>100</v>
      </c>
      <c r="T45" s="777" t="s">
        <v>17</v>
      </c>
      <c r="U45" s="778">
        <f t="shared" si="11"/>
        <v>100</v>
      </c>
      <c r="V45" s="777" t="s">
        <v>17</v>
      </c>
      <c r="W45" s="778">
        <f t="shared" si="12"/>
        <v>100</v>
      </c>
      <c r="X45" s="779"/>
      <c r="Y45" s="3267"/>
      <c r="Z45" s="780">
        <f t="shared" si="13"/>
        <v>111</v>
      </c>
      <c r="AA45" s="1811">
        <f t="shared" si="3"/>
        <v>1</v>
      </c>
      <c r="AB45" s="1811">
        <f t="shared" si="4"/>
        <v>1</v>
      </c>
      <c r="AC45" s="1811">
        <f t="shared" si="5"/>
        <v>1</v>
      </c>
    </row>
    <row r="46" spans="1:29" ht="15">
      <c r="A46" s="479" t="s">
        <v>2716</v>
      </c>
      <c r="B46" s="2704" t="s">
        <v>2752</v>
      </c>
      <c r="C46" s="682" t="s">
        <v>1</v>
      </c>
      <c r="D46" s="481"/>
      <c r="E46" s="482"/>
      <c r="F46" s="483"/>
      <c r="G46" s="484"/>
      <c r="H46" s="485"/>
      <c r="I46" s="482"/>
      <c r="J46" s="485"/>
      <c r="K46" s="783"/>
      <c r="L46" s="1143"/>
      <c r="M46" s="1144"/>
      <c r="N46" s="1131"/>
      <c r="O46" s="1144"/>
      <c r="P46" s="3260" t="str">
        <f>A46</f>
        <v>成交单价</v>
      </c>
      <c r="Q46" s="3260"/>
      <c r="R46" s="3255">
        <f>E46</f>
        <v>0</v>
      </c>
      <c r="S46" s="3255"/>
      <c r="T46" s="3255">
        <f>G46</f>
        <v>0</v>
      </c>
      <c r="U46" s="3255"/>
      <c r="V46" s="3255">
        <f>I46</f>
        <v>0</v>
      </c>
      <c r="W46" s="3255"/>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60" t="str">
        <f>A47</f>
        <v>比较价值（元/平方米）</v>
      </c>
      <c r="Q47" s="3260"/>
      <c r="R47" s="3290" t="e">
        <f>ROUND(PRODUCT(R46,AA7:AA45),0)</f>
        <v>#DIV/0!</v>
      </c>
      <c r="S47" s="3290"/>
      <c r="T47" s="3290" t="e">
        <f>ROUND(PRODUCT(T46,AB7:AB45),0)</f>
        <v>#DIV/0!</v>
      </c>
      <c r="U47" s="3290"/>
      <c r="V47" s="3290" t="e">
        <f>ROUND(PRODUCT(V46,AC7:AC45),0)</f>
        <v>#DIV/0!</v>
      </c>
      <c r="W47" s="3290"/>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57" t="str">
        <f>A48</f>
        <v>估价对象XX用房的比较价值（楼面单价，元/平方米）</v>
      </c>
      <c r="Q48" s="3258"/>
      <c r="R48" s="3291" t="e">
        <f>ROUND(AVERAGE(R47:V47),0)</f>
        <v>#DIV/0!</v>
      </c>
      <c r="S48" s="3291"/>
      <c r="T48" s="3291"/>
      <c r="U48" s="3291"/>
      <c r="V48" s="3291"/>
      <c r="W48" s="329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5" t="s">
        <v>2756</v>
      </c>
      <c r="D55" s="2706" t="s">
        <v>2757</v>
      </c>
      <c r="E55" s="686" t="s">
        <v>2758</v>
      </c>
      <c r="F55" s="1107" t="s">
        <v>2759</v>
      </c>
      <c r="G55" s="3243" t="s">
        <v>2760</v>
      </c>
      <c r="H55" s="3292"/>
      <c r="I55" s="144" t="s">
        <v>2761</v>
      </c>
      <c r="J55" s="2707">
        <f>项目基本情况!F35</f>
        <v>0</v>
      </c>
      <c r="K55" s="2708" t="s">
        <v>2762</v>
      </c>
      <c r="L55" s="1106"/>
      <c r="M55" s="1144"/>
      <c r="N55" s="1144"/>
      <c r="O55" s="1144"/>
    </row>
    <row r="56" spans="1:15" s="692" customFormat="1">
      <c r="A56" s="688" t="s">
        <v>2763</v>
      </c>
      <c r="B56" s="689" t="e">
        <f>C48</f>
        <v>#DIV/0!</v>
      </c>
      <c r="C56" s="690">
        <v>1</v>
      </c>
      <c r="D56" s="1163">
        <v>1</v>
      </c>
      <c r="E56" s="690">
        <f>'数据-汇总表'!E8+'数据-汇总表'!E9</f>
        <v>1340.42</v>
      </c>
      <c r="F56" s="1103" t="e">
        <f t="shared" ref="F56:F65" si="15">ROUND(B56*E56/10000,0)</f>
        <v>#DIV/0!</v>
      </c>
      <c r="G56" s="3242"/>
      <c r="H56" s="3260"/>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93"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93"/>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93"/>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93"/>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9"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9"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0"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1340.42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1"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3" t="s">
        <v>2642</v>
      </c>
      <c r="D4" s="3244"/>
      <c r="E4" s="3245" t="s">
        <v>2643</v>
      </c>
      <c r="F4" s="3246"/>
      <c r="G4" s="3243" t="s">
        <v>2644</v>
      </c>
      <c r="H4" s="3244"/>
      <c r="I4" s="3243" t="s">
        <v>2645</v>
      </c>
      <c r="J4" s="3244"/>
      <c r="K4" s="610" t="s">
        <v>2646</v>
      </c>
      <c r="L4" s="1130"/>
      <c r="M4" s="1131"/>
      <c r="N4" s="1131"/>
      <c r="O4" s="1131"/>
      <c r="P4" s="3247" t="s">
        <v>2647</v>
      </c>
      <c r="Q4" s="3248"/>
      <c r="R4" s="3230" t="s">
        <v>2643</v>
      </c>
      <c r="S4" s="3231"/>
      <c r="T4" s="3230" t="s">
        <v>2644</v>
      </c>
      <c r="U4" s="3231"/>
      <c r="V4" s="3255" t="s">
        <v>2645</v>
      </c>
      <c r="W4" s="3255"/>
      <c r="X4" s="1813"/>
      <c r="Y4" s="3230" t="s">
        <v>2647</v>
      </c>
      <c r="Z4" s="3231"/>
      <c r="AA4" s="3225" t="s">
        <v>2643</v>
      </c>
      <c r="AB4" s="3226" t="s">
        <v>2644</v>
      </c>
      <c r="AC4" s="3225" t="s">
        <v>2645</v>
      </c>
    </row>
    <row r="5" spans="1:29" ht="15">
      <c r="A5" s="404"/>
      <c r="B5" s="405"/>
      <c r="C5" s="3236" t="s">
        <v>2538</v>
      </c>
      <c r="D5" s="3237"/>
      <c r="E5" s="3234" t="s">
        <v>2539</v>
      </c>
      <c r="F5" s="3235"/>
      <c r="G5" s="3236" t="s">
        <v>2540</v>
      </c>
      <c r="H5" s="3237"/>
      <c r="I5" s="3236" t="s">
        <v>2541</v>
      </c>
      <c r="J5" s="3237"/>
      <c r="K5" s="610"/>
      <c r="L5" s="1130"/>
      <c r="M5" s="1131"/>
      <c r="N5" s="1131"/>
      <c r="O5" s="1131"/>
      <c r="P5" s="3249"/>
      <c r="Q5" s="3250"/>
      <c r="R5" s="3232"/>
      <c r="S5" s="3233"/>
      <c r="T5" s="3232"/>
      <c r="U5" s="3233"/>
      <c r="V5" s="3255"/>
      <c r="W5" s="3255"/>
      <c r="X5" s="1813"/>
      <c r="Y5" s="3232"/>
      <c r="Z5" s="3233"/>
      <c r="AA5" s="3226"/>
      <c r="AB5" s="3226"/>
      <c r="AC5" s="3226"/>
    </row>
    <row r="6" spans="1:29" ht="15.75" thickBot="1">
      <c r="A6" s="406"/>
      <c r="B6" s="407"/>
      <c r="C6" s="3294" t="s">
        <v>2793</v>
      </c>
      <c r="D6" s="3295"/>
      <c r="E6" s="3296" t="s">
        <v>2793</v>
      </c>
      <c r="F6" s="3297"/>
      <c r="G6" s="3294" t="s">
        <v>2793</v>
      </c>
      <c r="H6" s="3295"/>
      <c r="I6" s="3294" t="s">
        <v>2793</v>
      </c>
      <c r="J6" s="3295"/>
      <c r="K6" s="610" t="s">
        <v>2543</v>
      </c>
      <c r="L6" s="1130"/>
      <c r="M6" s="1131"/>
      <c r="N6" s="1131"/>
      <c r="O6" s="1131"/>
      <c r="P6" s="3251"/>
      <c r="Q6" s="3252"/>
      <c r="R6" s="3232"/>
      <c r="S6" s="3233"/>
      <c r="T6" s="3253"/>
      <c r="U6" s="3254"/>
      <c r="V6" s="3255"/>
      <c r="W6" s="3255"/>
      <c r="X6" s="1813"/>
      <c r="Y6" s="3253"/>
      <c r="Z6" s="3254"/>
      <c r="AA6" s="3227"/>
      <c r="AB6" s="3227"/>
      <c r="AC6" s="3227"/>
    </row>
    <row r="7" spans="1:29" s="117" customFormat="1" ht="15.75" thickBot="1">
      <c r="A7" s="408" t="s">
        <v>2544</v>
      </c>
      <c r="B7" s="409"/>
      <c r="C7" s="410">
        <f>'数据-取费表'!B2</f>
        <v>43734</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28" t="s">
        <v>2545</v>
      </c>
      <c r="Q7" s="3256"/>
      <c r="R7" s="770" t="s">
        <v>17</v>
      </c>
      <c r="S7" s="771">
        <f t="shared" ref="S7:S15" si="0">F7</f>
        <v>0</v>
      </c>
      <c r="T7" s="770" t="s">
        <v>17</v>
      </c>
      <c r="U7" s="771">
        <f t="shared" ref="U7:U15" si="1">H7</f>
        <v>0</v>
      </c>
      <c r="V7" s="770" t="s">
        <v>17</v>
      </c>
      <c r="W7" s="771">
        <f t="shared" ref="W7:W15" si="2">J7</f>
        <v>0</v>
      </c>
      <c r="X7" s="772"/>
      <c r="Y7" s="3228" t="s">
        <v>2545</v>
      </c>
      <c r="Z7" s="3229"/>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8" t="s">
        <v>2548</v>
      </c>
      <c r="Q8" s="3229"/>
      <c r="R8" s="770" t="s">
        <v>17</v>
      </c>
      <c r="S8" s="771">
        <f t="shared" si="0"/>
        <v>0</v>
      </c>
      <c r="T8" s="770" t="s">
        <v>17</v>
      </c>
      <c r="U8" s="771">
        <f t="shared" si="1"/>
        <v>0</v>
      </c>
      <c r="V8" s="770" t="s">
        <v>17</v>
      </c>
      <c r="W8" s="771">
        <f t="shared" si="2"/>
        <v>0</v>
      </c>
      <c r="X8" s="772"/>
      <c r="Y8" s="3228" t="s">
        <v>2548</v>
      </c>
      <c r="Z8" s="3229"/>
      <c r="AA8" s="773" t="e">
        <f t="shared" ref="AA8:AA40" si="3">D8/F8</f>
        <v>#DIV/0!</v>
      </c>
      <c r="AB8" s="773" t="e">
        <f t="shared" ref="AB8:AB40" si="4">D8/H8</f>
        <v>#DIV/0!</v>
      </c>
      <c r="AC8" s="773" t="e">
        <f t="shared" ref="AC8:AC40" si="5">D8/J8</f>
        <v>#DIV/0!</v>
      </c>
    </row>
    <row r="9" spans="1:29" s="117" customFormat="1">
      <c r="A9" s="415" t="s">
        <v>2549</v>
      </c>
      <c r="B9" s="71" t="s">
        <v>2550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60" t="s">
        <v>2551</v>
      </c>
      <c r="Q9" s="1795" t="str">
        <f t="shared" ref="Q9:Q15" si="6">B9</f>
        <v>用途</v>
      </c>
      <c r="R9" s="770" t="s">
        <v>17</v>
      </c>
      <c r="S9" s="771">
        <f t="shared" si="0"/>
        <v>100</v>
      </c>
      <c r="T9" s="770" t="s">
        <v>17</v>
      </c>
      <c r="U9" s="771">
        <f t="shared" si="1"/>
        <v>100</v>
      </c>
      <c r="V9" s="770" t="s">
        <v>17</v>
      </c>
      <c r="W9" s="771">
        <f t="shared" si="2"/>
        <v>100</v>
      </c>
      <c r="X9" s="772"/>
      <c r="Y9" s="3076"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60"/>
      <c r="Q10" s="1795" t="str">
        <f t="shared" si="6"/>
        <v>土地使用年限（年）</v>
      </c>
      <c r="R10" s="770" t="s">
        <v>17</v>
      </c>
      <c r="S10" s="771">
        <f t="shared" si="0"/>
        <v>109</v>
      </c>
      <c r="T10" s="770" t="s">
        <v>17</v>
      </c>
      <c r="U10" s="771">
        <f t="shared" si="1"/>
        <v>109</v>
      </c>
      <c r="V10" s="770" t="s">
        <v>17</v>
      </c>
      <c r="W10" s="771">
        <f t="shared" si="2"/>
        <v>109</v>
      </c>
      <c r="X10" s="772"/>
      <c r="Y10" s="3076"/>
      <c r="Z10" s="55" t="str">
        <f t="shared" si="7"/>
        <v>土地使用年限（年）</v>
      </c>
      <c r="AA10" s="773">
        <f t="shared" si="3"/>
        <v>0.91743119266055051</v>
      </c>
      <c r="AB10" s="773">
        <f t="shared" si="4"/>
        <v>0.91743119266055051</v>
      </c>
      <c r="AC10" s="773">
        <f t="shared" si="5"/>
        <v>0.91743119266055051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0"/>
      <c r="Q11" s="1795"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0"/>
      <c r="Q12" s="1795">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0"/>
      <c r="Q13" s="1795">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0"/>
      <c r="Q14" s="1795">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773">
        <f t="shared" si="5"/>
        <v>1</v>
      </c>
    </row>
    <row r="15" spans="1:29" ht="57">
      <c r="A15" s="440" t="s">
        <v>2555</v>
      </c>
      <c r="B15" s="629" t="s">
        <v>2794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2" t="s">
        <v>2556</v>
      </c>
      <c r="Q15" s="1810" t="str">
        <f t="shared" si="6"/>
        <v>产业集聚程度</v>
      </c>
      <c r="R15" s="774" t="s">
        <v>17</v>
      </c>
      <c r="S15" s="775">
        <f t="shared" si="0"/>
        <v>100</v>
      </c>
      <c r="T15" s="774" t="s">
        <v>17</v>
      </c>
      <c r="U15" s="775">
        <f t="shared" si="1"/>
        <v>100</v>
      </c>
      <c r="V15" s="774" t="s">
        <v>17</v>
      </c>
      <c r="W15" s="775">
        <f t="shared" si="2"/>
        <v>100</v>
      </c>
      <c r="X15" s="1813"/>
      <c r="Y15" s="3262" t="s">
        <v>2556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63"/>
      <c r="Q16" s="1810"/>
      <c r="R16" s="774"/>
      <c r="S16" s="775"/>
      <c r="T16" s="774"/>
      <c r="U16" s="775"/>
      <c r="V16" s="774"/>
      <c r="W16" s="775"/>
      <c r="X16" s="1813"/>
      <c r="Y16" s="3263"/>
      <c r="Z16" s="1814"/>
      <c r="AA16" s="1811">
        <v>1</v>
      </c>
      <c r="AB16" s="1811">
        <v>1</v>
      </c>
      <c r="AC16" s="1811">
        <v>1</v>
      </c>
    </row>
    <row r="17" spans="1:29" ht="85.5">
      <c r="A17" s="428"/>
      <c r="B17" s="631" t="s">
        <v>2705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3"/>
      <c r="Q17" s="1810" t="str">
        <f>B17</f>
        <v>交通便捷度</v>
      </c>
      <c r="R17" s="774" t="s">
        <v>17</v>
      </c>
      <c r="S17" s="775">
        <f>F17</f>
        <v>100</v>
      </c>
      <c r="T17" s="774" t="s">
        <v>17</v>
      </c>
      <c r="U17" s="775">
        <f>H17</f>
        <v>100</v>
      </c>
      <c r="V17" s="774" t="s">
        <v>17</v>
      </c>
      <c r="W17" s="775">
        <f>J17</f>
        <v>100</v>
      </c>
      <c r="X17" s="1813"/>
      <c r="Y17" s="3263"/>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63"/>
      <c r="Q18" s="1810"/>
      <c r="R18" s="774"/>
      <c r="S18" s="775"/>
      <c r="T18" s="774"/>
      <c r="U18" s="775"/>
      <c r="V18" s="774"/>
      <c r="W18" s="775"/>
      <c r="X18" s="1813"/>
      <c r="Y18" s="3263"/>
      <c r="Z18" s="1814"/>
      <c r="AA18" s="1811">
        <v>1</v>
      </c>
      <c r="AB18" s="1811">
        <v>1</v>
      </c>
      <c r="AC18" s="1811">
        <v>1</v>
      </c>
    </row>
    <row r="19" spans="1:29" ht="15">
      <c r="A19" s="428"/>
      <c r="B19" s="631" t="s">
        <v>2744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3"/>
      <c r="Q19" s="1810" t="str">
        <f t="shared" ref="Q19:Q33" si="8">B19</f>
        <v>区域土地利用方向</v>
      </c>
      <c r="R19" s="774" t="s">
        <v>17</v>
      </c>
      <c r="S19" s="775">
        <f>F19</f>
        <v>100</v>
      </c>
      <c r="T19" s="774" t="s">
        <v>17</v>
      </c>
      <c r="U19" s="775">
        <f>H19</f>
        <v>100</v>
      </c>
      <c r="V19" s="774" t="s">
        <v>17</v>
      </c>
      <c r="W19" s="775">
        <f>J19</f>
        <v>100</v>
      </c>
      <c r="X19" s="1813"/>
      <c r="Y19" s="3263"/>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63"/>
      <c r="Q20" s="1810"/>
      <c r="R20" s="774"/>
      <c r="S20" s="775"/>
      <c r="T20" s="774"/>
      <c r="U20" s="775"/>
      <c r="V20" s="774"/>
      <c r="W20" s="775"/>
      <c r="X20" s="1813"/>
      <c r="Y20" s="3263"/>
      <c r="Z20" s="1814"/>
      <c r="AA20" s="1811"/>
      <c r="AB20" s="1811"/>
      <c r="AC20" s="1811"/>
    </row>
    <row r="21" spans="1:29" ht="71.25">
      <c r="A21" s="404"/>
      <c r="B21" s="631" t="s">
        <v>2795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3"/>
      <c r="Q21" s="1810" t="str">
        <f t="shared" si="8"/>
        <v>环境状况</v>
      </c>
      <c r="R21" s="774" t="s">
        <v>17</v>
      </c>
      <c r="S21" s="775">
        <f>F21</f>
        <v>100</v>
      </c>
      <c r="T21" s="774" t="s">
        <v>17</v>
      </c>
      <c r="U21" s="775">
        <f>H21</f>
        <v>100</v>
      </c>
      <c r="V21" s="774" t="s">
        <v>17</v>
      </c>
      <c r="W21" s="775">
        <f>J21</f>
        <v>100</v>
      </c>
      <c r="X21" s="1813"/>
      <c r="Y21" s="3263"/>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63"/>
      <c r="Q22" s="1810"/>
      <c r="R22" s="774"/>
      <c r="S22" s="775"/>
      <c r="T22" s="774"/>
      <c r="U22" s="775"/>
      <c r="V22" s="774"/>
      <c r="W22" s="775"/>
      <c r="X22" s="1813"/>
      <c r="Y22" s="3263"/>
      <c r="Z22" s="1814"/>
      <c r="AA22" s="1811">
        <v>1</v>
      </c>
      <c r="AB22" s="1811">
        <v>1</v>
      </c>
      <c r="AC22" s="1811">
        <v>1</v>
      </c>
    </row>
    <row r="23" spans="1:29" s="117" customFormat="1" ht="42.75">
      <c r="A23" s="649"/>
      <c r="B23" s="633" t="s">
        <v>2650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3"/>
      <c r="Q23" s="1795" t="str">
        <f t="shared" si="8"/>
        <v>公共配套设施</v>
      </c>
      <c r="R23" s="770" t="s">
        <v>17</v>
      </c>
      <c r="S23" s="771">
        <f>F23</f>
        <v>100</v>
      </c>
      <c r="T23" s="770" t="s">
        <v>17</v>
      </c>
      <c r="U23" s="771">
        <f>H23</f>
        <v>100</v>
      </c>
      <c r="V23" s="770" t="s">
        <v>17</v>
      </c>
      <c r="W23" s="771">
        <f>J23</f>
        <v>100</v>
      </c>
      <c r="X23" s="772"/>
      <c r="Y23" s="3263"/>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63"/>
      <c r="Q24" s="1795"/>
      <c r="R24" s="770"/>
      <c r="S24" s="771"/>
      <c r="T24" s="770"/>
      <c r="U24" s="771"/>
      <c r="V24" s="770"/>
      <c r="W24" s="771"/>
      <c r="X24" s="772"/>
      <c r="Y24" s="3263"/>
      <c r="Z24" s="55"/>
      <c r="AA24" s="773">
        <v>1</v>
      </c>
      <c r="AB24" s="773">
        <v>1</v>
      </c>
      <c r="AC24" s="773">
        <v>1</v>
      </c>
    </row>
    <row r="25" spans="1:29" s="117" customFormat="1" ht="28.5">
      <c r="A25" s="649"/>
      <c r="B25" s="633" t="s">
        <v>2651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3"/>
      <c r="Q25" s="1795" t="str">
        <f t="shared" ref="Q25" si="9">B25</f>
        <v>基础设施水平</v>
      </c>
      <c r="R25" s="770" t="s">
        <v>17</v>
      </c>
      <c r="S25" s="771">
        <f>F25</f>
        <v>100</v>
      </c>
      <c r="T25" s="770" t="s">
        <v>17</v>
      </c>
      <c r="U25" s="771">
        <f>H25</f>
        <v>100</v>
      </c>
      <c r="V25" s="770" t="s">
        <v>17</v>
      </c>
      <c r="W25" s="771">
        <f>J25</f>
        <v>100</v>
      </c>
      <c r="X25" s="772"/>
      <c r="Y25" s="3263"/>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63"/>
      <c r="Q26" s="1795"/>
      <c r="R26" s="770"/>
      <c r="S26" s="771"/>
      <c r="T26" s="770"/>
      <c r="U26" s="771"/>
      <c r="V26" s="770"/>
      <c r="W26" s="771"/>
      <c r="X26" s="772"/>
      <c r="Y26" s="326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63"/>
      <c r="Z27" s="1814" t="str">
        <f t="shared" ref="Z27:Z40" si="13">Q27</f>
        <v>临街状况</v>
      </c>
      <c r="AA27" s="1811">
        <f t="shared" si="3"/>
        <v>1</v>
      </c>
      <c r="AB27" s="1811">
        <f t="shared" si="4"/>
        <v>1</v>
      </c>
      <c r="AC27" s="1811">
        <f t="shared" si="5"/>
        <v>1</v>
      </c>
    </row>
    <row r="28" spans="1:29" ht="27">
      <c r="A28" s="428"/>
      <c r="B28" s="633" t="s">
        <v>2687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3"/>
      <c r="Q28" s="1810" t="str">
        <f t="shared" si="8"/>
        <v>毗邻道路的类型与等级</v>
      </c>
      <c r="R28" s="774" t="s">
        <v>17</v>
      </c>
      <c r="S28" s="775">
        <f t="shared" si="10"/>
        <v>100</v>
      </c>
      <c r="T28" s="774" t="s">
        <v>17</v>
      </c>
      <c r="U28" s="775">
        <f t="shared" si="11"/>
        <v>100</v>
      </c>
      <c r="V28" s="774" t="s">
        <v>17</v>
      </c>
      <c r="W28" s="775">
        <f t="shared" si="12"/>
        <v>100</v>
      </c>
      <c r="X28" s="1813"/>
      <c r="Y28" s="3263"/>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63"/>
      <c r="Q29" s="1810"/>
      <c r="R29" s="774"/>
      <c r="S29" s="775"/>
      <c r="T29" s="774"/>
      <c r="U29" s="775"/>
      <c r="V29" s="774"/>
      <c r="W29" s="775"/>
      <c r="X29" s="1813"/>
      <c r="Y29" s="3263"/>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3"/>
      <c r="Q30" s="1810" t="str">
        <f t="shared" si="8"/>
        <v>土地级别</v>
      </c>
      <c r="R30" s="774" t="s">
        <v>17</v>
      </c>
      <c r="S30" s="775">
        <f t="shared" si="10"/>
        <v>100</v>
      </c>
      <c r="T30" s="774" t="s">
        <v>17</v>
      </c>
      <c r="U30" s="775">
        <f t="shared" si="11"/>
        <v>100</v>
      </c>
      <c r="V30" s="774" t="s">
        <v>17</v>
      </c>
      <c r="W30" s="775">
        <f t="shared" si="12"/>
        <v>100</v>
      </c>
      <c r="X30" s="1813"/>
      <c r="Y30" s="3263"/>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3"/>
      <c r="Q31" s="1810">
        <f t="shared" si="8"/>
        <v>111</v>
      </c>
      <c r="R31" s="774" t="s">
        <v>17</v>
      </c>
      <c r="S31" s="775">
        <f t="shared" si="10"/>
        <v>100</v>
      </c>
      <c r="T31" s="774" t="s">
        <v>17</v>
      </c>
      <c r="U31" s="775">
        <f t="shared" si="11"/>
        <v>100</v>
      </c>
      <c r="V31" s="774" t="s">
        <v>17</v>
      </c>
      <c r="W31" s="775">
        <f t="shared" si="12"/>
        <v>100</v>
      </c>
      <c r="X31" s="1813"/>
      <c r="Y31" s="3263"/>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9" t="s">
        <v>2561</v>
      </c>
      <c r="Q32" s="1810">
        <f t="shared" si="8"/>
        <v>111</v>
      </c>
      <c r="R32" s="774" t="s">
        <v>17</v>
      </c>
      <c r="S32" s="775">
        <f t="shared" si="10"/>
        <v>100</v>
      </c>
      <c r="T32" s="774" t="s">
        <v>17</v>
      </c>
      <c r="U32" s="775">
        <f t="shared" si="11"/>
        <v>100</v>
      </c>
      <c r="V32" s="774" t="s">
        <v>17</v>
      </c>
      <c r="W32" s="775">
        <f t="shared" si="12"/>
        <v>100</v>
      </c>
      <c r="X32" s="1813"/>
      <c r="Y32" s="3267" t="s">
        <v>2561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7"/>
      <c r="Q33" s="1810">
        <f t="shared" si="8"/>
        <v>111</v>
      </c>
      <c r="R33" s="777" t="s">
        <v>17</v>
      </c>
      <c r="S33" s="778">
        <f t="shared" si="10"/>
        <v>100</v>
      </c>
      <c r="T33" s="777" t="s">
        <v>17</v>
      </c>
      <c r="U33" s="778">
        <f t="shared" si="11"/>
        <v>100</v>
      </c>
      <c r="V33" s="777" t="s">
        <v>17</v>
      </c>
      <c r="W33" s="778">
        <f t="shared" si="12"/>
        <v>100</v>
      </c>
      <c r="X33" s="779"/>
      <c r="Y33" s="3267"/>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7"/>
      <c r="Q34" s="1810" t="str">
        <f>B34</f>
        <v>宗地面积</v>
      </c>
      <c r="R34" s="774" t="s">
        <v>17</v>
      </c>
      <c r="S34" s="775" t="e">
        <f t="shared" si="10"/>
        <v>#N/A</v>
      </c>
      <c r="T34" s="774" t="s">
        <v>17</v>
      </c>
      <c r="U34" s="775" t="e">
        <f t="shared" si="11"/>
        <v>#N/A</v>
      </c>
      <c r="V34" s="774" t="s">
        <v>17</v>
      </c>
      <c r="W34" s="775" t="e">
        <f t="shared" si="12"/>
        <v>#N/A</v>
      </c>
      <c r="X34" s="1813"/>
      <c r="Y34" s="3267"/>
      <c r="Z34" s="1814" t="str">
        <f t="shared" si="13"/>
        <v>宗地面积</v>
      </c>
      <c r="AA34" s="1811" t="e">
        <f t="shared" si="3"/>
        <v>#N/A</v>
      </c>
      <c r="AB34" s="1811" t="e">
        <f t="shared" si="4"/>
        <v>#N/A</v>
      </c>
      <c r="AC34" s="1811" t="e">
        <f t="shared" si="5"/>
        <v>#N/A</v>
      </c>
    </row>
    <row r="35" spans="1:29" ht="15">
      <c r="A35" s="472"/>
      <c r="B35" s="422" t="s">
        <v>2748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67"/>
      <c r="Q35" s="1810" t="str">
        <f t="shared" ref="Q35:Q40" si="14">B35</f>
        <v>宗地形状</v>
      </c>
      <c r="R35" s="774" t="s">
        <v>17</v>
      </c>
      <c r="S35" s="775">
        <f t="shared" si="10"/>
        <v>100</v>
      </c>
      <c r="T35" s="774" t="s">
        <v>17</v>
      </c>
      <c r="U35" s="775">
        <f t="shared" si="11"/>
        <v>100</v>
      </c>
      <c r="V35" s="774" t="s">
        <v>17</v>
      </c>
      <c r="W35" s="775">
        <f t="shared" si="12"/>
        <v>100</v>
      </c>
      <c r="X35" s="1813"/>
      <c r="Y35" s="3267"/>
      <c r="Z35" s="1814" t="str">
        <f t="shared" si="13"/>
        <v>宗地形状</v>
      </c>
      <c r="AA35" s="1811">
        <f t="shared" si="3"/>
        <v>1</v>
      </c>
      <c r="AB35" s="1811">
        <f t="shared" si="4"/>
        <v>1</v>
      </c>
      <c r="AC35" s="1811">
        <f t="shared" si="5"/>
        <v>1</v>
      </c>
    </row>
    <row r="36" spans="1:29" s="117" customFormat="1" ht="15">
      <c r="A36" s="473"/>
      <c r="B36" s="422" t="s">
        <v>2750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67"/>
      <c r="Q36" s="1810" t="str">
        <f t="shared" si="14"/>
        <v>宗地开发程度</v>
      </c>
      <c r="R36" s="770" t="s">
        <v>17</v>
      </c>
      <c r="S36" s="771">
        <f t="shared" si="10"/>
        <v>100</v>
      </c>
      <c r="T36" s="770" t="s">
        <v>17</v>
      </c>
      <c r="U36" s="771">
        <f t="shared" si="11"/>
        <v>100</v>
      </c>
      <c r="V36" s="770" t="s">
        <v>17</v>
      </c>
      <c r="W36" s="771">
        <f t="shared" si="12"/>
        <v>100</v>
      </c>
      <c r="X36" s="772"/>
      <c r="Y36" s="3267"/>
      <c r="Z36" s="55" t="str">
        <f t="shared" si="13"/>
        <v>宗地开发程度</v>
      </c>
      <c r="AA36" s="773">
        <f t="shared" si="3"/>
        <v>1</v>
      </c>
      <c r="AB36" s="773">
        <f t="shared" si="4"/>
        <v>1</v>
      </c>
      <c r="AC36" s="773">
        <f t="shared" si="5"/>
        <v>1</v>
      </c>
    </row>
    <row r="37" spans="1:29" ht="15">
      <c r="A37" s="472"/>
      <c r="B37" s="422" t="s">
        <v>2751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67" t="s">
        <v>2561</v>
      </c>
      <c r="Q37" s="1810" t="str">
        <f t="shared" si="14"/>
        <v>工程地质条件</v>
      </c>
      <c r="R37" s="774" t="s">
        <v>17</v>
      </c>
      <c r="S37" s="775">
        <f t="shared" si="10"/>
        <v>100</v>
      </c>
      <c r="T37" s="774" t="s">
        <v>17</v>
      </c>
      <c r="U37" s="775">
        <f t="shared" si="11"/>
        <v>100</v>
      </c>
      <c r="V37" s="774" t="s">
        <v>17</v>
      </c>
      <c r="W37" s="775">
        <f t="shared" si="12"/>
        <v>100</v>
      </c>
      <c r="X37" s="1813"/>
      <c r="Y37" s="3267"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7"/>
      <c r="Q38" s="1810">
        <f t="shared" si="14"/>
        <v>111</v>
      </c>
      <c r="R38" s="774" t="s">
        <v>17</v>
      </c>
      <c r="S38" s="775">
        <f t="shared" si="10"/>
        <v>100</v>
      </c>
      <c r="T38" s="774" t="s">
        <v>17</v>
      </c>
      <c r="U38" s="775">
        <f t="shared" si="11"/>
        <v>100</v>
      </c>
      <c r="V38" s="774" t="s">
        <v>17</v>
      </c>
      <c r="W38" s="775">
        <f t="shared" si="12"/>
        <v>100</v>
      </c>
      <c r="X38" s="1813"/>
      <c r="Y38" s="326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7"/>
      <c r="Q39" s="1810">
        <f t="shared" si="14"/>
        <v>111</v>
      </c>
      <c r="R39" s="774" t="s">
        <v>17</v>
      </c>
      <c r="S39" s="775">
        <f t="shared" si="10"/>
        <v>100</v>
      </c>
      <c r="T39" s="774" t="s">
        <v>17</v>
      </c>
      <c r="U39" s="775">
        <f t="shared" si="11"/>
        <v>100</v>
      </c>
      <c r="V39" s="774" t="s">
        <v>17</v>
      </c>
      <c r="W39" s="775">
        <f t="shared" si="12"/>
        <v>100</v>
      </c>
      <c r="X39" s="1813"/>
      <c r="Y39" s="3267"/>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7"/>
      <c r="Q40" s="1810">
        <f t="shared" si="14"/>
        <v>111</v>
      </c>
      <c r="R40" s="777" t="s">
        <v>17</v>
      </c>
      <c r="S40" s="778">
        <f t="shared" si="10"/>
        <v>100</v>
      </c>
      <c r="T40" s="777" t="s">
        <v>17</v>
      </c>
      <c r="U40" s="778">
        <f t="shared" si="11"/>
        <v>100</v>
      </c>
      <c r="V40" s="777" t="s">
        <v>17</v>
      </c>
      <c r="W40" s="778">
        <f t="shared" si="12"/>
        <v>100</v>
      </c>
      <c r="X40" s="779"/>
      <c r="Y40" s="3267"/>
      <c r="Z40" s="780">
        <f t="shared" si="13"/>
        <v>111</v>
      </c>
      <c r="AA40" s="1811">
        <f t="shared" si="3"/>
        <v>1</v>
      </c>
      <c r="AB40" s="1811">
        <f t="shared" si="4"/>
        <v>1</v>
      </c>
      <c r="AC40" s="1811">
        <f t="shared" si="5"/>
        <v>1</v>
      </c>
    </row>
    <row r="41" spans="1:29" ht="15">
      <c r="A41" s="479" t="s">
        <v>2716</v>
      </c>
      <c r="B41" s="2704" t="s">
        <v>2796</v>
      </c>
      <c r="C41" s="682" t="s">
        <v>1</v>
      </c>
      <c r="D41" s="481"/>
      <c r="E41" s="482"/>
      <c r="F41" s="483"/>
      <c r="G41" s="484"/>
      <c r="H41" s="485"/>
      <c r="I41" s="482"/>
      <c r="J41" s="485"/>
      <c r="K41" s="783"/>
      <c r="L41" s="1143"/>
      <c r="M41" s="1131"/>
      <c r="N41" s="1131"/>
      <c r="O41" s="1144"/>
      <c r="P41" s="3260" t="str">
        <f>A41</f>
        <v>成交单价</v>
      </c>
      <c r="Q41" s="3260"/>
      <c r="R41" s="3255">
        <f>E41</f>
        <v>0</v>
      </c>
      <c r="S41" s="3255"/>
      <c r="T41" s="3255">
        <f>G41</f>
        <v>0</v>
      </c>
      <c r="U41" s="3255"/>
      <c r="V41" s="3255">
        <f>I41</f>
        <v>0</v>
      </c>
      <c r="W41" s="3255"/>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60" t="str">
        <f>A42</f>
        <v>比较价值（元/平方米）</v>
      </c>
      <c r="Q42" s="3260"/>
      <c r="R42" s="3290" t="e">
        <f>ROUND(PRODUCT(R41,AA7:AA40),0)</f>
        <v>#DIV/0!</v>
      </c>
      <c r="S42" s="3290"/>
      <c r="T42" s="3290" t="e">
        <f>ROUND(PRODUCT(T41,AB7:AB40),0)</f>
        <v>#DIV/0!</v>
      </c>
      <c r="U42" s="3290"/>
      <c r="V42" s="3290" t="e">
        <f>ROUND(PRODUCT(V41,AC7:AC40),0)</f>
        <v>#DIV/0!</v>
      </c>
      <c r="W42" s="3290"/>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57" t="str">
        <f>A43</f>
        <v>估价对象XX用房的比较价值（楼面单价，元/平方米）</v>
      </c>
      <c r="Q43" s="3258"/>
      <c r="R43" s="3291" t="e">
        <f>ROUND(AVERAGE(R42:V42),0)</f>
        <v>#DIV/0!</v>
      </c>
      <c r="S43" s="3291"/>
      <c r="T43" s="3291"/>
      <c r="U43" s="3291"/>
      <c r="V43" s="3291"/>
      <c r="W43" s="329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5" t="s">
        <v>2756</v>
      </c>
      <c r="D50" s="2706" t="s">
        <v>2757</v>
      </c>
      <c r="E50" s="686" t="s">
        <v>2758</v>
      </c>
      <c r="F50" s="687" t="s">
        <v>2759</v>
      </c>
      <c r="G50" s="3243" t="s">
        <v>2760</v>
      </c>
      <c r="H50" s="3292"/>
      <c r="I50" s="1814" t="s">
        <v>2797</v>
      </c>
      <c r="J50" s="1814">
        <f>项目基本情况!F35</f>
        <v>0</v>
      </c>
      <c r="K50" s="2708" t="s">
        <v>2762</v>
      </c>
      <c r="L50" s="1106"/>
      <c r="M50" s="1144"/>
      <c r="N50" s="1144"/>
      <c r="O50" s="1144"/>
    </row>
    <row r="51" spans="1:17" s="692" customFormat="1">
      <c r="A51" s="688" t="s">
        <v>2763</v>
      </c>
      <c r="B51" s="689" t="e">
        <f>C43</f>
        <v>#DIV/0!</v>
      </c>
      <c r="C51" s="690">
        <v>1</v>
      </c>
      <c r="D51" s="1163">
        <v>1</v>
      </c>
      <c r="E51" s="690">
        <f>'数据-汇总表'!E8+'数据-汇总表'!E9</f>
        <v>1340.42</v>
      </c>
      <c r="F51" s="691" t="e">
        <f t="shared" ref="F51:F60" si="15">ROUND(B51*E51/10000,0)</f>
        <v>#DIV/0!</v>
      </c>
      <c r="G51" s="3242"/>
      <c r="H51" s="3260"/>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93"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93"/>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93"/>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93"/>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9"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9"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0"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4009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1"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2800</v>
      </c>
      <c r="B1" s="241"/>
      <c r="C1" s="245" t="s">
        <v>2801</v>
      </c>
      <c r="D1" s="388">
        <f>SUM(D29:D30,D33:D39)</f>
        <v>0</v>
      </c>
      <c r="E1" s="2717"/>
      <c r="F1" s="2717"/>
      <c r="G1" s="2717"/>
      <c r="H1" s="2717"/>
      <c r="I1" s="2717"/>
      <c r="J1" s="2717"/>
      <c r="K1" s="1370"/>
      <c r="L1" s="2718" t="s">
        <v>2802</v>
      </c>
      <c r="M1" s="1080">
        <f>SUMPRODUCT((区片价!B5:B9=I2)*(区片价!C3:F3=E2)*(区片价!C5:F9))</f>
        <v>0</v>
      </c>
      <c r="N1" s="1083">
        <f>SUMPRODUCT((因素修正幅度!B5:B9=I2)*(因素修正幅度!C3:F3=E2)*(因素修正幅度!C5:F9))</f>
        <v>0</v>
      </c>
      <c r="O1" s="2719"/>
      <c r="P1" s="2719"/>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1" t="s">
        <v>2809</v>
      </c>
      <c r="D2" s="2722" t="s">
        <v>2810</v>
      </c>
      <c r="E2" s="2723"/>
      <c r="F2" s="2722" t="s">
        <v>2811</v>
      </c>
      <c r="G2" s="2724">
        <f>IF(E2="商业",项目基本情况!B37,IF(E2="办公",项目基本情况!C37,IF(E2="住宅",项目基本情况!D37,项目基本情况!E37)))</f>
        <v>0</v>
      </c>
      <c r="H2" s="2722" t="s">
        <v>2812</v>
      </c>
      <c r="I2" s="2724">
        <f>IF(E2="商业",项目基本情况!B38,IF(E2="办公",项目基本情况!C38,IF(E2="住宅",项目基本情况!D38,项目基本情况!E38)))</f>
        <v>0</v>
      </c>
      <c r="J2" s="2725"/>
      <c r="K2" s="1370"/>
      <c r="L2" s="2726"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1" t="s">
        <v>2815</v>
      </c>
      <c r="D3" s="2722" t="s">
        <v>2816</v>
      </c>
      <c r="E3" s="2727"/>
      <c r="F3" s="2728" t="s">
        <v>2817</v>
      </c>
      <c r="G3" s="916">
        <f>IF(F3="宗地容积率",'数据-汇总表'!I4,IF(F3="估价对象容积率",'数据-汇总表'!I6,'数据-汇总表'!I7))</f>
        <v>0.33</v>
      </c>
      <c r="H3" s="198" t="s">
        <v>2818</v>
      </c>
      <c r="I3" s="944"/>
      <c r="J3" s="2725" t="s">
        <v>2819</v>
      </c>
      <c r="K3" s="1370"/>
      <c r="L3" s="2726"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4"/>
      <c r="B4" s="3315"/>
      <c r="C4" s="3315"/>
      <c r="D4" s="3316"/>
      <c r="E4" s="3316"/>
      <c r="F4" s="3316"/>
      <c r="G4" s="3316"/>
      <c r="H4" s="3316"/>
      <c r="I4" s="3316"/>
      <c r="J4" s="3317"/>
      <c r="K4" s="1370"/>
      <c r="L4" s="2726"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2822</v>
      </c>
      <c r="C5" s="917" t="e">
        <f>ROUND(IF(E2="商业",C6*C7+C16,(IF(E2="住宅",C6*C12+C16,C6+C16))),0)</f>
        <v>#DIV/0!</v>
      </c>
      <c r="D5" s="1787" t="e">
        <f>ROUND(C6+C16,0)</f>
        <v>#DIV/0!</v>
      </c>
      <c r="E5" s="1787"/>
      <c r="F5" s="2731"/>
      <c r="G5" s="2732"/>
      <c r="H5" s="2732"/>
      <c r="I5" s="2732"/>
      <c r="J5" s="2733"/>
      <c r="K5" s="2734"/>
      <c r="L5" s="2726"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2824</v>
      </c>
      <c r="B6" s="2740" t="s">
        <v>2825</v>
      </c>
      <c r="C6" s="918">
        <f>SUMIF(L1:L12,G2,M1:M12)</f>
        <v>0</v>
      </c>
      <c r="D6" s="2741" t="s">
        <v>2826</v>
      </c>
      <c r="E6" s="2742"/>
      <c r="F6" s="2742"/>
      <c r="G6" s="2743"/>
      <c r="H6" s="2743"/>
      <c r="I6" s="2743"/>
      <c r="J6" s="2744"/>
      <c r="K6" s="1842"/>
      <c r="L6" s="2726"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98" t="str">
        <f>IF(E2="商业",IF(C8="不临58条商业街","",2),"")</f>
        <v/>
      </c>
      <c r="B7" s="2745" t="s">
        <v>2828</v>
      </c>
      <c r="C7" s="919" t="e">
        <f>IF(C8="不临58条商业街",1,ROUND(1+(1.6*E8+1.2*E9+0.8*E10+0.4*E11)*C9,4))</f>
        <v>#DIV/0!</v>
      </c>
      <c r="D7" s="2746" t="s">
        <v>2829</v>
      </c>
      <c r="E7" s="945"/>
      <c r="F7" s="2747"/>
      <c r="G7" s="2748"/>
      <c r="H7" s="2748"/>
      <c r="I7" s="2748"/>
      <c r="J7" s="2749"/>
      <c r="K7" s="1842"/>
      <c r="L7" s="2726"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2831</v>
      </c>
      <c r="X7" s="1604">
        <f>G2</f>
        <v>0</v>
      </c>
      <c r="Y7" s="1604" t="s">
        <v>2832</v>
      </c>
      <c r="Z7" s="1605">
        <f>G3</f>
        <v>0.33</v>
      </c>
      <c r="AA7" s="1606"/>
      <c r="AB7" s="1606"/>
      <c r="AC7" s="1607"/>
      <c r="AD7" s="1608"/>
      <c r="AE7" s="1608"/>
      <c r="AF7" s="1608"/>
      <c r="AG7" s="1608"/>
      <c r="AH7" s="1608"/>
      <c r="AI7" s="1608"/>
      <c r="AJ7" s="1609"/>
    </row>
    <row r="8" spans="1:36" ht="15">
      <c r="A8" s="3318"/>
      <c r="B8" s="198" t="s">
        <v>2833</v>
      </c>
      <c r="C8" s="2750"/>
      <c r="D8" s="920" t="s">
        <v>139</v>
      </c>
      <c r="E8" s="921" t="e">
        <f>ROUND(C11/E7,4)</f>
        <v>#DIV/0!</v>
      </c>
      <c r="F8" s="2751" t="s">
        <v>2834</v>
      </c>
      <c r="G8" s="2752"/>
      <c r="H8" s="2752"/>
      <c r="I8" s="2752"/>
      <c r="J8" s="2753"/>
      <c r="K8" s="1370"/>
      <c r="L8" s="2726"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1" t="s">
        <v>2836</v>
      </c>
      <c r="X8" s="3312"/>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318"/>
      <c r="B9" s="198" t="s">
        <v>2849</v>
      </c>
      <c r="C9" s="922">
        <f>SUMIF(修正!C59:C119,C8,修正!E59:E119)</f>
        <v>0</v>
      </c>
      <c r="D9" s="200" t="s">
        <v>140</v>
      </c>
      <c r="E9" s="200" t="e">
        <f>ROUND(C11/E7,4)</f>
        <v>#DIV/0!</v>
      </c>
      <c r="F9" s="2751" t="s">
        <v>2850</v>
      </c>
      <c r="G9" s="2752"/>
      <c r="H9" s="2752"/>
      <c r="I9" s="2752"/>
      <c r="J9" s="2753"/>
      <c r="K9" s="1370"/>
      <c r="L9" s="2726"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3"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8"/>
      <c r="B10" s="198" t="s">
        <v>2854</v>
      </c>
      <c r="C10" s="200">
        <f>SUMIF(修正!C59:C119,C8,修正!F59:F119)</f>
        <v>0</v>
      </c>
      <c r="D10" s="200" t="s">
        <v>141</v>
      </c>
      <c r="E10" s="200" t="e">
        <f>ROUND(C11/E7,4)</f>
        <v>#DIV/0!</v>
      </c>
      <c r="F10" s="2751" t="s">
        <v>2855</v>
      </c>
      <c r="G10" s="2752"/>
      <c r="H10" s="2752"/>
      <c r="I10" s="2752"/>
      <c r="J10" s="2753"/>
      <c r="K10" s="1370"/>
      <c r="L10" s="2726"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8"/>
      <c r="B11" s="2754" t="s">
        <v>2857</v>
      </c>
      <c r="C11" s="923">
        <f>C10/4</f>
        <v>0</v>
      </c>
      <c r="D11" s="923" t="s">
        <v>142</v>
      </c>
      <c r="E11" s="923" t="e">
        <f>ROUND(C11/E7,4)</f>
        <v>#DIV/0!</v>
      </c>
      <c r="F11" s="2755" t="s">
        <v>2858</v>
      </c>
      <c r="G11" s="2756"/>
      <c r="H11" s="2756"/>
      <c r="I11" s="2756"/>
      <c r="J11" s="2757"/>
      <c r="K11" s="1370"/>
      <c r="L11" s="2726"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3" t="s">
        <v>2860</v>
      </c>
      <c r="X11" s="1614" t="s">
        <v>2861</v>
      </c>
      <c r="Y11" s="1615">
        <f>$G$3</f>
        <v>0.33</v>
      </c>
      <c r="Z11" s="1615">
        <f t="shared" ref="Z11:AJ11" si="3">$G$3</f>
        <v>0.33</v>
      </c>
      <c r="AA11" s="1615">
        <f t="shared" si="3"/>
        <v>0.33</v>
      </c>
      <c r="AB11" s="1615">
        <f t="shared" si="3"/>
        <v>0.33</v>
      </c>
      <c r="AC11" s="1615">
        <f t="shared" si="3"/>
        <v>0.33</v>
      </c>
      <c r="AD11" s="1615">
        <f t="shared" si="3"/>
        <v>0.33</v>
      </c>
      <c r="AE11" s="1615">
        <f t="shared" si="3"/>
        <v>0.33</v>
      </c>
      <c r="AF11" s="1615">
        <f t="shared" si="3"/>
        <v>0.33</v>
      </c>
      <c r="AG11" s="1615">
        <f t="shared" si="3"/>
        <v>0.33</v>
      </c>
      <c r="AH11" s="1615">
        <f t="shared" si="3"/>
        <v>0.33</v>
      </c>
      <c r="AI11" s="1615">
        <f t="shared" si="3"/>
        <v>0.33</v>
      </c>
      <c r="AJ11" s="1615">
        <f t="shared" si="3"/>
        <v>0.33</v>
      </c>
    </row>
    <row r="12" spans="1:36" ht="25.5" thickBot="1">
      <c r="A12" s="3298" t="s">
        <v>2862</v>
      </c>
      <c r="B12" s="2758" t="s">
        <v>2863</v>
      </c>
      <c r="C12" s="919">
        <f>ROUND(C15*D15*E15*F15*G15*H15*I15*J15,4)</f>
        <v>1</v>
      </c>
      <c r="D12" s="2759" t="s">
        <v>2864</v>
      </c>
      <c r="E12" s="2760"/>
      <c r="F12" s="2760"/>
      <c r="G12" s="2761"/>
      <c r="H12" s="2761"/>
      <c r="I12" s="2761"/>
      <c r="J12" s="2762"/>
      <c r="K12" s="1370"/>
      <c r="L12" s="2763"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3"/>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9"/>
      <c r="B13" s="2764" t="s">
        <v>2867</v>
      </c>
      <c r="C13" s="2765" t="s">
        <v>2868</v>
      </c>
      <c r="D13" s="1808" t="s">
        <v>2869</v>
      </c>
      <c r="E13" s="1808" t="s">
        <v>2870</v>
      </c>
      <c r="F13" s="30" t="s">
        <v>2871</v>
      </c>
      <c r="G13" s="2766" t="s">
        <v>2872</v>
      </c>
      <c r="H13" s="2766" t="s">
        <v>2872</v>
      </c>
      <c r="I13" s="2766" t="s">
        <v>2872</v>
      </c>
      <c r="J13" s="2767" t="s">
        <v>2872</v>
      </c>
      <c r="K13" s="1370"/>
      <c r="L13" s="1370"/>
      <c r="M13" s="1370"/>
      <c r="N13" s="1370"/>
      <c r="O13" s="1370"/>
      <c r="P13" s="1370"/>
      <c r="Q13" s="1370"/>
      <c r="R13" s="1602">
        <v>12</v>
      </c>
      <c r="S13" s="1603"/>
      <c r="T13" s="1602" t="e">
        <f t="shared" si="0"/>
        <v>#DIV/0!</v>
      </c>
      <c r="U13" s="1603"/>
      <c r="V13" s="1602" t="e">
        <f t="shared" si="1"/>
        <v>#DIV/0!</v>
      </c>
      <c r="W13" s="3313"/>
      <c r="X13" s="1616"/>
      <c r="Y13" s="1613">
        <f>(-0.163*(Y12^2)-0.59*Y12+7617)*(10^(-4))/Y11</f>
        <v>2.3081818181818181</v>
      </c>
      <c r="Z13" s="1613">
        <f t="shared" ref="Z13:AJ13" si="5">(-0.163*(Z12^2)-0.59*Z12+7617)*(10^(-4))/Z11</f>
        <v>2.3081818181818181</v>
      </c>
      <c r="AA13" s="1613">
        <f t="shared" si="5"/>
        <v>2.3081818181818181</v>
      </c>
      <c r="AB13" s="1613">
        <f t="shared" si="5"/>
        <v>2.3081818181818181</v>
      </c>
      <c r="AC13" s="1613">
        <f t="shared" si="5"/>
        <v>2.3081818181818181</v>
      </c>
      <c r="AD13" s="1613">
        <f t="shared" si="5"/>
        <v>2.3081818181818181</v>
      </c>
      <c r="AE13" s="1613">
        <f t="shared" si="5"/>
        <v>2.3081818181818181</v>
      </c>
      <c r="AF13" s="1613">
        <f t="shared" si="5"/>
        <v>2.3081818181818181</v>
      </c>
      <c r="AG13" s="1613">
        <f t="shared" si="5"/>
        <v>2.3081818181818181</v>
      </c>
      <c r="AH13" s="1613">
        <f t="shared" si="5"/>
        <v>2.3081818181818181</v>
      </c>
      <c r="AI13" s="1613">
        <f t="shared" si="5"/>
        <v>2.3081818181818181</v>
      </c>
      <c r="AJ13" s="1613">
        <f t="shared" si="5"/>
        <v>2.3081818181818181</v>
      </c>
    </row>
    <row r="14" spans="1:36" ht="15">
      <c r="A14" s="3319"/>
      <c r="B14" s="2768"/>
      <c r="C14" s="2769"/>
      <c r="D14" s="2770"/>
      <c r="E14" s="2770"/>
      <c r="F14" s="2771"/>
      <c r="G14" s="2772" t="s">
        <v>2873</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0"/>
      <c r="B15" s="2776"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98" t="s">
        <v>2879</v>
      </c>
      <c r="B16" s="2745" t="s">
        <v>2880</v>
      </c>
      <c r="C16" s="2932" t="e">
        <f>ROUND(IF(F17="与级别开发程度一致",0,(G17-E17)/C17),0)</f>
        <v>#DIV/0!</v>
      </c>
      <c r="D16" s="3309" t="s">
        <v>2884</v>
      </c>
      <c r="E16" s="3310"/>
      <c r="F16" s="3309" t="s">
        <v>2881</v>
      </c>
      <c r="G16" s="3310"/>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9"/>
      <c r="B17" s="2943" t="s">
        <v>2883</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2886</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2887</v>
      </c>
      <c r="C19" s="924" t="e">
        <f>ROUND(IF(H19="按公示增长率计算",SUMPRODUCT((地价!A3:A27=YEAR(G19)&amp;"-"&amp;ROUNDUP(MONTH(G19)/3,0))*(地价!X2:AB2=E2)*(地价!X3:AB27)),IF(H19="地价指数",M20/M19,(1+I19)^O19)),4)</f>
        <v>#VALUE!</v>
      </c>
      <c r="D19" s="2789" t="s">
        <v>2888</v>
      </c>
      <c r="E19" s="925">
        <v>41640</v>
      </c>
      <c r="F19" s="2789" t="s">
        <v>2889</v>
      </c>
      <c r="G19" s="926">
        <f>'数据-取费表'!B2</f>
        <v>43734</v>
      </c>
      <c r="H19" s="2790"/>
      <c r="I19" s="927" t="str">
        <f>IF(H19="季度增幅（自定义）",SUMIF(N21:N24,E2,O21:O24),"")</f>
        <v/>
      </c>
      <c r="J19" s="2787"/>
      <c r="K19" s="1377"/>
      <c r="L19" s="2791" t="s">
        <v>2890</v>
      </c>
      <c r="M19" s="1734">
        <f>ROUND(SUMIF(地价!B2:F2,E2,地价!B27:F27),0)</f>
        <v>0</v>
      </c>
      <c r="N19" s="2792"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2892</v>
      </c>
      <c r="C20" s="929" t="e">
        <f>ROUND(POWER(1+G20,J20-I20)*(POWER(1+G20,I20)-1)/(POWER(1+G20,J20)-1),4)</f>
        <v>#DIV/0!</v>
      </c>
      <c r="D20" s="2798" t="s">
        <v>2893</v>
      </c>
      <c r="E20" s="1768">
        <f ca="1">存贷款利率!D4/100</f>
        <v>4.3499999999999997E-2</v>
      </c>
      <c r="F20" s="2798" t="s">
        <v>2885</v>
      </c>
      <c r="G20" s="934">
        <f>SUMIF(M26:P26,E2,M28:P28)</f>
        <v>0</v>
      </c>
      <c r="H20" s="2798" t="s">
        <v>2894</v>
      </c>
      <c r="I20" s="935" t="e">
        <f>SUMIF('数据-取费表'!C6:C15,E2,'数据-取费表'!F6:F15)/COUNTIF('数据-取费表'!C6:C15,E2)</f>
        <v>#DIV/0!</v>
      </c>
      <c r="J20" s="936">
        <f>IF(E2="住宅",70,IF(E2="商业",40,50))</f>
        <v>50</v>
      </c>
      <c r="K20" s="1377"/>
      <c r="L20" s="2799" t="s">
        <v>2895</v>
      </c>
      <c r="M20" s="1735">
        <f>ROUND(SUMPRODUCT((地价!A4:A27=YEAR(G19)&amp;"-"&amp;ROUNDUP(MONTH(G19)/3,0))*(地价!B2:F2=E2)*(地价!B4:F27)),0)</f>
        <v>0</v>
      </c>
      <c r="N20" s="2800" t="s">
        <v>2896</v>
      </c>
      <c r="O20" s="2801" t="s">
        <v>2897</v>
      </c>
      <c r="P20" s="2802" t="s">
        <v>2898</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2899</v>
      </c>
      <c r="C21" s="937">
        <f>IF(B21="容积率修正",IF(G3&lt;=10,D22,J22),C23)</f>
        <v>0</v>
      </c>
      <c r="D21" s="2805"/>
      <c r="E21" s="2805"/>
      <c r="F21" s="2805"/>
      <c r="G21" s="2805"/>
      <c r="H21" s="2805"/>
      <c r="I21" s="2805"/>
      <c r="J21" s="2806"/>
      <c r="K21" s="1377"/>
      <c r="N21" s="2807"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2901</v>
      </c>
      <c r="B22" s="2808" t="s">
        <v>2902</v>
      </c>
      <c r="C22" s="1810" t="s">
        <v>2903</v>
      </c>
      <c r="D22" s="1810">
        <f>IF(E22=G22,F22,IF(G3&lt;=10,ROUND(F22+(H22-F22)*(G3-E22)/(G22-E22),4),"——"))</f>
        <v>0</v>
      </c>
      <c r="E22" s="916">
        <f>ROUNDDOWN(G3,1)</f>
        <v>0.3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2905</v>
      </c>
      <c r="B23" s="2809" t="s">
        <v>2906</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2908</v>
      </c>
      <c r="C24" s="924">
        <f>SUMIF(A45:A88,E2,B45:B88)</f>
        <v>0</v>
      </c>
      <c r="D24" s="2786"/>
      <c r="E24" s="2815"/>
      <c r="F24" s="2815"/>
      <c r="G24" s="2815"/>
      <c r="H24" s="2815"/>
      <c r="I24" s="2815"/>
      <c r="J24" s="2816"/>
      <c r="K24" s="1377"/>
      <c r="N24" s="2817"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2910</v>
      </c>
      <c r="C25" s="930"/>
      <c r="D25" s="2748"/>
      <c r="E25" s="2748"/>
      <c r="F25" s="2819"/>
      <c r="G25" s="2748"/>
      <c r="H25" s="2748"/>
      <c r="I25" s="2748"/>
      <c r="J25" s="2749"/>
      <c r="K25" s="1370"/>
      <c r="N25" s="2820"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2912</v>
      </c>
      <c r="C26" s="206" t="e">
        <f>E29+SUM(E33:E39)</f>
        <v>#DIV/0!</v>
      </c>
      <c r="D26" s="2822"/>
      <c r="E26" s="2773"/>
      <c r="F26" s="2823"/>
      <c r="G26" s="2773"/>
      <c r="H26" s="2773"/>
      <c r="I26" s="2773"/>
      <c r="J26" s="2824"/>
      <c r="K26" s="1370"/>
      <c r="L26" s="2777" t="s">
        <v>2810</v>
      </c>
      <c r="M26" s="920" t="s">
        <v>2875</v>
      </c>
      <c r="N26" s="920" t="s">
        <v>2876</v>
      </c>
      <c r="O26" s="920" t="s">
        <v>2877</v>
      </c>
      <c r="P26" s="2778" t="s">
        <v>2878</v>
      </c>
      <c r="R26" s="1376"/>
      <c r="S26" s="1376"/>
      <c r="T26" s="1371"/>
      <c r="U26" s="1371"/>
      <c r="V26" s="1371"/>
      <c r="W26" s="1370"/>
      <c r="X26" s="1370"/>
      <c r="Y26" s="1370"/>
      <c r="Z26" s="1377"/>
      <c r="AA26" s="1378"/>
      <c r="AB26" s="1378"/>
      <c r="AC26" s="1378"/>
      <c r="AD26" s="1378"/>
    </row>
    <row r="27" spans="1:37" ht="15.75" thickBot="1">
      <c r="A27" s="2821"/>
      <c r="B27" s="2825" t="s">
        <v>2913</v>
      </c>
      <c r="C27" s="931" t="e">
        <f>E30+SUM(I33:I39)</f>
        <v>#DIV/0!</v>
      </c>
      <c r="D27" s="2826"/>
      <c r="E27" s="2827"/>
      <c r="F27" s="2828"/>
      <c r="G27" s="2827"/>
      <c r="H27" s="2827"/>
      <c r="I27" s="2827"/>
      <c r="J27" s="2829"/>
      <c r="K27" s="1370"/>
      <c r="L27" s="2781"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2914</v>
      </c>
      <c r="C28" s="2832" t="s">
        <v>2915</v>
      </c>
      <c r="D28" s="2832" t="s">
        <v>2916</v>
      </c>
      <c r="E28" s="2833" t="s">
        <v>2917</v>
      </c>
      <c r="F28" s="2834"/>
      <c r="G28" s="2761"/>
      <c r="H28" s="2761"/>
      <c r="I28" s="2761"/>
      <c r="J28" s="2762"/>
      <c r="K28" s="1370"/>
      <c r="L28" s="2782"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2918</v>
      </c>
      <c r="C29" s="206" t="e">
        <f>ROUND(C5*C18*C19*C20*C21*C24,0)</f>
        <v>#DIV/0!</v>
      </c>
      <c r="D29" s="2837"/>
      <c r="E29" s="942" t="e">
        <f>ROUND(C29*D29/10000,0)</f>
        <v>#DIV/0!</v>
      </c>
      <c r="F29" s="2838" t="s">
        <v>2919</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2920</v>
      </c>
      <c r="C30" s="229" t="e">
        <f>ROUND(IF(E2="工业",C29*M39,C29*M38),0)</f>
        <v>#DIV/0!</v>
      </c>
      <c r="D30" s="2843"/>
      <c r="E30" s="942" t="e">
        <f>ROUND(C30*D30/10000,0)</f>
        <v>#DIV/0!</v>
      </c>
      <c r="F30" s="2844" t="s">
        <v>2921</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2922</v>
      </c>
      <c r="C31" s="2849" t="s">
        <v>2923</v>
      </c>
      <c r="D31" s="2761"/>
      <c r="E31" s="2849"/>
      <c r="F31" s="2849"/>
      <c r="G31" s="2759" t="s">
        <v>2924</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2915</v>
      </c>
      <c r="D32" s="498" t="s">
        <v>2916</v>
      </c>
      <c r="E32" s="498" t="s">
        <v>2917</v>
      </c>
      <c r="F32" s="388" t="s">
        <v>2925</v>
      </c>
      <c r="G32" s="2852" t="s">
        <v>2915</v>
      </c>
      <c r="H32" s="2852" t="s">
        <v>2916</v>
      </c>
      <c r="I32" s="2852"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06" t="s">
        <v>2926</v>
      </c>
      <c r="B33" s="2853" t="s">
        <v>2927</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7"/>
      <c r="B34" s="2765" t="s">
        <v>2928</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7"/>
      <c r="B35" s="2765" t="s">
        <v>2929</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08"/>
      <c r="B36" s="2765" t="s">
        <v>2930</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2931</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2932</v>
      </c>
      <c r="M37" s="2857"/>
      <c r="N37" s="1370"/>
      <c r="O37" s="1370"/>
      <c r="P37" s="1370"/>
      <c r="Q37" s="1370"/>
      <c r="R37" s="1370"/>
      <c r="S37" s="1370"/>
      <c r="T37" s="1370"/>
      <c r="U37" s="1370"/>
      <c r="V37" s="1370"/>
      <c r="W37" s="1370"/>
      <c r="X37" s="1370"/>
      <c r="Y37" s="1370"/>
      <c r="Z37" s="1371"/>
    </row>
    <row r="38" spans="1:37">
      <c r="A38" s="2855"/>
      <c r="B38" s="2765" t="s">
        <v>2933</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2934</v>
      </c>
      <c r="M38" s="2858">
        <v>0.25</v>
      </c>
      <c r="N38" s="1370"/>
      <c r="O38" s="1370"/>
      <c r="P38" s="1370"/>
      <c r="Q38" s="1370"/>
      <c r="R38" s="1370"/>
      <c r="S38" s="1370"/>
      <c r="T38" s="1370"/>
      <c r="U38" s="1370"/>
      <c r="V38" s="1370"/>
      <c r="W38" s="1370"/>
      <c r="X38" s="1370"/>
      <c r="Y38" s="1370"/>
      <c r="Z38" s="1371"/>
    </row>
    <row r="39" spans="1:37" ht="13.5" thickBot="1">
      <c r="A39" s="2841"/>
      <c r="B39" s="2859" t="s">
        <v>2935</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t="e">
        <f>ROUND(POWER(1+E41,H41-G41)*(POWER(1+E41,G41)-1)/(POWER(1+E41,H41)-1),4)</f>
        <v>#DIV/0!</v>
      </c>
      <c r="D41" s="200" t="s">
        <v>2885</v>
      </c>
      <c r="E41" s="2929">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2936</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2937</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2938</v>
      </c>
      <c r="B47" s="1809" t="s">
        <v>2939</v>
      </c>
      <c r="C47" s="1809" t="s">
        <v>2940</v>
      </c>
      <c r="D47" s="1809" t="s">
        <v>2941</v>
      </c>
      <c r="E47" s="819" t="s">
        <v>2942</v>
      </c>
      <c r="F47" s="2871" t="s">
        <v>2943</v>
      </c>
      <c r="G47" s="1809" t="s">
        <v>754</v>
      </c>
      <c r="H47" s="2872"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70" t="s">
        <v>2946</v>
      </c>
      <c r="B48" s="2873" t="str">
        <f>估价对象房地状况!C4</f>
        <v>一般</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0" t="s">
        <v>2947</v>
      </c>
      <c r="B49" s="2874" t="str">
        <f>估价对象房地状况!C18</f>
        <v>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2948</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2949</v>
      </c>
      <c r="B51" s="2875" t="s">
        <v>2950</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2951</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2952</v>
      </c>
      <c r="B53" s="2876" t="s">
        <v>2953</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7" t="s">
        <v>2954</v>
      </c>
      <c r="B54" s="1725" t="str">
        <f>估价对象房地状况!C21</f>
        <v>较好</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7" t="s">
        <v>2955</v>
      </c>
      <c r="B55" s="2874" t="str">
        <f>估价对象房地状况!C22</f>
        <v>七通</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8" t="s">
        <v>2956</v>
      </c>
      <c r="B56" s="2879" t="str">
        <f>估价对象房地状况!C20</f>
        <v>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2957</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2938</v>
      </c>
      <c r="B58" s="1809"/>
      <c r="C58" s="1809" t="s">
        <v>2940</v>
      </c>
      <c r="D58" s="1809" t="s">
        <v>2941</v>
      </c>
      <c r="E58" s="819" t="s">
        <v>2942</v>
      </c>
      <c r="F58" s="2871" t="s">
        <v>2958</v>
      </c>
      <c r="G58" s="1809" t="s">
        <v>754</v>
      </c>
      <c r="H58" s="2872"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70" t="s">
        <v>2959</v>
      </c>
      <c r="B59" s="2873">
        <f>估价对象房地状况!C17</f>
        <v>0</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0" t="s">
        <v>2947</v>
      </c>
      <c r="B60" s="2874" t="str">
        <f>估价对象房地状况!C18</f>
        <v>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2948</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2949</v>
      </c>
      <c r="B62" s="2875" t="s">
        <v>2950</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2951</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2952</v>
      </c>
      <c r="B64" s="2876" t="s">
        <v>2953</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0" t="s">
        <v>2954</v>
      </c>
      <c r="B65" s="1725" t="str">
        <f>估价对象房地状况!C21</f>
        <v>较好</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0" t="s">
        <v>2955</v>
      </c>
      <c r="B66" s="1725" t="str">
        <f>估价对象房地状况!C22</f>
        <v>七通</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8" t="s">
        <v>2956</v>
      </c>
      <c r="B67" s="2880" t="str">
        <f>估价对象房地状况!C20</f>
        <v>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2960</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2938</v>
      </c>
      <c r="B69" s="1809"/>
      <c r="C69" s="1809" t="s">
        <v>2940</v>
      </c>
      <c r="D69" s="1809" t="s">
        <v>2941</v>
      </c>
      <c r="E69" s="819" t="s">
        <v>2942</v>
      </c>
      <c r="F69" s="2871" t="s">
        <v>2958</v>
      </c>
      <c r="G69" s="1809" t="s">
        <v>754</v>
      </c>
      <c r="H69" s="2872"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70" t="s">
        <v>2961</v>
      </c>
      <c r="B70" s="2873">
        <f>估价对象房地状况!C15</f>
        <v>0</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0" t="s">
        <v>2947</v>
      </c>
      <c r="B71" s="2874" t="str">
        <f>估价对象房地状况!C18</f>
        <v>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2948</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2962</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0" t="s">
        <v>2954</v>
      </c>
      <c r="B74" s="1725" t="str">
        <f>估价对象房地状况!C21</f>
        <v>较好</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0" t="s">
        <v>2955</v>
      </c>
      <c r="B75" s="1725" t="str">
        <f>估价对象房地状况!C22</f>
        <v>七通</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2952</v>
      </c>
      <c r="B76" s="2876" t="s">
        <v>2953</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24">
      <c r="A77" s="2870" t="s">
        <v>2956</v>
      </c>
      <c r="B77" s="2873" t="str">
        <f>估价对象房地状况!C20</f>
        <v>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2963</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2964</v>
      </c>
      <c r="B79" s="2867">
        <f>1+E81</f>
        <v>1</v>
      </c>
      <c r="C79" s="814"/>
      <c r="D79" s="814"/>
      <c r="E79" s="815"/>
      <c r="F79" s="2869"/>
      <c r="G79" s="6"/>
      <c r="H79" s="6"/>
      <c r="I79" s="6"/>
      <c r="J79" s="7"/>
      <c r="K79" s="7"/>
      <c r="L79" s="7"/>
      <c r="M79" s="7"/>
      <c r="N79" s="7"/>
      <c r="Z79" s="2720"/>
      <c r="AA79" s="2788"/>
      <c r="AG79" s="1372"/>
      <c r="AK79" s="2788"/>
    </row>
    <row r="80" spans="1:37" ht="24.75">
      <c r="A80" s="2870" t="s">
        <v>2938</v>
      </c>
      <c r="B80" s="1809"/>
      <c r="C80" s="1809" t="s">
        <v>2940</v>
      </c>
      <c r="D80" s="1809" t="s">
        <v>2941</v>
      </c>
      <c r="E80" s="819" t="s">
        <v>2942</v>
      </c>
      <c r="F80" s="2871" t="s">
        <v>2958</v>
      </c>
      <c r="G80" s="1809" t="s">
        <v>754</v>
      </c>
      <c r="H80" s="2872" t="s">
        <v>2944</v>
      </c>
      <c r="I80" s="1809" t="s">
        <v>2945</v>
      </c>
      <c r="J80" s="603" t="s">
        <v>2593</v>
      </c>
      <c r="K80" s="603" t="s">
        <v>2594</v>
      </c>
      <c r="L80" s="603" t="s">
        <v>2595</v>
      </c>
      <c r="M80" s="603" t="s">
        <v>2596</v>
      </c>
      <c r="N80" s="603" t="s">
        <v>2597</v>
      </c>
      <c r="Z80" s="2720"/>
      <c r="AA80" s="2788"/>
      <c r="AG80" s="1372"/>
      <c r="AK80" s="2788"/>
    </row>
    <row r="81" spans="1:37" ht="38.25">
      <c r="A81" s="2870" t="s">
        <v>2965</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2947</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2948</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2962</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2954</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2955</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2952</v>
      </c>
      <c r="B87" s="2876" t="s">
        <v>2966</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2967</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300" t="s">
        <v>2968</v>
      </c>
      <c r="B90" s="3300"/>
      <c r="C90" s="3300"/>
      <c r="D90" s="3300"/>
      <c r="E90" s="3300"/>
      <c r="F90" s="3300"/>
      <c r="G90" s="3300"/>
      <c r="H90" s="3300"/>
      <c r="I90" s="3300"/>
      <c r="J90" s="3300"/>
      <c r="K90" s="2884"/>
      <c r="L90" s="2884"/>
      <c r="M90" s="2884"/>
      <c r="N90" s="2884"/>
    </row>
    <row r="91" spans="1:37">
      <c r="A91" s="3302" t="s">
        <v>2969</v>
      </c>
      <c r="B91" s="3302" t="s">
        <v>2970</v>
      </c>
      <c r="C91" s="2838" t="s">
        <v>2971</v>
      </c>
      <c r="D91" s="2839"/>
      <c r="E91" s="2839"/>
      <c r="F91" s="2839"/>
      <c r="G91" s="2839"/>
      <c r="H91" s="2839"/>
      <c r="I91" s="2839"/>
      <c r="J91" s="2885"/>
      <c r="K91" s="2886"/>
      <c r="L91" s="2886"/>
      <c r="M91" s="2886"/>
      <c r="N91" s="2886"/>
    </row>
    <row r="92" spans="1:37">
      <c r="A92" s="3302"/>
      <c r="B92" s="3302"/>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303"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4"/>
      <c r="B99" s="2887" t="s">
        <v>2853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3" t="s">
        <v>2973</v>
      </c>
      <c r="B101" s="2891" t="s">
        <v>2974</v>
      </c>
      <c r="C101" s="2892">
        <f>$G$3</f>
        <v>0.33</v>
      </c>
      <c r="D101" s="2892">
        <f t="shared" ref="D101:N101" si="31">$G$3</f>
        <v>0.33</v>
      </c>
      <c r="E101" s="2892">
        <f t="shared" si="31"/>
        <v>0.33</v>
      </c>
      <c r="F101" s="2892">
        <f t="shared" si="31"/>
        <v>0.33</v>
      </c>
      <c r="G101" s="2892">
        <f t="shared" si="31"/>
        <v>0.33</v>
      </c>
      <c r="H101" s="2892">
        <f t="shared" si="31"/>
        <v>0.33</v>
      </c>
      <c r="I101" s="2892">
        <f t="shared" si="31"/>
        <v>0.33</v>
      </c>
      <c r="J101" s="2892">
        <f t="shared" si="31"/>
        <v>0.33</v>
      </c>
      <c r="K101" s="2892">
        <f t="shared" si="31"/>
        <v>0.33</v>
      </c>
      <c r="L101" s="2892">
        <f t="shared" si="31"/>
        <v>0.33</v>
      </c>
      <c r="M101" s="2892">
        <f t="shared" si="31"/>
        <v>0.33</v>
      </c>
      <c r="N101" s="2892">
        <f t="shared" si="31"/>
        <v>0.33</v>
      </c>
    </row>
    <row r="102" spans="1:14">
      <c r="A102" s="3304"/>
      <c r="B102" s="2887">
        <v>1</v>
      </c>
      <c r="C102" s="2888">
        <f>1.9362/C101</f>
        <v>5.8672727272727272</v>
      </c>
      <c r="D102" s="2888">
        <f>1.9362/D101</f>
        <v>5.8672727272727272</v>
      </c>
      <c r="E102" s="2888">
        <f>1.8629/E101</f>
        <v>5.6451515151515146</v>
      </c>
      <c r="F102" s="2888">
        <f>1.8629/F101</f>
        <v>5.6451515151515146</v>
      </c>
      <c r="G102" s="2888">
        <f>1.8629/G101</f>
        <v>5.6451515151515146</v>
      </c>
      <c r="H102" s="2888">
        <f>1.8629/H101</f>
        <v>5.6451515151515146</v>
      </c>
      <c r="I102" s="2888">
        <f>1.8629/I101</f>
        <v>5.6451515151515146</v>
      </c>
      <c r="J102" s="2888">
        <f>1.942/J101</f>
        <v>5.8848484848484848</v>
      </c>
      <c r="K102" s="2888">
        <f>1.942/K101</f>
        <v>5.8848484848484848</v>
      </c>
      <c r="L102" s="2888">
        <f>1.942/L101</f>
        <v>5.8848484848484848</v>
      </c>
      <c r="M102" s="2888">
        <f>1.942/M101</f>
        <v>5.8848484848484848</v>
      </c>
      <c r="N102" s="2888">
        <f>1.942/N101</f>
        <v>5.8848484848484848</v>
      </c>
    </row>
    <row r="103" spans="1:14">
      <c r="A103" s="3304"/>
      <c r="B103" s="2887">
        <v>2</v>
      </c>
      <c r="C103" s="2888">
        <f>1.4198/C101</f>
        <v>4.3024242424242418</v>
      </c>
      <c r="D103" s="2888">
        <f>1.4198/D101</f>
        <v>4.3024242424242418</v>
      </c>
      <c r="E103" s="2888">
        <f>1.3372/E101</f>
        <v>4.0521212121212118</v>
      </c>
      <c r="F103" s="2888">
        <f>1.3372/F101</f>
        <v>4.0521212121212118</v>
      </c>
      <c r="G103" s="2888">
        <f>1.3372/G101</f>
        <v>4.0521212121212118</v>
      </c>
      <c r="H103" s="2888">
        <f>1.3372/H101</f>
        <v>4.0521212121212118</v>
      </c>
      <c r="I103" s="2888">
        <f>1.3372/I101</f>
        <v>4.0521212121212118</v>
      </c>
      <c r="J103" s="2888">
        <f>1.2799/J101</f>
        <v>3.8784848484848484</v>
      </c>
      <c r="K103" s="2888">
        <f>1.2799/K101</f>
        <v>3.8784848484848484</v>
      </c>
      <c r="L103" s="2888">
        <f>1.2799/L101</f>
        <v>3.8784848484848484</v>
      </c>
      <c r="M103" s="2888">
        <f>1.2799/M101</f>
        <v>3.8784848484848484</v>
      </c>
      <c r="N103" s="2888">
        <f>1.2799/N101</f>
        <v>3.8784848484848484</v>
      </c>
    </row>
    <row r="104" spans="1:14">
      <c r="A104" s="3304"/>
      <c r="B104" s="2887">
        <v>3</v>
      </c>
      <c r="C104" s="2888">
        <f>1.1594/C101</f>
        <v>3.5133333333333332</v>
      </c>
      <c r="D104" s="2888">
        <f>1.1594/D101</f>
        <v>3.5133333333333332</v>
      </c>
      <c r="E104" s="2888">
        <f>1.0788/E101</f>
        <v>3.269090909090909</v>
      </c>
      <c r="F104" s="2888">
        <f>1.0788/F101</f>
        <v>3.269090909090909</v>
      </c>
      <c r="G104" s="2888">
        <f>1.0788/G101</f>
        <v>3.269090909090909</v>
      </c>
      <c r="H104" s="2888">
        <f>1.0788/H101</f>
        <v>3.269090909090909</v>
      </c>
      <c r="I104" s="2888">
        <f>1.0788/I101</f>
        <v>3.269090909090909</v>
      </c>
      <c r="J104" s="2888">
        <f>1.0072/J101</f>
        <v>3.0521212121212122</v>
      </c>
      <c r="K104" s="2888">
        <f>1.0072/K101</f>
        <v>3.0521212121212122</v>
      </c>
      <c r="L104" s="2888">
        <f>1.0072/L101</f>
        <v>3.0521212121212122</v>
      </c>
      <c r="M104" s="2888">
        <f>1.0072/M101</f>
        <v>3.0521212121212122</v>
      </c>
      <c r="N104" s="2888">
        <f>1.0072/N101</f>
        <v>3.0521212121212122</v>
      </c>
    </row>
    <row r="105" spans="1:14">
      <c r="A105" s="3304"/>
      <c r="B105" s="2887">
        <v>4</v>
      </c>
      <c r="C105" s="2888">
        <f>0.9622/C101</f>
        <v>2.915757575757576</v>
      </c>
      <c r="D105" s="2888">
        <f>0.9622/D101</f>
        <v>2.915757575757576</v>
      </c>
      <c r="E105" s="2888">
        <f>0.8656/E101</f>
        <v>2.623030303030303</v>
      </c>
      <c r="F105" s="2888">
        <f>0.8656/F101</f>
        <v>2.623030303030303</v>
      </c>
      <c r="G105" s="2888">
        <f>0.8656/G101</f>
        <v>2.623030303030303</v>
      </c>
      <c r="H105" s="2888">
        <f>0.8656/H101</f>
        <v>2.623030303030303</v>
      </c>
      <c r="I105" s="2888">
        <f>0.8656/I101</f>
        <v>2.623030303030303</v>
      </c>
      <c r="J105" s="2888">
        <f>0.7525/J101</f>
        <v>2.2803030303030298</v>
      </c>
      <c r="K105" s="2888">
        <f>0.7525/K101</f>
        <v>2.2803030303030298</v>
      </c>
      <c r="L105" s="2888">
        <f>0.7525/L101</f>
        <v>2.2803030303030298</v>
      </c>
      <c r="M105" s="2888">
        <f>0.7525/M101</f>
        <v>2.2803030303030298</v>
      </c>
      <c r="N105" s="2888">
        <f>0.7525/N101</f>
        <v>2.2803030303030298</v>
      </c>
    </row>
    <row r="106" spans="1:14">
      <c r="A106" s="3304"/>
      <c r="B106" s="2887">
        <v>5</v>
      </c>
      <c r="C106" s="2888">
        <f>0.8417/C101</f>
        <v>2.5506060606060603</v>
      </c>
      <c r="D106" s="2888">
        <f>0.8417/D101</f>
        <v>2.5506060606060603</v>
      </c>
      <c r="E106" s="2888">
        <f>0.7371/E101</f>
        <v>2.2336363636363634</v>
      </c>
      <c r="F106" s="2888">
        <f>0.7371/F101</f>
        <v>2.2336363636363634</v>
      </c>
      <c r="G106" s="2888">
        <f>0.7371/G101</f>
        <v>2.2336363636363634</v>
      </c>
      <c r="H106" s="2888">
        <f>0.7371/H101</f>
        <v>2.2336363636363634</v>
      </c>
      <c r="I106" s="2888">
        <f>0.7371/I101</f>
        <v>2.2336363636363634</v>
      </c>
      <c r="J106" s="2888">
        <f>0.5659/J101</f>
        <v>1.7148484848484846</v>
      </c>
      <c r="K106" s="2888">
        <f>0.5659/K101</f>
        <v>1.7148484848484846</v>
      </c>
      <c r="L106" s="2888">
        <f>0.5659/L101</f>
        <v>1.7148484848484846</v>
      </c>
      <c r="M106" s="2888">
        <f>0.5659/M101</f>
        <v>1.7148484848484846</v>
      </c>
      <c r="N106" s="2888">
        <f>0.5659/N101</f>
        <v>1.7148484848484846</v>
      </c>
    </row>
    <row r="107" spans="1:14">
      <c r="A107" s="3304"/>
      <c r="B107" s="2887">
        <v>6</v>
      </c>
      <c r="C107" s="2888">
        <f>0.7608/C101</f>
        <v>2.3054545454545456</v>
      </c>
      <c r="D107" s="2888">
        <f>0.7608/D101</f>
        <v>2.3054545454545456</v>
      </c>
      <c r="E107" s="2888">
        <f>0.6482/E101</f>
        <v>1.9642424242424241</v>
      </c>
      <c r="F107" s="2888">
        <f>0.6482/F101</f>
        <v>1.9642424242424241</v>
      </c>
      <c r="G107" s="2888">
        <f>0.6482/G101</f>
        <v>1.9642424242424241</v>
      </c>
      <c r="H107" s="2888">
        <f>0.6482/H101</f>
        <v>1.9642424242424241</v>
      </c>
      <c r="I107" s="2888">
        <f>0.6482/I101</f>
        <v>1.9642424242424241</v>
      </c>
      <c r="J107" s="2888">
        <f>0.4525/J101</f>
        <v>1.3712121212121211</v>
      </c>
      <c r="K107" s="2888">
        <f>0.4525/K101</f>
        <v>1.3712121212121211</v>
      </c>
      <c r="L107" s="2888">
        <f>0.4525/L101</f>
        <v>1.3712121212121211</v>
      </c>
      <c r="M107" s="2888">
        <f>0.4525/M101</f>
        <v>1.3712121212121211</v>
      </c>
      <c r="N107" s="2888">
        <f>0.4525/N101</f>
        <v>1.3712121212121211</v>
      </c>
    </row>
    <row r="108" spans="1:14">
      <c r="A108" s="3304"/>
      <c r="B108" s="3130"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5"/>
      <c r="B109" s="3131"/>
      <c r="C109" s="2890">
        <f>(-0.163*(C108^2)-0.59*C108+7617)*(10^(-4))/C101</f>
        <v>2.3081818181818181</v>
      </c>
      <c r="D109" s="2890">
        <f>(-0.163*(D108^2)-0.59*D108+7617)*(10^(-4))/D101</f>
        <v>2.3081818181818181</v>
      </c>
      <c r="E109" s="2890">
        <f>(-0.161*(E108^2)-7.509*E108+6533)*(10^(-4))/E101</f>
        <v>1.9796969696969695</v>
      </c>
      <c r="F109" s="2890">
        <f>(-0.161*(F108^2)-7.509*F108+6533)*(10^(-4))/F101</f>
        <v>1.9796969696969695</v>
      </c>
      <c r="G109" s="2890">
        <f>(-0.161*(G108^2)-7.509*G108+6533)*(10^(-4))/G101</f>
        <v>1.9796969696969695</v>
      </c>
      <c r="H109" s="2890">
        <f>(-0.161*(H108^2)-7.509*H108+6533)*(10^(-4))/H101</f>
        <v>1.9796969696969695</v>
      </c>
      <c r="I109" s="2890">
        <f>(-0.161*(I108^2)-7.509*I108+6533)*(10^(-4))/I101</f>
        <v>1.9796969696969695</v>
      </c>
      <c r="J109" s="2890">
        <f>(-0.214*(J108^2)-21.991*J108+4665)*(10^(-4))/J101</f>
        <v>1.4136363636363636</v>
      </c>
      <c r="K109" s="2890">
        <f>(-0.214*(K108^2)-21.991*K108+4665)*(10^(-4))/K101</f>
        <v>1.4136363636363636</v>
      </c>
      <c r="L109" s="2890">
        <f>(-0.214*(L108^2)-21.991*L108+4665)*(10^(-4))/L101</f>
        <v>1.4136363636363636</v>
      </c>
      <c r="M109" s="2890">
        <f>(-0.214*(M108^2)-21.991*M108+4665)*(10^(-4))/M101</f>
        <v>1.4136363636363636</v>
      </c>
      <c r="N109" s="2890">
        <f>(-0.214*(N108^2)-21.991*N108+4665)*(10^(-4))/N101</f>
        <v>1.4136363636363636</v>
      </c>
    </row>
    <row r="110" spans="1:14">
      <c r="A110" s="3301" t="s">
        <v>2976</v>
      </c>
      <c r="B110" s="3301"/>
      <c r="C110" s="3301"/>
      <c r="D110" s="3301"/>
      <c r="E110" s="3301"/>
      <c r="F110" s="3301"/>
      <c r="G110" s="3301"/>
      <c r="H110" s="3301"/>
      <c r="I110" s="3301"/>
      <c r="J110" s="3301"/>
      <c r="K110" s="2893"/>
      <c r="L110" s="2893"/>
      <c r="M110" s="2893"/>
      <c r="N110" s="2893"/>
    </row>
    <row r="112" spans="1:14" ht="13.5" thickBot="1"/>
    <row r="113" spans="1:13" ht="25.5" thickBot="1">
      <c r="A113" s="903" t="s">
        <v>2977</v>
      </c>
      <c r="B113" s="1287">
        <f>G3</f>
        <v>0.33</v>
      </c>
      <c r="C113" s="904" t="s">
        <v>2978</v>
      </c>
      <c r="D113" s="905">
        <f>SUMPRODUCT((A115:A118=F113)*(B114:M114=H113)*B115:M118)</f>
        <v>0</v>
      </c>
      <c r="E113" s="2724" t="s">
        <v>2810</v>
      </c>
      <c r="F113" s="2895">
        <f>E2</f>
        <v>0</v>
      </c>
      <c r="G113" s="2724" t="s">
        <v>2811</v>
      </c>
      <c r="H113" s="2895">
        <f>G2</f>
        <v>0</v>
      </c>
      <c r="I113" s="2724"/>
      <c r="J113" s="2896"/>
      <c r="K113" s="2896"/>
      <c r="L113" s="2896"/>
      <c r="M113" s="2896"/>
    </row>
    <row r="114" spans="1:13">
      <c r="A114" s="908"/>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9" t="s">
        <v>2875</v>
      </c>
      <c r="B115" s="910">
        <f>ROUND(0.9335-0.0094*B113,4)</f>
        <v>0.9304</v>
      </c>
      <c r="C115" s="910">
        <f>B115</f>
        <v>0.9304</v>
      </c>
      <c r="D115" s="910">
        <f>ROUND(0.8331-0.0109*B113,4)</f>
        <v>0.82950000000000002</v>
      </c>
      <c r="E115" s="910">
        <f>D115</f>
        <v>0.82950000000000002</v>
      </c>
      <c r="F115" s="910">
        <f>E115</f>
        <v>0.82950000000000002</v>
      </c>
      <c r="G115" s="910">
        <f>F115</f>
        <v>0.82950000000000002</v>
      </c>
      <c r="H115" s="910">
        <f>G115</f>
        <v>0.82950000000000002</v>
      </c>
      <c r="I115" s="910">
        <f>ROUND(0.689-0.0155*B113,4)</f>
        <v>0.68389999999999995</v>
      </c>
      <c r="J115" s="910">
        <f t="shared" ref="J115:M118" si="33">I115</f>
        <v>0.68389999999999995</v>
      </c>
      <c r="K115" s="910">
        <f t="shared" si="33"/>
        <v>0.68389999999999995</v>
      </c>
      <c r="L115" s="910">
        <f t="shared" si="33"/>
        <v>0.68389999999999995</v>
      </c>
      <c r="M115" s="911">
        <f t="shared" si="33"/>
        <v>0.68389999999999995</v>
      </c>
    </row>
    <row r="116" spans="1:13">
      <c r="A116" s="909" t="s">
        <v>2876</v>
      </c>
      <c r="B116" s="910">
        <f>ROUND(0.949-0.012*B113,4)</f>
        <v>0.94499999999999995</v>
      </c>
      <c r="C116" s="910">
        <f>B116</f>
        <v>0.94499999999999995</v>
      </c>
      <c r="D116" s="910">
        <f>ROUND(0.8567-0.013*B113,4)</f>
        <v>0.85240000000000005</v>
      </c>
      <c r="E116" s="910">
        <f t="shared" ref="E116:H117" si="34">D116</f>
        <v>0.85240000000000005</v>
      </c>
      <c r="F116" s="910">
        <f t="shared" si="34"/>
        <v>0.85240000000000005</v>
      </c>
      <c r="G116" s="910">
        <f t="shared" si="34"/>
        <v>0.85240000000000005</v>
      </c>
      <c r="H116" s="910">
        <f t="shared" si="34"/>
        <v>0.85240000000000005</v>
      </c>
      <c r="I116" s="910">
        <f>ROUND(0.7694-0.014*B113,4)</f>
        <v>0.76480000000000004</v>
      </c>
      <c r="J116" s="910">
        <f t="shared" si="33"/>
        <v>0.76480000000000004</v>
      </c>
      <c r="K116" s="910">
        <f t="shared" si="33"/>
        <v>0.76480000000000004</v>
      </c>
      <c r="L116" s="910">
        <f t="shared" si="33"/>
        <v>0.76480000000000004</v>
      </c>
      <c r="M116" s="911">
        <f t="shared" si="33"/>
        <v>0.76480000000000004</v>
      </c>
    </row>
    <row r="117" spans="1:13">
      <c r="A117" s="909" t="s">
        <v>2877</v>
      </c>
      <c r="B117" s="910">
        <f>ROUND(0.8808-0.006*B113,4)</f>
        <v>0.87880000000000003</v>
      </c>
      <c r="C117" s="910">
        <f>B117</f>
        <v>0.87880000000000003</v>
      </c>
      <c r="D117" s="910">
        <f>ROUND(0.8748-0.008*B113,4)</f>
        <v>0.87219999999999998</v>
      </c>
      <c r="E117" s="910">
        <f t="shared" si="34"/>
        <v>0.87219999999999998</v>
      </c>
      <c r="F117" s="910">
        <f t="shared" si="34"/>
        <v>0.87219999999999998</v>
      </c>
      <c r="G117" s="910">
        <f t="shared" si="34"/>
        <v>0.87219999999999998</v>
      </c>
      <c r="H117" s="910">
        <f t="shared" si="34"/>
        <v>0.87219999999999998</v>
      </c>
      <c r="I117" s="910">
        <f>ROUND(0.7412-0.0095*B113,4)</f>
        <v>0.73809999999999998</v>
      </c>
      <c r="J117" s="910">
        <f t="shared" si="33"/>
        <v>0.73809999999999998</v>
      </c>
      <c r="K117" s="910">
        <f t="shared" si="33"/>
        <v>0.73809999999999998</v>
      </c>
      <c r="L117" s="910">
        <f t="shared" si="33"/>
        <v>0.73809999999999998</v>
      </c>
      <c r="M117" s="911">
        <f t="shared" si="33"/>
        <v>0.73809999999999998</v>
      </c>
    </row>
    <row r="118" spans="1:13" ht="13.5" thickBot="1">
      <c r="A118" s="714" t="s">
        <v>2878</v>
      </c>
      <c r="B118" s="912">
        <f>ROUND(0.7275-0.01*B113,4)</f>
        <v>0.72419999999999995</v>
      </c>
      <c r="C118" s="912">
        <f>B118</f>
        <v>0.72419999999999995</v>
      </c>
      <c r="D118" s="912">
        <f>ROUND(0.7043-0.012*B113,4)</f>
        <v>0.70030000000000003</v>
      </c>
      <c r="E118" s="912">
        <f>D118</f>
        <v>0.70030000000000003</v>
      </c>
      <c r="F118" s="912">
        <f>E118</f>
        <v>0.70030000000000003</v>
      </c>
      <c r="G118" s="912">
        <f>ROUND(0.6299-0.0122*B113,4)</f>
        <v>0.62590000000000001</v>
      </c>
      <c r="H118" s="912">
        <f>G118</f>
        <v>0.62590000000000001</v>
      </c>
      <c r="I118" s="912">
        <f>ROUND(0.5667-0.0136*B113,4)</f>
        <v>0.56220000000000003</v>
      </c>
      <c r="J118" s="912">
        <f t="shared" si="33"/>
        <v>0.56220000000000003</v>
      </c>
      <c r="K118" s="912">
        <f t="shared" si="33"/>
        <v>0.56220000000000003</v>
      </c>
      <c r="L118" s="912">
        <f t="shared" si="33"/>
        <v>0.56220000000000003</v>
      </c>
      <c r="M118" s="913">
        <f t="shared" si="33"/>
        <v>0.56220000000000003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1" t="s">
        <v>614</v>
      </c>
      <c r="C61" s="818" t="s">
        <v>615</v>
      </c>
      <c r="D61" s="818" t="s">
        <v>616</v>
      </c>
      <c r="E61" s="895">
        <v>0.5</v>
      </c>
      <c r="F61" s="882">
        <v>80</v>
      </c>
    </row>
    <row r="62" spans="1:8" s="878" customFormat="1" ht="24">
      <c r="A62" s="882">
        <v>2</v>
      </c>
      <c r="B62" s="3321"/>
      <c r="C62" s="818" t="s">
        <v>617</v>
      </c>
      <c r="D62" s="818" t="s">
        <v>618</v>
      </c>
      <c r="E62" s="895">
        <v>0.5</v>
      </c>
      <c r="F62" s="882">
        <v>80</v>
      </c>
    </row>
    <row r="63" spans="1:8" s="878" customFormat="1" ht="36">
      <c r="A63" s="882">
        <v>3</v>
      </c>
      <c r="B63" s="3321"/>
      <c r="C63" s="818" t="s">
        <v>619</v>
      </c>
      <c r="D63" s="818" t="s">
        <v>620</v>
      </c>
      <c r="E63" s="895">
        <v>0.5</v>
      </c>
      <c r="F63" s="882">
        <v>80</v>
      </c>
    </row>
    <row r="64" spans="1:8" s="878" customFormat="1" ht="36">
      <c r="A64" s="882">
        <v>4</v>
      </c>
      <c r="B64" s="3321"/>
      <c r="C64" s="818" t="s">
        <v>621</v>
      </c>
      <c r="D64" s="818" t="s">
        <v>622</v>
      </c>
      <c r="E64" s="895">
        <v>0.4</v>
      </c>
      <c r="F64" s="882">
        <v>60</v>
      </c>
    </row>
    <row r="65" spans="1:6" s="878" customFormat="1" ht="36">
      <c r="A65" s="882">
        <v>5</v>
      </c>
      <c r="B65" s="3321"/>
      <c r="C65" s="818" t="s">
        <v>623</v>
      </c>
      <c r="D65" s="818" t="s">
        <v>624</v>
      </c>
      <c r="E65" s="895">
        <v>0.2</v>
      </c>
      <c r="F65" s="882">
        <v>30</v>
      </c>
    </row>
    <row r="66" spans="1:6" s="878" customFormat="1" ht="36">
      <c r="A66" s="882">
        <v>6</v>
      </c>
      <c r="B66" s="3321"/>
      <c r="C66" s="818" t="s">
        <v>625</v>
      </c>
      <c r="D66" s="818" t="s">
        <v>626</v>
      </c>
      <c r="E66" s="895">
        <v>0.3</v>
      </c>
      <c r="F66" s="882">
        <v>50</v>
      </c>
    </row>
    <row r="67" spans="1:6" s="878" customFormat="1" ht="36">
      <c r="A67" s="882">
        <v>7</v>
      </c>
      <c r="B67" s="3321"/>
      <c r="C67" s="818" t="s">
        <v>627</v>
      </c>
      <c r="D67" s="818" t="s">
        <v>628</v>
      </c>
      <c r="E67" s="895">
        <v>0.2</v>
      </c>
      <c r="F67" s="882">
        <v>30</v>
      </c>
    </row>
    <row r="68" spans="1:6" s="878" customFormat="1" ht="36">
      <c r="A68" s="882">
        <v>8</v>
      </c>
      <c r="B68" s="3321"/>
      <c r="C68" s="818" t="s">
        <v>629</v>
      </c>
      <c r="D68" s="818" t="s">
        <v>630</v>
      </c>
      <c r="E68" s="895">
        <v>0.2</v>
      </c>
      <c r="F68" s="882">
        <v>30</v>
      </c>
    </row>
    <row r="69" spans="1:6" s="878" customFormat="1" ht="36">
      <c r="A69" s="882">
        <v>9</v>
      </c>
      <c r="B69" s="3321"/>
      <c r="C69" s="818" t="s">
        <v>631</v>
      </c>
      <c r="D69" s="818" t="s">
        <v>632</v>
      </c>
      <c r="E69" s="895">
        <v>0.2</v>
      </c>
      <c r="F69" s="882">
        <v>30</v>
      </c>
    </row>
    <row r="70" spans="1:6" s="878" customFormat="1" ht="48">
      <c r="A70" s="882">
        <v>10</v>
      </c>
      <c r="B70" s="3321"/>
      <c r="C70" s="818" t="s">
        <v>633</v>
      </c>
      <c r="D70" s="818" t="s">
        <v>634</v>
      </c>
      <c r="E70" s="895">
        <v>0.2</v>
      </c>
      <c r="F70" s="882">
        <v>30</v>
      </c>
    </row>
    <row r="71" spans="1:6" s="878" customFormat="1" ht="48">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24">
      <c r="A73" s="882">
        <v>13</v>
      </c>
      <c r="B73" s="3321"/>
      <c r="C73" s="818" t="s">
        <v>639</v>
      </c>
      <c r="D73" s="818" t="s">
        <v>640</v>
      </c>
      <c r="E73" s="895">
        <v>0.4</v>
      </c>
      <c r="F73" s="882">
        <v>60</v>
      </c>
    </row>
    <row r="74" spans="1:6" s="878" customFormat="1" ht="24">
      <c r="A74" s="882">
        <v>14</v>
      </c>
      <c r="B74" s="3321"/>
      <c r="C74" s="818" t="s">
        <v>641</v>
      </c>
      <c r="D74" s="818" t="s">
        <v>642</v>
      </c>
      <c r="E74" s="895">
        <v>0.2</v>
      </c>
      <c r="F74" s="882">
        <v>30</v>
      </c>
    </row>
    <row r="75" spans="1:6" s="878" customFormat="1" ht="24">
      <c r="A75" s="882">
        <v>15</v>
      </c>
      <c r="B75" s="3321"/>
      <c r="C75" s="818" t="s">
        <v>643</v>
      </c>
      <c r="D75" s="818" t="s">
        <v>644</v>
      </c>
      <c r="E75" s="895">
        <v>0.2</v>
      </c>
      <c r="F75" s="882">
        <v>30</v>
      </c>
    </row>
    <row r="76" spans="1:6" s="878" customFormat="1" ht="24">
      <c r="A76" s="882">
        <v>16</v>
      </c>
      <c r="B76" s="3321" t="s">
        <v>645</v>
      </c>
      <c r="C76" s="818" t="s">
        <v>646</v>
      </c>
      <c r="D76" s="818" t="s">
        <v>647</v>
      </c>
      <c r="E76" s="895">
        <v>0.5</v>
      </c>
      <c r="F76" s="882">
        <v>80</v>
      </c>
    </row>
    <row r="77" spans="1:6" s="878" customFormat="1" ht="24">
      <c r="A77" s="882">
        <v>17</v>
      </c>
      <c r="B77" s="3321"/>
      <c r="C77" s="818" t="s">
        <v>648</v>
      </c>
      <c r="D77" s="818" t="s">
        <v>649</v>
      </c>
      <c r="E77" s="895">
        <v>0.5</v>
      </c>
      <c r="F77" s="882">
        <v>80</v>
      </c>
    </row>
    <row r="78" spans="1:6" s="878" customFormat="1" ht="24">
      <c r="A78" s="882">
        <v>18</v>
      </c>
      <c r="B78" s="3321"/>
      <c r="C78" s="818" t="s">
        <v>650</v>
      </c>
      <c r="D78" s="818" t="s">
        <v>651</v>
      </c>
      <c r="E78" s="895">
        <v>0.2</v>
      </c>
      <c r="F78" s="882">
        <v>30</v>
      </c>
    </row>
    <row r="79" spans="1:6" s="878" customFormat="1" ht="24">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48">
      <c r="A82" s="882">
        <v>22</v>
      </c>
      <c r="B82" s="3321"/>
      <c r="C82" s="818" t="s">
        <v>658</v>
      </c>
      <c r="D82" s="818" t="s">
        <v>659</v>
      </c>
      <c r="E82" s="895">
        <v>0.2</v>
      </c>
      <c r="F82" s="882">
        <v>30</v>
      </c>
    </row>
    <row r="83" spans="1:6" s="878" customFormat="1" ht="48">
      <c r="A83" s="882">
        <v>23</v>
      </c>
      <c r="B83" s="3321"/>
      <c r="C83" s="818" t="s">
        <v>660</v>
      </c>
      <c r="D83" s="818" t="s">
        <v>661</v>
      </c>
      <c r="E83" s="895">
        <v>0.2</v>
      </c>
      <c r="F83" s="882">
        <v>30</v>
      </c>
    </row>
    <row r="84" spans="1:6" s="878" customFormat="1" ht="36">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24">
      <c r="A89" s="882">
        <v>29</v>
      </c>
      <c r="B89" s="3321"/>
      <c r="C89" s="818" t="s">
        <v>672</v>
      </c>
      <c r="D89" s="818" t="s">
        <v>673</v>
      </c>
      <c r="E89" s="895">
        <v>0.2</v>
      </c>
      <c r="F89" s="882">
        <v>30</v>
      </c>
    </row>
    <row r="90" spans="1:6" s="878" customFormat="1" ht="24">
      <c r="A90" s="882">
        <v>30</v>
      </c>
      <c r="B90" s="3321"/>
      <c r="C90" s="818" t="s">
        <v>674</v>
      </c>
      <c r="D90" s="818" t="s">
        <v>675</v>
      </c>
      <c r="E90" s="895">
        <v>0.2</v>
      </c>
      <c r="F90" s="882">
        <v>30</v>
      </c>
    </row>
    <row r="91" spans="1:6" s="878" customFormat="1" ht="36">
      <c r="A91" s="882">
        <v>31</v>
      </c>
      <c r="B91" s="3321"/>
      <c r="C91" s="818" t="s">
        <v>676</v>
      </c>
      <c r="D91" s="818" t="s">
        <v>677</v>
      </c>
      <c r="E91" s="895">
        <v>0.2</v>
      </c>
      <c r="F91" s="882">
        <v>30</v>
      </c>
    </row>
    <row r="92" spans="1:6" s="878" customFormat="1" ht="24">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48">
      <c r="A94" s="882">
        <v>34</v>
      </c>
      <c r="B94" s="3321"/>
      <c r="C94" s="882" t="s">
        <v>683</v>
      </c>
      <c r="D94" s="818" t="s">
        <v>684</v>
      </c>
      <c r="E94" s="895">
        <v>0.2</v>
      </c>
      <c r="F94" s="882">
        <v>30</v>
      </c>
    </row>
    <row r="95" spans="1:6" s="878" customFormat="1" ht="36">
      <c r="A95" s="882">
        <v>35</v>
      </c>
      <c r="B95" s="3321"/>
      <c r="C95" s="882" t="s">
        <v>685</v>
      </c>
      <c r="D95" s="818" t="s">
        <v>686</v>
      </c>
      <c r="E95" s="895">
        <v>0.2</v>
      </c>
      <c r="F95" s="882">
        <v>30</v>
      </c>
    </row>
    <row r="96" spans="1:6" s="878" customFormat="1" ht="48">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24">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1" t="s">
        <v>708</v>
      </c>
      <c r="C105" s="882" t="s">
        <v>709</v>
      </c>
      <c r="D105" s="818" t="s">
        <v>710</v>
      </c>
      <c r="E105" s="895">
        <v>0.2</v>
      </c>
      <c r="F105" s="882">
        <v>30</v>
      </c>
    </row>
    <row r="106" spans="1:6" s="878" customFormat="1" ht="36">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36">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1" t="s">
        <v>724</v>
      </c>
      <c r="C111" s="882" t="s">
        <v>725</v>
      </c>
      <c r="D111" s="818" t="s">
        <v>726</v>
      </c>
      <c r="E111" s="895">
        <v>0.2</v>
      </c>
      <c r="F111" s="882">
        <v>30</v>
      </c>
    </row>
    <row r="112" spans="1:6" s="878" customFormat="1" ht="24">
      <c r="A112" s="882">
        <v>52</v>
      </c>
      <c r="B112" s="3321"/>
      <c r="C112" s="882" t="s">
        <v>727</v>
      </c>
      <c r="D112" s="818" t="s">
        <v>728</v>
      </c>
      <c r="E112" s="895">
        <v>0.2</v>
      </c>
      <c r="F112" s="882">
        <v>30</v>
      </c>
    </row>
    <row r="113" spans="1:6" s="878" customFormat="1" ht="24">
      <c r="A113" s="882">
        <v>53</v>
      </c>
      <c r="B113" s="33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2999</v>
      </c>
    </row>
    <row r="2" spans="1:5" ht="15.75">
      <c r="A2" s="2902" t="s">
        <v>2991</v>
      </c>
      <c r="B2" s="2903" t="e">
        <f ca="1">SUMIF(B6:B13,"&lt;&gt;#ref!",B6:B13)</f>
        <v>#DIV/0!</v>
      </c>
      <c r="C2" s="2902" t="s">
        <v>2992</v>
      </c>
      <c r="D2" s="2902" t="s">
        <v>2993</v>
      </c>
      <c r="E2" s="2903">
        <f ca="1">SUMIF(E6:E13,"&lt;&gt;#ref!",E6:E13)</f>
        <v>0</v>
      </c>
    </row>
    <row r="3" spans="1:5" ht="15.75">
      <c r="A3" s="2902" t="s">
        <v>2994</v>
      </c>
      <c r="B3" s="2903" t="e">
        <f ca="1">ROUND(B2*10000/E2,0)</f>
        <v>#DIV/0!</v>
      </c>
      <c r="C3" s="2902" t="s">
        <v>3000</v>
      </c>
      <c r="D3" s="2904"/>
      <c r="E3" s="2904"/>
    </row>
    <row r="4" spans="1:5" ht="15.75">
      <c r="A4" s="2905"/>
      <c r="B4" s="2904"/>
      <c r="C4" s="2904"/>
      <c r="D4" s="2904"/>
      <c r="E4" s="2904"/>
    </row>
    <row r="5" spans="1:5" ht="28.5">
      <c r="A5" s="2906" t="s">
        <v>2995</v>
      </c>
      <c r="B5" s="2902" t="s">
        <v>2996</v>
      </c>
      <c r="C5" s="2903"/>
      <c r="D5" s="2904"/>
      <c r="E5" s="2902" t="s">
        <v>2997</v>
      </c>
    </row>
    <row r="6" spans="1:5" ht="15.75">
      <c r="A6" s="2907" t="s">
        <v>2998</v>
      </c>
      <c r="B6" s="2903" t="e">
        <f ca="1">SUMIF(INDIRECT("'"&amp;A6&amp;"'"&amp;"!A:A"),"总价",INDIRECT("'"&amp;A6&amp;"'"&amp;"!B:B"))</f>
        <v>#DIV/0!</v>
      </c>
      <c r="C6" s="2902" t="s">
        <v>2992</v>
      </c>
      <c r="D6" s="2904"/>
      <c r="E6" s="2575">
        <f ca="1">SUMIF(INDIRECT("'"&amp;A6&amp;"'"&amp;"!C:C"),"建筑面积",INDIRECT("'"&amp;A6&amp;"'"&amp;"!D:D"))</f>
        <v>0</v>
      </c>
    </row>
    <row r="7" spans="1:5" ht="15.75">
      <c r="A7" s="2907"/>
      <c r="B7" s="2903" t="e">
        <f ca="1">SUMIF(INDIRECT("'"&amp;A7&amp;"'"&amp;"!A:A"),"总价",INDIRECT("'"&amp;A7&amp;"'"&amp;"!B:B"))</f>
        <v>#REF!</v>
      </c>
      <c r="C7" s="2902" t="s">
        <v>2992</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2992</v>
      </c>
      <c r="D8" s="2904"/>
      <c r="E8" s="2575" t="e">
        <f t="shared" ca="1" si="0"/>
        <v>#REF!</v>
      </c>
    </row>
    <row r="9" spans="1:5" ht="15.75">
      <c r="A9" s="2907"/>
      <c r="B9" s="2903" t="e">
        <f t="shared" ca="1" si="1"/>
        <v>#REF!</v>
      </c>
      <c r="C9" s="2902" t="s">
        <v>2992</v>
      </c>
      <c r="D9" s="2904"/>
      <c r="E9" s="2575" t="e">
        <f t="shared" ca="1" si="0"/>
        <v>#REF!</v>
      </c>
    </row>
    <row r="10" spans="1:5" ht="15.75">
      <c r="A10" s="2907"/>
      <c r="B10" s="2903" t="e">
        <f t="shared" ca="1" si="1"/>
        <v>#REF!</v>
      </c>
      <c r="C10" s="2902" t="s">
        <v>2992</v>
      </c>
      <c r="D10" s="2904"/>
      <c r="E10" s="2575" t="e">
        <f t="shared" ca="1" si="0"/>
        <v>#REF!</v>
      </c>
    </row>
    <row r="11" spans="1:5" ht="15.75">
      <c r="A11" s="2907"/>
      <c r="B11" s="2903" t="e">
        <f t="shared" ca="1" si="1"/>
        <v>#REF!</v>
      </c>
      <c r="C11" s="2902" t="s">
        <v>2992</v>
      </c>
      <c r="D11" s="2904"/>
      <c r="E11" s="2575" t="e">
        <f t="shared" ca="1" si="0"/>
        <v>#REF!</v>
      </c>
    </row>
    <row r="12" spans="1:5" ht="15.75">
      <c r="A12" s="2907"/>
      <c r="B12" s="2903" t="e">
        <f t="shared" ca="1" si="1"/>
        <v>#REF!</v>
      </c>
      <c r="C12" s="2902" t="s">
        <v>2992</v>
      </c>
      <c r="D12" s="2904"/>
      <c r="E12" s="2575" t="e">
        <f t="shared" ca="1" si="0"/>
        <v>#REF!</v>
      </c>
    </row>
    <row r="13" spans="1:5" ht="15.75">
      <c r="A13" s="2907"/>
      <c r="B13" s="2903" t="e">
        <f t="shared" ca="1" si="1"/>
        <v>#REF!</v>
      </c>
      <c r="C13" s="2902" t="s">
        <v>2992</v>
      </c>
      <c r="D13" s="2904"/>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v>
      </c>
      <c r="B3" s="3016"/>
      <c r="C3" s="3016"/>
      <c r="D3" s="3016"/>
      <c r="E3" s="3016"/>
    </row>
    <row r="4" spans="1:5" ht="19.5" thickBot="1">
      <c r="A4" s="1960"/>
      <c r="B4" s="3014" t="s">
        <v>1624</v>
      </c>
      <c r="C4" s="3014"/>
      <c r="D4" s="3014"/>
      <c r="E4" s="1960"/>
    </row>
    <row r="5" spans="1:5" ht="16.5" thickTop="1">
      <c r="A5" s="1958"/>
      <c r="B5" s="3012" t="s">
        <v>1616</v>
      </c>
      <c r="C5" s="1961" t="s">
        <v>1617</v>
      </c>
      <c r="D5" s="1040">
        <f ca="1">结果表!H101</f>
        <v>12454</v>
      </c>
      <c r="E5" s="1958"/>
    </row>
    <row r="6" spans="1:5" ht="15.75">
      <c r="A6" s="1958"/>
      <c r="B6" s="3012"/>
      <c r="C6" s="1961" t="s">
        <v>1618</v>
      </c>
      <c r="D6" s="1040" t="str">
        <f ca="1">NUMBERSTRING(INT(D5*10000),2)&amp;"元整"</f>
        <v>壹亿贰仟肆佰伍拾肆万元整</v>
      </c>
      <c r="E6" s="1958"/>
    </row>
    <row r="7" spans="1:5" ht="15.75">
      <c r="A7" s="1958"/>
      <c r="B7" s="3017"/>
      <c r="C7" s="1962" t="s">
        <v>1619</v>
      </c>
      <c r="D7" s="1041">
        <f ca="1">结果表!H102</f>
        <v>28459</v>
      </c>
      <c r="E7" s="1958"/>
    </row>
    <row r="8" spans="1:5" ht="15.75">
      <c r="A8" s="1958"/>
      <c r="B8" s="3018" t="str">
        <f>结果表!E103</f>
        <v>2.估价师知悉的法定优先受偿款</v>
      </c>
      <c r="C8" s="1963" t="s">
        <v>1620</v>
      </c>
      <c r="D8" s="1041">
        <f>结果表!H103</f>
        <v>0</v>
      </c>
      <c r="E8" s="1958"/>
    </row>
    <row r="9" spans="1:5" ht="15.75">
      <c r="A9" s="1958"/>
      <c r="B9" s="3020"/>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11" t="str">
        <f>结果表!E107</f>
        <v>3.房地产抵押价值</v>
      </c>
      <c r="C13" s="1966" t="s">
        <v>1617</v>
      </c>
      <c r="D13" s="1043">
        <f ca="1">结果表!H107</f>
        <v>12454</v>
      </c>
      <c r="E13" s="1958"/>
    </row>
    <row r="14" spans="1:5" ht="15.75">
      <c r="A14" s="1958"/>
      <c r="B14" s="3012"/>
      <c r="C14" s="1961" t="s">
        <v>1618</v>
      </c>
      <c r="D14" s="1040" t="str">
        <f ca="1">NUMBERSTRING(INT(D13*10000),2)&amp;"元整"</f>
        <v>壹亿贰仟肆佰伍拾肆万元整</v>
      </c>
      <c r="E14" s="1958"/>
    </row>
    <row r="15" spans="1:5" ht="15">
      <c r="A15" s="1958"/>
      <c r="B15" s="3017"/>
      <c r="C15" s="1962" t="s">
        <v>1628</v>
      </c>
      <c r="D15" s="1052">
        <f ca="1">结果表!H108</f>
        <v>28459</v>
      </c>
      <c r="E15" s="1958"/>
    </row>
    <row r="16" spans="1:5" ht="15">
      <c r="A16" s="1958"/>
      <c r="B16" s="3018" t="str">
        <f>结果表!E109</f>
        <v>——</v>
      </c>
      <c r="C16" s="1966" t="s">
        <v>1629</v>
      </c>
      <c r="D16" s="1967" t="str">
        <f>结果表!H109</f>
        <v>——</v>
      </c>
      <c r="E16" s="1958"/>
    </row>
    <row r="17" spans="1:5" ht="15.75">
      <c r="A17" s="1958"/>
      <c r="B17" s="3019"/>
      <c r="C17" s="1961" t="s">
        <v>1630</v>
      </c>
      <c r="D17" s="1040" t="e">
        <f>NUMBERSTRING(INT(D16*10000),2)&amp;"元整"</f>
        <v>#VALUE!</v>
      </c>
      <c r="E17" s="1958"/>
    </row>
    <row r="18" spans="1:5" ht="15">
      <c r="A18" s="1958"/>
      <c r="B18" s="3020"/>
      <c r="C18" s="1962" t="s">
        <v>1619</v>
      </c>
      <c r="D18" s="1052" t="str">
        <f>结果表!H110</f>
        <v>——</v>
      </c>
      <c r="E18" s="1958"/>
    </row>
    <row r="19" spans="1:5" ht="15.75">
      <c r="A19" s="1958"/>
      <c r="B19" s="3011" t="str">
        <f>结果表!E111</f>
        <v>4.抵押净值</v>
      </c>
      <c r="C19" s="1966" t="s">
        <v>1617</v>
      </c>
      <c r="D19" s="1041">
        <f ca="1">结果表!H111</f>
        <v>5399</v>
      </c>
      <c r="E19" s="1958"/>
    </row>
    <row r="20" spans="1:5" ht="15.75">
      <c r="A20" s="1958"/>
      <c r="B20" s="3012"/>
      <c r="C20" s="1961" t="s">
        <v>1630</v>
      </c>
      <c r="D20" s="1040" t="str">
        <f ca="1">NUMBERSTRING(INT(D19*10000),2)&amp;"元整"</f>
        <v>伍仟叁佰玖拾玖万元整</v>
      </c>
      <c r="E20" s="1958"/>
    </row>
    <row r="21" spans="1:5" ht="15.75" thickBot="1">
      <c r="A21" s="1958"/>
      <c r="B21" s="3013"/>
      <c r="C21" s="1968" t="s">
        <v>1628</v>
      </c>
      <c r="D21" s="1053">
        <f ca="1">结果表!H112</f>
        <v>12337</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7" t="s">
        <v>1146</v>
      </c>
      <c r="C1" s="3327"/>
      <c r="D1" s="3327"/>
      <c r="E1" s="3327"/>
      <c r="F1" s="3327"/>
      <c r="G1" s="3323" t="s">
        <v>1147</v>
      </c>
      <c r="H1" s="3323"/>
      <c r="I1" s="3323"/>
      <c r="J1" s="3323"/>
      <c r="K1" s="3323"/>
      <c r="L1" s="3323"/>
      <c r="N1" s="3323" t="s">
        <v>1148</v>
      </c>
      <c r="O1" s="3323"/>
      <c r="P1" s="3323"/>
      <c r="Q1" s="3323"/>
      <c r="R1" s="1446"/>
      <c r="S1" s="3323" t="s">
        <v>1149</v>
      </c>
      <c r="T1" s="3323"/>
      <c r="U1" s="3323"/>
      <c r="V1" s="3323"/>
      <c r="X1" s="3322" t="s">
        <v>1150</v>
      </c>
      <c r="Y1" s="3323"/>
      <c r="Z1" s="3323"/>
      <c r="AA1" s="3323"/>
      <c r="AB1" s="3323"/>
      <c r="AD1" s="3322" t="s">
        <v>1151</v>
      </c>
      <c r="AE1" s="3323"/>
      <c r="AF1" s="3323"/>
      <c r="AG1" s="3323"/>
      <c r="AH1" s="332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3032</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3049</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7">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3033</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3048</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7">
        <v>2019</v>
      </c>
      <c r="H6" s="1462">
        <v>2</v>
      </c>
      <c r="I6" s="2951">
        <v>1.53</v>
      </c>
      <c r="J6" s="2951">
        <v>1.01</v>
      </c>
      <c r="K6" s="2951">
        <v>1.62</v>
      </c>
      <c r="L6" s="2952">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3045</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3050</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25">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3039</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25"/>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3038</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25"/>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3031</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3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3028</v>
      </c>
      <c r="B12" s="1469">
        <v>439</v>
      </c>
      <c r="C12" s="1469">
        <v>327</v>
      </c>
      <c r="D12" s="1469">
        <f>C12</f>
        <v>327</v>
      </c>
      <c r="E12" s="1469">
        <v>627</v>
      </c>
      <c r="F12" s="1470">
        <v>283</v>
      </c>
      <c r="G12" s="332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3029</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25"/>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25"/>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3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2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25"/>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25"/>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26"/>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24">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25"/>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25"/>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26"/>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24">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25"/>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25"/>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26"/>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2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3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3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3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24">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25"/>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25"/>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26"/>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24">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25">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25">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26">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24">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25">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25">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26">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24">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25">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25">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26">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24">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25">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25">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26">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24">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25">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25">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26">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24">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25">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25">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26">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24">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25">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25">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26">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24">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25">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25">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26">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24">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25">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25">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26">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24">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25">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25">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26">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38" sqref="S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34" t="s">
        <v>3002</v>
      </c>
      <c r="D1" s="3335"/>
      <c r="E1" s="3335"/>
      <c r="F1" s="3335"/>
      <c r="G1" s="3335"/>
      <c r="H1" s="3335"/>
      <c r="I1" s="3335"/>
      <c r="J1" s="3335"/>
      <c r="K1" s="3335"/>
      <c r="L1" s="3335"/>
      <c r="M1" s="3335"/>
      <c r="N1" s="3335"/>
      <c r="O1" s="3335"/>
      <c r="P1" s="3335"/>
      <c r="Q1" s="3335"/>
      <c r="R1" s="3335"/>
      <c r="S1" s="3336"/>
      <c r="T1" s="1204" t="s">
        <v>3003</v>
      </c>
    </row>
    <row r="2" spans="1:45" s="707" customFormat="1" ht="38.25">
      <c r="A2" s="1205"/>
      <c r="B2" s="703" t="s">
        <v>3004</v>
      </c>
      <c r="C2" s="704" t="str">
        <f t="shared" ref="C2:L2" si="0">C3&amp;"(含)"&amp;"-"&amp;D3</f>
        <v>0(含)-500</v>
      </c>
      <c r="D2" s="705" t="str">
        <f t="shared" si="0"/>
        <v>500(含)-1000</v>
      </c>
      <c r="E2" s="705" t="str">
        <f t="shared" si="0"/>
        <v>1000(含)-1500</v>
      </c>
      <c r="F2" s="705" t="str">
        <f t="shared" si="0"/>
        <v>1500(含)-2000</v>
      </c>
      <c r="G2" s="705" t="str">
        <f t="shared" si="0"/>
        <v>2000(含)-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500</v>
      </c>
      <c r="E3" s="709">
        <f>'比较法-商业'!E103</f>
        <v>1000</v>
      </c>
      <c r="F3" s="709">
        <f>'比较法-商业'!F103</f>
        <v>1500</v>
      </c>
      <c r="G3" s="709">
        <f>'比较法-商业'!G103</f>
        <v>2000</v>
      </c>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'比较法-商业'!C104</f>
        <v>100</v>
      </c>
      <c r="D4" s="1210">
        <f>'比较法-商业'!D104</f>
        <v>98</v>
      </c>
      <c r="E4" s="1210">
        <f>'比较法-商业'!E104</f>
        <v>96</v>
      </c>
      <c r="F4" s="1210">
        <f>'比较法-商业'!F104</f>
        <v>94</v>
      </c>
      <c r="G4" s="1210">
        <f>'比较法-商业'!G104</f>
        <v>92</v>
      </c>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3011</v>
      </c>
      <c r="B17" s="2909" t="s">
        <v>3012</v>
      </c>
      <c r="C17" s="1231" t="s">
        <v>3139</v>
      </c>
      <c r="D17" s="2989" t="s">
        <v>3140</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90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3013</v>
      </c>
      <c r="E19" s="1792"/>
      <c r="F19" s="1792"/>
      <c r="G19" s="1792"/>
      <c r="H19" s="1280"/>
      <c r="I19" s="168"/>
      <c r="J19" s="168"/>
      <c r="K19" s="168"/>
      <c r="L19" s="168"/>
      <c r="M19" s="168"/>
      <c r="N19" s="168"/>
      <c r="O19" s="168"/>
      <c r="P19" s="168"/>
      <c r="Q19" s="168"/>
      <c r="R19" s="788"/>
      <c r="S19" s="138"/>
    </row>
    <row r="20" spans="1:45" ht="16.5" thickBot="1">
      <c r="A20" s="715" t="s">
        <v>3014</v>
      </c>
      <c r="B20" s="338">
        <f ca="1">IF(D20="——",S22,S22-F20)</f>
        <v>15074</v>
      </c>
      <c r="C20" s="168"/>
      <c r="D20" s="2911" t="s">
        <v>3179</v>
      </c>
      <c r="E20" s="1793"/>
      <c r="F20" s="1204">
        <f ca="1">SUMIF(INDIRECT("'"&amp;H20&amp;"'"&amp;"!A:A"),"承租人权益价值",INDIRECT("'"&amp;H20&amp;"'"&amp;"!c:c"))</f>
        <v>1480</v>
      </c>
      <c r="G20" s="1204" t="s">
        <v>3015</v>
      </c>
      <c r="H20" s="2912" t="s">
        <v>3180</v>
      </c>
      <c r="I20" s="168"/>
      <c r="J20" s="168"/>
      <c r="K20" s="168"/>
      <c r="L20" s="168"/>
      <c r="M20" s="168"/>
      <c r="N20" s="168"/>
      <c r="O20" s="168"/>
      <c r="P20" s="168"/>
      <c r="Q20" s="168"/>
      <c r="R20" s="788"/>
      <c r="S20" s="138"/>
    </row>
    <row r="21" spans="1:45" ht="15.75">
      <c r="A21" s="715" t="s">
        <v>3016</v>
      </c>
      <c r="B21" s="338">
        <f>R22</f>
        <v>37828</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4376.09</v>
      </c>
      <c r="C22" s="3111" t="s">
        <v>33</v>
      </c>
      <c r="D22" s="3112"/>
      <c r="E22" s="3112"/>
      <c r="F22" s="3112"/>
      <c r="G22" s="3112"/>
      <c r="H22" s="3112"/>
      <c r="I22" s="3112"/>
      <c r="J22" s="3112"/>
      <c r="K22" s="3112"/>
      <c r="L22" s="3112"/>
      <c r="M22" s="3112"/>
      <c r="N22" s="3112"/>
      <c r="O22" s="3112"/>
      <c r="P22" s="3112"/>
      <c r="Q22" s="3333"/>
      <c r="R22" s="716">
        <f>ROUND(S22*10000/B22,0)</f>
        <v>37828</v>
      </c>
      <c r="S22" s="24">
        <f>SUM(S24:S10000)</f>
        <v>16554</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5" t="s">
        <v>3112</v>
      </c>
      <c r="B24" s="718">
        <f>'数据-基础表'!I13</f>
        <v>1340.42</v>
      </c>
      <c r="C24" s="719">
        <v>1</v>
      </c>
      <c r="D24" s="720"/>
      <c r="E24" s="719">
        <v>1</v>
      </c>
      <c r="F24" s="720"/>
      <c r="G24" s="719">
        <v>1</v>
      </c>
      <c r="H24" s="720"/>
      <c r="I24" s="719">
        <v>1</v>
      </c>
      <c r="J24" s="720"/>
      <c r="K24" s="719">
        <v>1</v>
      </c>
      <c r="L24" s="720"/>
      <c r="M24" s="719">
        <v>1</v>
      </c>
      <c r="N24" s="720"/>
      <c r="O24" s="719">
        <v>1</v>
      </c>
      <c r="P24" s="720" t="s">
        <v>3141</v>
      </c>
      <c r="Q24" s="719">
        <v>1</v>
      </c>
      <c r="R24" s="721">
        <f>'比较法-商业'!B3</f>
        <v>40537</v>
      </c>
      <c r="S24" s="719">
        <f t="shared" ref="S24:S54" si="11">ROUND(R24*B24/10000,0)</f>
        <v>5434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3113</v>
      </c>
      <c r="B25" s="59">
        <v>1403.15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3009" t="s">
        <v>3209</v>
      </c>
      <c r="Q25" s="24">
        <f>(SUMIF($17:$17,P25,$18:$18)-SUMIF($17:$17,$P$24,$18:$18)+100)/100</f>
        <v>0.9</v>
      </c>
      <c r="R25" s="716">
        <f>IF(B25="",0,ROUND($R$24*C25*E25*G25*I25*K25*M25*O25*Q25,0))</f>
        <v>36483</v>
      </c>
      <c r="S25" s="361">
        <f t="shared" si="11"/>
        <v>5119</v>
      </c>
    </row>
    <row r="26" spans="1:45">
      <c r="A26" s="159" t="s">
        <v>3114</v>
      </c>
      <c r="B26" s="59">
        <v>99.05</v>
      </c>
      <c r="C26" s="24">
        <f t="shared" ref="C26:C89" si="12">IF(B26="",1,(LOOKUP(B26,$3:$3,$4:$4)-LOOKUP($B$24,$3:$3,$4:$4)+100)/100)</f>
        <v>1.04</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3142</v>
      </c>
      <c r="Q26" s="24">
        <f t="shared" ref="Q26:Q89" si="19">(SUMIF($17:$17,P26,$18:$18)-SUMIF($17:$17,$P$24,$18:$18)+100)/100</f>
        <v>0.9</v>
      </c>
      <c r="R26" s="716">
        <f t="shared" ref="R26:R89" si="20">IF(B26="",0,ROUND($R$24*C26*E26*G26*I26*K26*M26*O26*Q26,0))</f>
        <v>37943</v>
      </c>
      <c r="S26" s="361">
        <f t="shared" si="11"/>
        <v>376</v>
      </c>
    </row>
    <row r="27" spans="1:45" ht="13.5">
      <c r="A27" s="159" t="s">
        <v>3115</v>
      </c>
      <c r="B27" s="59">
        <v>59.69</v>
      </c>
      <c r="C27" s="24">
        <f t="shared" si="12"/>
        <v>1.04</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3142</v>
      </c>
      <c r="Q27" s="24">
        <f t="shared" si="19"/>
        <v>0.9</v>
      </c>
      <c r="R27" s="716">
        <f t="shared" si="20"/>
        <v>37943</v>
      </c>
      <c r="S27" s="361">
        <f t="shared" si="11"/>
        <v>226</v>
      </c>
    </row>
    <row r="28" spans="1:45" ht="13.5">
      <c r="A28" s="159" t="s">
        <v>3116</v>
      </c>
      <c r="B28" s="59">
        <v>59.69</v>
      </c>
      <c r="C28" s="24">
        <f t="shared" si="12"/>
        <v>1.04</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3142</v>
      </c>
      <c r="Q28" s="24">
        <f t="shared" si="19"/>
        <v>0.9</v>
      </c>
      <c r="R28" s="716">
        <f t="shared" si="20"/>
        <v>37943</v>
      </c>
      <c r="S28" s="361">
        <f t="shared" si="11"/>
        <v>226</v>
      </c>
    </row>
    <row r="29" spans="1:45" ht="13.5">
      <c r="A29" s="159" t="s">
        <v>3117</v>
      </c>
      <c r="B29" s="59">
        <v>59.69</v>
      </c>
      <c r="C29" s="24">
        <f t="shared" si="12"/>
        <v>1.04</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3142</v>
      </c>
      <c r="Q29" s="24">
        <f t="shared" si="19"/>
        <v>0.9</v>
      </c>
      <c r="R29" s="716">
        <f t="shared" si="20"/>
        <v>37943</v>
      </c>
      <c r="S29" s="361">
        <f t="shared" si="11"/>
        <v>226</v>
      </c>
    </row>
    <row r="30" spans="1:45" ht="13.5">
      <c r="A30" s="159" t="s">
        <v>3118</v>
      </c>
      <c r="B30" s="59">
        <v>40.659999999999997</v>
      </c>
      <c r="C30" s="24">
        <f t="shared" si="12"/>
        <v>1.04</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3142</v>
      </c>
      <c r="Q30" s="24">
        <f t="shared" si="19"/>
        <v>0.9</v>
      </c>
      <c r="R30" s="716">
        <f t="shared" si="20"/>
        <v>37943</v>
      </c>
      <c r="S30" s="361">
        <f t="shared" si="11"/>
        <v>154</v>
      </c>
    </row>
    <row r="31" spans="1:45" ht="13.5">
      <c r="A31" s="159" t="s">
        <v>3119</v>
      </c>
      <c r="B31" s="59">
        <v>1313.74</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3142</v>
      </c>
      <c r="Q31" s="24">
        <f t="shared" si="19"/>
        <v>0.9</v>
      </c>
      <c r="R31" s="716">
        <f t="shared" si="20"/>
        <v>36483</v>
      </c>
      <c r="S31" s="361">
        <f t="shared" si="11"/>
        <v>4793</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5"/>
  <sheetViews>
    <sheetView workbookViewId="0">
      <selection activeCell="H33" sqref="H33"/>
    </sheetView>
  </sheetViews>
  <sheetFormatPr defaultRowHeight="12"/>
  <cols>
    <col min="1" max="5" width="9" style="2971"/>
    <col min="6" max="6" width="12.375" style="2971" customWidth="1"/>
    <col min="7" max="8" width="9" style="2971"/>
    <col min="9" max="9" width="11.5" style="2971" customWidth="1"/>
    <col min="10" max="16384" width="9" style="2971"/>
  </cols>
  <sheetData>
    <row r="2" spans="2:12">
      <c r="B2" s="3337" t="s">
        <v>3051</v>
      </c>
      <c r="C2" s="3337" t="s">
        <v>3052</v>
      </c>
      <c r="D2" s="3337" t="s">
        <v>3053</v>
      </c>
      <c r="E2" s="3337" t="s">
        <v>3054</v>
      </c>
      <c r="F2" s="3340" t="s">
        <v>3055</v>
      </c>
      <c r="G2" s="3341"/>
      <c r="H2" s="3341"/>
      <c r="I2" s="3341"/>
      <c r="J2" s="3341"/>
      <c r="K2" s="3341"/>
      <c r="L2" s="3341"/>
    </row>
    <row r="3" spans="2:12">
      <c r="B3" s="3338"/>
      <c r="C3" s="3338"/>
      <c r="D3" s="3338"/>
      <c r="E3" s="3338"/>
      <c r="F3" s="3342" t="s">
        <v>37</v>
      </c>
      <c r="G3" s="3344"/>
      <c r="H3" s="3345"/>
      <c r="I3" s="3345"/>
      <c r="J3" s="3345"/>
      <c r="K3" s="3345"/>
      <c r="L3" s="3346"/>
    </row>
    <row r="4" spans="2:12">
      <c r="B4" s="3339"/>
      <c r="C4" s="3339"/>
      <c r="D4" s="3339"/>
      <c r="E4" s="3339"/>
      <c r="F4" s="3343"/>
      <c r="G4" s="2972" t="s">
        <v>40</v>
      </c>
      <c r="H4" s="2973" t="s">
        <v>3056</v>
      </c>
      <c r="I4" s="2973" t="s">
        <v>3057</v>
      </c>
      <c r="J4" s="2973" t="s">
        <v>1373</v>
      </c>
      <c r="K4" s="2973" t="s">
        <v>27</v>
      </c>
      <c r="L4" s="2973"/>
    </row>
    <row r="5" spans="2:12">
      <c r="B5" s="3347" t="s">
        <v>3058</v>
      </c>
      <c r="C5" s="3349" t="s">
        <v>3059</v>
      </c>
      <c r="D5" s="2971" t="s">
        <v>3060</v>
      </c>
      <c r="E5" s="2973">
        <f>ROUND(F5/F15*E15,2)</f>
        <v>2119.27</v>
      </c>
      <c r="F5" s="2974">
        <f t="shared" ref="F5:F10" si="0">G5+M5</f>
        <v>2313.3200000000002</v>
      </c>
      <c r="G5" s="2974">
        <f t="shared" ref="G5:G10" si="1">SUM(H5:L5)</f>
        <v>2313.3200000000002</v>
      </c>
      <c r="H5" s="2973"/>
      <c r="I5" s="2973">
        <v>2313.3200000000002</v>
      </c>
      <c r="J5" s="2973"/>
      <c r="K5" s="2973"/>
      <c r="L5" s="2973"/>
    </row>
    <row r="6" spans="2:12">
      <c r="B6" s="3348"/>
      <c r="C6" s="3350"/>
      <c r="D6" s="2971" t="s">
        <v>3061</v>
      </c>
      <c r="E6" s="2973">
        <f>ROUND(F6/F15*E15,2)</f>
        <v>1685.52</v>
      </c>
      <c r="F6" s="2974">
        <f t="shared" si="0"/>
        <v>1839.86</v>
      </c>
      <c r="G6" s="2974">
        <f t="shared" si="1"/>
        <v>1839.86</v>
      </c>
      <c r="H6" s="2973"/>
      <c r="I6" s="2973">
        <v>1839.86</v>
      </c>
      <c r="J6" s="2973"/>
      <c r="K6" s="2973"/>
      <c r="L6" s="2973"/>
    </row>
    <row r="7" spans="2:12">
      <c r="B7" s="3348"/>
      <c r="C7" s="3350"/>
      <c r="D7" s="2971" t="s">
        <v>3062</v>
      </c>
      <c r="E7" s="2973">
        <f>ROUND(F7/F15*E15,2)</f>
        <v>1677.46</v>
      </c>
      <c r="F7" s="2974">
        <f t="shared" si="0"/>
        <v>1831.06</v>
      </c>
      <c r="G7" s="2974">
        <f t="shared" si="1"/>
        <v>1831.06</v>
      </c>
      <c r="H7" s="2973"/>
      <c r="I7" s="2973">
        <v>1831.06</v>
      </c>
      <c r="J7" s="2973"/>
      <c r="K7" s="2973"/>
      <c r="L7" s="2973"/>
    </row>
    <row r="8" spans="2:12">
      <c r="B8" s="3348"/>
      <c r="C8" s="3350"/>
      <c r="D8" s="2971" t="s">
        <v>3063</v>
      </c>
      <c r="E8" s="2973">
        <f>ROUND(F8/F15*E15,2)</f>
        <v>2482.09</v>
      </c>
      <c r="F8" s="2974">
        <f t="shared" si="0"/>
        <v>2709.36</v>
      </c>
      <c r="G8" s="2974">
        <f t="shared" si="1"/>
        <v>2709.36</v>
      </c>
      <c r="H8" s="2973"/>
      <c r="I8" s="2973">
        <v>2709.36</v>
      </c>
      <c r="J8" s="2973"/>
      <c r="K8" s="2973"/>
      <c r="L8" s="2973"/>
    </row>
    <row r="9" spans="2:12">
      <c r="B9" s="3348"/>
      <c r="C9" s="3350"/>
      <c r="D9" s="2971" t="s">
        <v>3064</v>
      </c>
      <c r="E9" s="2973">
        <f>ROUND(F9/F15*E15,2)</f>
        <v>2686</v>
      </c>
      <c r="F9" s="2974">
        <f t="shared" si="0"/>
        <v>2931.94</v>
      </c>
      <c r="G9" s="2974">
        <f t="shared" si="1"/>
        <v>2931.94</v>
      </c>
      <c r="H9" s="2973"/>
      <c r="I9" s="2973">
        <v>2931.94</v>
      </c>
      <c r="J9" s="2973"/>
      <c r="K9" s="2973"/>
      <c r="L9" s="2973"/>
    </row>
    <row r="10" spans="2:12">
      <c r="B10" s="3348"/>
      <c r="C10" s="3350"/>
      <c r="D10" s="2971" t="s">
        <v>3071</v>
      </c>
      <c r="E10" s="2973">
        <f>ROUND(F10/F15*E15,2)</f>
        <v>877.65</v>
      </c>
      <c r="F10" s="2974">
        <f t="shared" si="0"/>
        <v>958.01</v>
      </c>
      <c r="G10" s="2974">
        <f t="shared" si="1"/>
        <v>958.01</v>
      </c>
      <c r="H10" s="2973"/>
      <c r="I10" s="2973">
        <v>958.01</v>
      </c>
      <c r="J10" s="2973"/>
      <c r="K10" s="2973"/>
      <c r="L10" s="2973"/>
    </row>
    <row r="11" spans="2:12">
      <c r="B11" s="3348"/>
      <c r="C11" s="3351" t="s">
        <v>3065</v>
      </c>
      <c r="D11" s="2975" t="s">
        <v>3066</v>
      </c>
      <c r="E11" s="2973">
        <f>ROUND(F11/F15*E15,2)</f>
        <v>18562.259999999998</v>
      </c>
      <c r="F11" s="2973">
        <v>20261.93</v>
      </c>
      <c r="G11" s="2974"/>
      <c r="H11" s="2973"/>
      <c r="I11" s="2973"/>
      <c r="J11" s="2973">
        <v>2126.83</v>
      </c>
      <c r="K11" s="2973">
        <f>F11-J11</f>
        <v>18135.099999999999</v>
      </c>
      <c r="L11" s="2973"/>
    </row>
    <row r="12" spans="2:12">
      <c r="B12" s="3348"/>
      <c r="C12" s="3352"/>
      <c r="D12" s="2975" t="s">
        <v>3067</v>
      </c>
      <c r="E12" s="2973">
        <f>ROUND(F12/F15*E15,2)</f>
        <v>9053.9500000000007</v>
      </c>
      <c r="F12" s="2973">
        <v>9882.98</v>
      </c>
      <c r="G12" s="2974"/>
      <c r="H12" s="2973"/>
      <c r="I12" s="2973"/>
      <c r="J12" s="2973">
        <v>859.65</v>
      </c>
      <c r="K12" s="2973">
        <f>F12-J12</f>
        <v>9023.33</v>
      </c>
      <c r="L12" s="2973"/>
    </row>
    <row r="13" spans="2:12">
      <c r="B13" s="3348"/>
      <c r="C13" s="3352"/>
      <c r="D13" s="2975" t="s">
        <v>3068</v>
      </c>
      <c r="E13" s="2973">
        <f>ROUND(F13/F15*E15,2)</f>
        <v>1227.98</v>
      </c>
      <c r="F13" s="2976">
        <v>1340.42</v>
      </c>
      <c r="G13" s="2974"/>
      <c r="H13" s="2973"/>
      <c r="I13" s="2973"/>
      <c r="J13" s="2973">
        <f>F13</f>
        <v>1340.42</v>
      </c>
      <c r="K13" s="2973"/>
      <c r="L13" s="2973"/>
    </row>
    <row r="14" spans="2:12">
      <c r="B14" s="3348"/>
      <c r="C14" s="3352"/>
      <c r="D14" s="2977" t="s">
        <v>3069</v>
      </c>
      <c r="E14" s="2973">
        <f>ROUND(F14/F15*E15,2)</f>
        <v>2781.02</v>
      </c>
      <c r="F14" s="2976">
        <v>3035.67</v>
      </c>
      <c r="G14" s="2974"/>
      <c r="H14" s="2973"/>
      <c r="I14" s="2973"/>
      <c r="J14" s="2973">
        <f>F14</f>
        <v>3035.67</v>
      </c>
      <c r="K14" s="2973"/>
      <c r="L14" s="2973"/>
    </row>
    <row r="15" spans="2:12">
      <c r="B15" s="2968"/>
      <c r="C15" s="2969" t="s">
        <v>3070</v>
      </c>
      <c r="D15" s="2970"/>
      <c r="E15" s="2970">
        <v>43153.2</v>
      </c>
      <c r="F15" s="2978">
        <v>47104.55</v>
      </c>
      <c r="G15" s="2978"/>
      <c r="H15" s="2979"/>
      <c r="I15" s="2979"/>
      <c r="J15" s="2979"/>
      <c r="K15" s="2979"/>
      <c r="L15" s="2979"/>
    </row>
  </sheetData>
  <mergeCells count="10">
    <mergeCell ref="B5:B14"/>
    <mergeCell ref="C5:C10"/>
    <mergeCell ref="C11:C14"/>
    <mergeCell ref="B2:B4"/>
    <mergeCell ref="C2:C4"/>
    <mergeCell ref="D2:D4"/>
    <mergeCell ref="E2:E4"/>
    <mergeCell ref="F2:L2"/>
    <mergeCell ref="F3:F4"/>
    <mergeCell ref="G3:L3"/>
  </mergeCells>
  <phoneticPr fontId="14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30294</v>
      </c>
      <c r="C2" s="2" t="s">
        <v>133</v>
      </c>
      <c r="D2" s="243"/>
      <c r="E2" s="243"/>
      <c r="F2" s="243"/>
      <c r="G2" s="243"/>
    </row>
    <row r="3" spans="1:7" s="244" customFormat="1" ht="18" customHeight="1" thickBot="1">
      <c r="A3" s="247" t="s">
        <v>85</v>
      </c>
      <c r="B3" s="248">
        <f ca="1">ROUND(B2*10000/'数据-汇总表'!E3,0)</f>
        <v>69226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88</v>
      </c>
      <c r="D10" s="1032">
        <f>'数据-汇总表'!E6</f>
        <v>4376.09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88</v>
      </c>
      <c r="D19" s="1036">
        <f>'数据-汇总表'!E3</f>
        <v>4376.09</v>
      </c>
      <c r="E19" s="255">
        <f>'数据-取费表'!B31</f>
        <v>200</v>
      </c>
      <c r="F19" s="275"/>
      <c r="G19" s="1" t="s">
        <v>1071</v>
      </c>
    </row>
    <row r="20" spans="1:7" s="258" customFormat="1" ht="13.5" customHeight="1">
      <c r="A20" s="948" t="s">
        <v>1054</v>
      </c>
      <c r="B20" s="254" t="s">
        <v>104</v>
      </c>
      <c r="C20" s="276">
        <f>ROUND((C5+C19)*F20,0)</f>
        <v>414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3167</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3167</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1460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1313</v>
      </c>
      <c r="D34" s="261"/>
      <c r="E34" s="264"/>
      <c r="F34" s="301">
        <f>IF('数据-取费表'!B24=0,1,'数据-取费表'!N16)</f>
        <v>1</v>
      </c>
      <c r="G34" s="263" t="s">
        <v>116</v>
      </c>
    </row>
    <row r="35" spans="1:7" ht="13.5" customHeight="1">
      <c r="A35" s="951" t="s">
        <v>796</v>
      </c>
      <c r="B35" s="259" t="s">
        <v>60</v>
      </c>
      <c r="C35" s="264">
        <f>ROUND(C34*F35,0)</f>
        <v>39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88</v>
      </c>
      <c r="D37" s="261">
        <f>'数据-汇总表'!E3</f>
        <v>4376.09</v>
      </c>
      <c r="E37" s="293">
        <f>'数据-取费表'!B35</f>
        <v>200</v>
      </c>
      <c r="F37" s="303"/>
      <c r="G37" s="305" t="s">
        <v>119</v>
      </c>
    </row>
    <row r="38" spans="1:7" ht="13.5" customHeight="1">
      <c r="A38" s="951" t="s">
        <v>799</v>
      </c>
      <c r="B38" s="259" t="s">
        <v>63</v>
      </c>
      <c r="C38" s="264">
        <f>ROUND(C34*F38,0)</f>
        <v>20</v>
      </c>
      <c r="D38" s="264"/>
      <c r="E38" s="264"/>
      <c r="F38" s="303">
        <f>'数据-取费表'!B36</f>
        <v>1.4999999999999999E-2</v>
      </c>
      <c r="G38" s="263" t="s">
        <v>117</v>
      </c>
    </row>
    <row r="39" spans="1:7" s="258" customFormat="1" ht="13.5" customHeight="1">
      <c r="A39" s="948" t="s">
        <v>783</v>
      </c>
      <c r="B39" s="254" t="s">
        <v>104</v>
      </c>
      <c r="C39" s="276">
        <f>ROUND(C33*F20,0)</f>
        <v>29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69</v>
      </c>
      <c r="D42" s="282"/>
      <c r="E42" s="282"/>
      <c r="F42" s="283"/>
      <c r="G42" s="3196" t="s">
        <v>121</v>
      </c>
    </row>
    <row r="43" spans="1:7" ht="13.5" customHeight="1">
      <c r="A43" s="951" t="s">
        <v>792</v>
      </c>
      <c r="B43" s="259" t="s">
        <v>1061</v>
      </c>
      <c r="C43" s="282">
        <f ca="1">ROUND(IF('数据-取费表'!B22&lt;=1,C39*F22*'数据-取费表'!B21/2,C39*(POWER((1+F22),'数据-取费表'!B21/2)-1)),0)</f>
        <v>1</v>
      </c>
      <c r="D43" s="282"/>
      <c r="E43" s="282"/>
      <c r="F43" s="283"/>
      <c r="G43" s="3197"/>
    </row>
    <row r="44" spans="1:7" ht="13.5" customHeight="1">
      <c r="A44" s="951" t="s">
        <v>793</v>
      </c>
      <c r="B44" s="259" t="s">
        <v>1063</v>
      </c>
      <c r="C44" s="282">
        <f ca="1">ROUND(IF('数据-取费表'!B22&lt;=1,C40*F22*'数据-取费表'!B21/2,C40*(POWER((1+F22),'数据-取费表'!B21/2)-1)),4)</f>
        <v>1E-3</v>
      </c>
      <c r="D44" s="282"/>
      <c r="E44" s="282"/>
      <c r="F44" s="283"/>
      <c r="G44" s="3198"/>
    </row>
    <row r="45" spans="1:7" s="258" customFormat="1" ht="13.5" customHeight="1">
      <c r="A45" s="948" t="s">
        <v>786</v>
      </c>
      <c r="B45" s="288" t="s">
        <v>112</v>
      </c>
      <c r="C45" s="289">
        <f>C46</f>
        <v>223</v>
      </c>
      <c r="D45" s="279">
        <f>C47</f>
        <v>3.0000000000000001E-3</v>
      </c>
      <c r="E45" s="280" t="s">
        <v>129</v>
      </c>
      <c r="F45" s="290"/>
      <c r="G45" s="291" t="s">
        <v>1069</v>
      </c>
    </row>
    <row r="46" spans="1:7" s="258" customFormat="1" ht="13.5" customHeight="1">
      <c r="A46" s="951" t="s">
        <v>794</v>
      </c>
      <c r="B46" s="292" t="s">
        <v>1062</v>
      </c>
      <c r="C46" s="293">
        <f>ROUND((C33+C39)*F27,0)</f>
        <v>223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1931</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1777</v>
      </c>
      <c r="D51" s="276"/>
      <c r="E51" s="276"/>
      <c r="F51" s="308"/>
      <c r="G51" s="278" t="s">
        <v>64</v>
      </c>
    </row>
    <row r="52" spans="1:7" s="252" customFormat="1" ht="16.5" thickBot="1">
      <c r="A52" s="309" t="s">
        <v>65</v>
      </c>
      <c r="B52" s="310"/>
      <c r="C52" s="311">
        <f ca="1">C31+C51</f>
        <v>30294</v>
      </c>
      <c r="D52" s="310"/>
      <c r="E52" s="310"/>
      <c r="F52" s="310"/>
      <c r="G52" s="312"/>
    </row>
    <row r="55" spans="1:7" ht="15">
      <c r="B55" s="314" t="s">
        <v>66</v>
      </c>
      <c r="C55" s="315"/>
    </row>
    <row r="56" spans="1:7">
      <c r="B56" s="317" t="s">
        <v>67</v>
      </c>
      <c r="C56" s="318">
        <f ca="1">ROUND(C51/C52,3)</f>
        <v>5.8999999999999997E-2</v>
      </c>
    </row>
    <row r="57" spans="1:7">
      <c r="B57" s="317" t="s">
        <v>68</v>
      </c>
      <c r="C57" s="319">
        <f ca="1">1-C56</f>
        <v>0.94100000000000006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3" t="s">
        <v>156</v>
      </c>
      <c r="B1" s="3353"/>
      <c r="C1" s="3353"/>
      <c r="D1" s="3353"/>
      <c r="E1" s="3353"/>
      <c r="F1" s="335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4" t="s">
        <v>169</v>
      </c>
      <c r="B2" s="3354"/>
      <c r="C2" s="3354"/>
      <c r="D2" s="3354"/>
      <c r="E2" s="3354"/>
      <c r="F2" s="335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3" t="s">
        <v>868</v>
      </c>
      <c r="B1" s="335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43734</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6"/>
  <sheetViews>
    <sheetView workbookViewId="0">
      <selection activeCell="B26" sqref="B26:C31"/>
    </sheetView>
  </sheetViews>
  <sheetFormatPr defaultRowHeight="13.5"/>
  <cols>
    <col min="1" max="1" width="6.625" style="3000" customWidth="1"/>
    <col min="2" max="2" width="13.375" style="3000" customWidth="1"/>
    <col min="3" max="3" width="12.75" style="3000" bestFit="1" customWidth="1"/>
    <col min="4" max="4" width="10.375" style="3000" customWidth="1"/>
    <col min="5" max="16384" width="9" style="3000"/>
  </cols>
  <sheetData>
    <row r="2" spans="1:6">
      <c r="B2" s="3001" t="s">
        <v>3170</v>
      </c>
      <c r="C2" s="3001" t="s">
        <v>3171</v>
      </c>
      <c r="D2" s="3001" t="s">
        <v>3172</v>
      </c>
      <c r="E2" s="3001" t="s">
        <v>3173</v>
      </c>
      <c r="F2" s="3001" t="s">
        <v>3175</v>
      </c>
    </row>
    <row r="3" spans="1:6">
      <c r="A3" s="3000">
        <v>1</v>
      </c>
      <c r="B3" s="3002">
        <v>43040</v>
      </c>
      <c r="C3" s="3002">
        <v>43708</v>
      </c>
      <c r="D3" s="3001">
        <f>554010*4</f>
        <v>2216040</v>
      </c>
    </row>
    <row r="4" spans="1:6">
      <c r="A4" s="3000">
        <v>2</v>
      </c>
      <c r="B4" s="3002">
        <v>43709</v>
      </c>
      <c r="C4" s="3002">
        <v>44074</v>
      </c>
      <c r="D4" s="3000">
        <f>554010*4</f>
        <v>2216040</v>
      </c>
      <c r="E4" s="3000">
        <v>0.93</v>
      </c>
      <c r="F4" s="3000">
        <f>ROUND(D4/365/$E$20,2)</f>
        <v>2</v>
      </c>
    </row>
    <row r="5" spans="1:6">
      <c r="A5" s="3000">
        <v>3</v>
      </c>
      <c r="B5" s="3002">
        <v>44075</v>
      </c>
      <c r="C5" s="3002">
        <v>44439</v>
      </c>
      <c r="D5" s="3000">
        <f>554010*4</f>
        <v>2216040</v>
      </c>
      <c r="E5" s="3000">
        <v>1</v>
      </c>
      <c r="F5" s="3000">
        <f>ROUND(D5/365/$E$20,2)</f>
        <v>2</v>
      </c>
    </row>
    <row r="6" spans="1:6">
      <c r="A6" s="3000">
        <v>4</v>
      </c>
      <c r="B6" s="3002">
        <v>44440</v>
      </c>
      <c r="C6" s="3002">
        <v>44804</v>
      </c>
      <c r="D6" s="3000">
        <f>581710*4</f>
        <v>2326840</v>
      </c>
      <c r="E6" s="3000">
        <v>1</v>
      </c>
      <c r="F6" s="3000">
        <f t="shared" ref="F6:F12" si="0">ROUND(D6/365/$E$20,2)</f>
        <v>2.1</v>
      </c>
    </row>
    <row r="7" spans="1:6">
      <c r="A7" s="3000">
        <v>5</v>
      </c>
      <c r="B7" s="3003">
        <v>44805</v>
      </c>
      <c r="C7" s="3002">
        <v>45169</v>
      </c>
      <c r="D7" s="3000">
        <f>581710*4</f>
        <v>2326840</v>
      </c>
      <c r="E7" s="3000">
        <v>1</v>
      </c>
      <c r="F7" s="3000">
        <f t="shared" si="0"/>
        <v>2.1</v>
      </c>
    </row>
    <row r="8" spans="1:6">
      <c r="A8" s="3000">
        <v>6</v>
      </c>
      <c r="B8" s="3003">
        <v>45170</v>
      </c>
      <c r="C8" s="3002">
        <v>45535</v>
      </c>
      <c r="D8" s="3000">
        <f>616613*4</f>
        <v>2466452</v>
      </c>
      <c r="E8" s="3000">
        <v>1</v>
      </c>
      <c r="F8" s="3000">
        <f t="shared" si="0"/>
        <v>2.23</v>
      </c>
    </row>
    <row r="9" spans="1:6">
      <c r="A9" s="3000">
        <v>7</v>
      </c>
      <c r="B9" s="3003">
        <v>45536</v>
      </c>
      <c r="C9" s="3002">
        <v>45900</v>
      </c>
      <c r="D9" s="3000">
        <f>616613*4</f>
        <v>2466452</v>
      </c>
      <c r="E9" s="3000">
        <v>1</v>
      </c>
      <c r="F9" s="3000">
        <f t="shared" si="0"/>
        <v>2.23</v>
      </c>
    </row>
    <row r="10" spans="1:6">
      <c r="A10" s="3000">
        <v>8</v>
      </c>
      <c r="B10" s="3003">
        <v>45901</v>
      </c>
      <c r="C10" s="3002">
        <v>46265</v>
      </c>
      <c r="D10" s="3000">
        <f>659776*4</f>
        <v>2639104</v>
      </c>
      <c r="E10" s="3000">
        <v>1</v>
      </c>
      <c r="F10" s="3000">
        <f t="shared" si="0"/>
        <v>2.38</v>
      </c>
    </row>
    <row r="11" spans="1:6">
      <c r="A11" s="3000">
        <v>9</v>
      </c>
      <c r="B11" s="3003">
        <v>46266</v>
      </c>
      <c r="C11" s="3002">
        <v>46630</v>
      </c>
      <c r="D11" s="3000">
        <f>659776*4</f>
        <v>2639104</v>
      </c>
      <c r="E11" s="3000">
        <v>1</v>
      </c>
      <c r="F11" s="3000">
        <f t="shared" si="0"/>
        <v>2.38</v>
      </c>
    </row>
    <row r="12" spans="1:6">
      <c r="A12" s="3000">
        <v>10</v>
      </c>
      <c r="B12" s="3003">
        <v>46631</v>
      </c>
      <c r="C12" s="3002">
        <v>46996</v>
      </c>
      <c r="D12" s="3000">
        <f>659776*4</f>
        <v>2639104</v>
      </c>
      <c r="E12" s="3000">
        <v>1</v>
      </c>
      <c r="F12" s="3000">
        <f t="shared" si="0"/>
        <v>2.38</v>
      </c>
    </row>
    <row r="13" spans="1:6">
      <c r="D13" s="3000">
        <f>SUM(D3:D12)</f>
        <v>24152016</v>
      </c>
      <c r="E13" s="3000">
        <f>SUM(E4:E12)</f>
        <v>8.93</v>
      </c>
      <c r="F13" s="3000">
        <f>ROUND(D13/365/$E$20/E13,2)</f>
        <v>2.44</v>
      </c>
    </row>
    <row r="14" spans="1:6">
      <c r="D14" s="3000">
        <f>SUM(D5:D12)+D4*E4</f>
        <v>21780853.199999999</v>
      </c>
      <c r="F14" s="3004">
        <f>ROUND(D14/365/$E$20/E13,2)</f>
        <v>2.2000000000000002</v>
      </c>
    </row>
    <row r="20" spans="3:5">
      <c r="D20" s="3001" t="s">
        <v>3174</v>
      </c>
      <c r="E20" s="3000">
        <v>3035.67</v>
      </c>
    </row>
    <row r="26" spans="3:5">
      <c r="C26" s="3001"/>
    </row>
  </sheetData>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E34" sqref="E34"/>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1635</v>
      </c>
      <c r="B2" s="3022" t="s">
        <v>1636</v>
      </c>
      <c r="C2" s="3022" t="s">
        <v>1637</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
      <c r="A3" s="3023"/>
      <c r="B3" s="3023"/>
      <c r="C3" s="3023"/>
      <c r="D3" s="1044" t="s">
        <v>1632</v>
      </c>
      <c r="E3" s="1044" t="s">
        <v>1638</v>
      </c>
      <c r="F3" s="1044" t="s">
        <v>1632</v>
      </c>
      <c r="G3" s="1044" t="s">
        <v>1633</v>
      </c>
      <c r="H3" s="1044" t="s">
        <v>1632</v>
      </c>
      <c r="I3" s="1044" t="s">
        <v>1633</v>
      </c>
    </row>
    <row r="4" spans="1:9" ht="30">
      <c r="A4" s="1972" t="str">
        <f>项目基本情况!S2</f>
        <v>北京市丰台区万兴路1号院3、4号楼商业用房房地产房地产</v>
      </c>
      <c r="B4" s="1044">
        <f>项目基本情况!C17</f>
        <v>4376.09</v>
      </c>
      <c r="C4" s="1044">
        <f>项目基本情况!C18</f>
        <v>4009</v>
      </c>
      <c r="D4" s="1044">
        <f ca="1">结果表!D118</f>
        <v>12454</v>
      </c>
      <c r="E4" s="1044">
        <f ca="1">结果表!E118</f>
        <v>28459</v>
      </c>
      <c r="F4" s="1044">
        <f ca="1">结果表!F118</f>
        <v>0</v>
      </c>
      <c r="G4" s="1044">
        <f ca="1">结果表!G118</f>
        <v>0</v>
      </c>
      <c r="H4" s="1044">
        <f ca="1">结果表!H118</f>
        <v>12454</v>
      </c>
      <c r="I4" s="1044">
        <f ca="1">结果表!I118</f>
        <v>28459</v>
      </c>
    </row>
    <row r="5" spans="1:9" ht="30" customHeight="1">
      <c r="A5" s="3023" t="s">
        <v>1634</v>
      </c>
      <c r="B5" s="3023"/>
      <c r="C5" s="3023"/>
      <c r="D5" s="3024" t="str">
        <f ca="1">结果表!D119</f>
        <v>壹亿贰仟肆佰伍拾肆万元整</v>
      </c>
      <c r="E5" s="3024"/>
      <c r="F5" s="3024" t="str">
        <f ca="1">结果表!F119</f>
        <v>零元整</v>
      </c>
      <c r="G5" s="3024"/>
      <c r="H5" s="3024" t="str">
        <f ca="1">结果表!H119</f>
        <v>壹亿贰仟肆佰伍拾肆万元整</v>
      </c>
      <c r="I5" s="3024"/>
    </row>
    <row r="6" spans="1:9" ht="15.75">
      <c r="A6" s="3025" t="str">
        <f>结果表!A120</f>
        <v>估价师知悉的法定优先受偿款</v>
      </c>
      <c r="B6" s="3025"/>
      <c r="C6" s="3025"/>
      <c r="D6" s="3025">
        <f>结果表!D120</f>
        <v>0</v>
      </c>
      <c r="E6" s="3025"/>
      <c r="F6" s="3025"/>
      <c r="G6" s="3025"/>
      <c r="H6" s="3025"/>
      <c r="I6" s="3025"/>
    </row>
    <row r="7" spans="1:9" ht="15">
      <c r="A7" s="3023" t="s">
        <v>1634</v>
      </c>
      <c r="B7" s="3023"/>
      <c r="C7" s="3023"/>
      <c r="D7" s="3026" t="str">
        <f>结果表!D121</f>
        <v>零元整</v>
      </c>
      <c r="E7" s="3027"/>
      <c r="F7" s="3027"/>
      <c r="G7" s="3027"/>
      <c r="H7" s="3027"/>
      <c r="I7" s="3028"/>
    </row>
    <row r="8" spans="1:9" ht="15.75">
      <c r="A8" s="3025" t="str">
        <f>结果表!A122</f>
        <v>房地产抵押价值</v>
      </c>
      <c r="B8" s="3025"/>
      <c r="C8" s="3025"/>
      <c r="D8" s="3025">
        <f ca="1">结果表!D122</f>
        <v>12454</v>
      </c>
      <c r="E8" s="3025"/>
      <c r="F8" s="3025"/>
      <c r="G8" s="3025"/>
      <c r="H8" s="3025"/>
      <c r="I8" s="3025"/>
    </row>
    <row r="9" spans="1:9" ht="15">
      <c r="A9" s="3023" t="s">
        <v>1634</v>
      </c>
      <c r="B9" s="3023"/>
      <c r="C9" s="3023"/>
      <c r="D9" s="3024" t="str">
        <f ca="1">结果表!D123</f>
        <v>壹亿贰仟肆佰伍拾肆万元整</v>
      </c>
      <c r="E9" s="3024"/>
      <c r="F9" s="3024"/>
      <c r="G9" s="3024"/>
      <c r="H9" s="3024"/>
      <c r="I9" s="3024"/>
    </row>
    <row r="10" spans="1:9" ht="15.75">
      <c r="A10" s="3025" t="str">
        <f>结果表!A124</f>
        <v/>
      </c>
      <c r="B10" s="3025"/>
      <c r="C10" s="3025"/>
      <c r="D10" s="3025" t="str">
        <f>结果表!D124</f>
        <v>——</v>
      </c>
      <c r="E10" s="3025"/>
      <c r="F10" s="3025"/>
      <c r="G10" s="3025"/>
      <c r="H10" s="3025"/>
      <c r="I10" s="3025"/>
    </row>
    <row r="11" spans="1:9" ht="15">
      <c r="A11" s="3023" t="s">
        <v>1634</v>
      </c>
      <c r="B11" s="3023"/>
      <c r="C11" s="3023"/>
      <c r="D11" s="3024" t="e">
        <f>结果表!D125</f>
        <v>#VALUE!</v>
      </c>
      <c r="E11" s="3024"/>
      <c r="F11" s="3024"/>
      <c r="G11" s="3024"/>
      <c r="H11" s="3024"/>
      <c r="I11" s="3024"/>
    </row>
    <row r="12" spans="1:9" ht="15.75">
      <c r="A12" s="3025" t="str">
        <f>结果表!A126</f>
        <v>抵押净值</v>
      </c>
      <c r="B12" s="3025"/>
      <c r="C12" s="3025"/>
      <c r="D12" s="3025">
        <f ca="1">结果表!D126</f>
        <v>5399</v>
      </c>
      <c r="E12" s="3025"/>
      <c r="F12" s="3025"/>
      <c r="G12" s="3025"/>
      <c r="H12" s="3025"/>
      <c r="I12" s="3025"/>
    </row>
    <row r="13" spans="1:9" ht="15.75" thickBot="1">
      <c r="A13" s="3029" t="s">
        <v>1634</v>
      </c>
      <c r="B13" s="3029"/>
      <c r="C13" s="3029"/>
      <c r="D13" s="3030" t="str">
        <f ca="1">结果表!D127</f>
        <v>伍仟叁佰玖拾玖万元整</v>
      </c>
      <c r="E13" s="3030"/>
      <c r="F13" s="3030"/>
      <c r="G13" s="3030"/>
      <c r="H13" s="3030"/>
      <c r="I13" s="3030"/>
    </row>
    <row r="14" spans="1:9" ht="15" thickTop="1">
      <c r="A14" s="3031" t="s">
        <v>1639</v>
      </c>
      <c r="B14" s="3031"/>
      <c r="C14" s="3031"/>
      <c r="D14" s="3031"/>
      <c r="E14" s="3031"/>
      <c r="F14" s="3031"/>
      <c r="G14" s="3031"/>
      <c r="H14" s="3031"/>
      <c r="I14" s="3031"/>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22"/>
  <sheetViews>
    <sheetView topLeftCell="A7" workbookViewId="0">
      <selection activeCell="G21" sqref="G21"/>
    </sheetView>
  </sheetViews>
  <sheetFormatPr defaultRowHeight="12"/>
  <cols>
    <col min="1" max="1" width="9" style="3006" customWidth="1"/>
    <col min="2" max="2" width="6.625" style="3006" customWidth="1"/>
    <col min="3" max="3" width="24.375" style="3006" customWidth="1"/>
    <col min="4" max="16384" width="9" style="3006"/>
  </cols>
  <sheetData>
    <row r="6" spans="2:7">
      <c r="B6" s="3007" t="s">
        <v>3184</v>
      </c>
      <c r="C6" s="3007" t="s">
        <v>3185</v>
      </c>
      <c r="D6" s="3007" t="s">
        <v>3194</v>
      </c>
      <c r="E6" s="3007" t="s">
        <v>3195</v>
      </c>
      <c r="F6" s="3007" t="s">
        <v>3198</v>
      </c>
      <c r="G6" s="3007" t="s">
        <v>3200</v>
      </c>
    </row>
    <row r="7" spans="2:7">
      <c r="B7" s="3007">
        <v>1</v>
      </c>
      <c r="C7" s="3007" t="s">
        <v>3186</v>
      </c>
      <c r="D7" s="3007">
        <v>1340.42</v>
      </c>
      <c r="E7" s="3007">
        <v>2</v>
      </c>
      <c r="F7" s="3007" t="s">
        <v>3199</v>
      </c>
      <c r="G7" s="3007" t="s">
        <v>3201</v>
      </c>
    </row>
    <row r="8" spans="2:7">
      <c r="B8" s="3007">
        <v>2</v>
      </c>
      <c r="C8" s="3007" t="s">
        <v>3187</v>
      </c>
      <c r="D8" s="3007">
        <v>1403.15</v>
      </c>
      <c r="E8" s="3007" t="s">
        <v>3197</v>
      </c>
      <c r="F8" s="3007" t="s">
        <v>3199</v>
      </c>
      <c r="G8" s="3007" t="s">
        <v>3199</v>
      </c>
    </row>
    <row r="9" spans="2:7">
      <c r="B9" s="3007">
        <v>3</v>
      </c>
      <c r="C9" s="3007" t="s">
        <v>3188</v>
      </c>
      <c r="D9" s="3007">
        <v>99.05</v>
      </c>
      <c r="E9" s="3007" t="s">
        <v>3197</v>
      </c>
      <c r="F9" s="3007" t="s">
        <v>3199</v>
      </c>
      <c r="G9" s="3007" t="s">
        <v>3199</v>
      </c>
    </row>
    <row r="10" spans="2:7">
      <c r="B10" s="3007">
        <v>4</v>
      </c>
      <c r="C10" s="3007" t="s">
        <v>3189</v>
      </c>
      <c r="D10" s="3007">
        <v>59.69</v>
      </c>
      <c r="E10" s="3007" t="s">
        <v>3197</v>
      </c>
      <c r="F10" s="3007" t="s">
        <v>3199</v>
      </c>
      <c r="G10" s="3007" t="s">
        <v>3199</v>
      </c>
    </row>
    <row r="11" spans="2:7">
      <c r="B11" s="3007">
        <v>5</v>
      </c>
      <c r="C11" s="3007" t="s">
        <v>3190</v>
      </c>
      <c r="D11" s="3007">
        <v>59.69</v>
      </c>
      <c r="E11" s="3007" t="s">
        <v>3197</v>
      </c>
      <c r="F11" s="3007" t="s">
        <v>3199</v>
      </c>
      <c r="G11" s="3007" t="s">
        <v>3199</v>
      </c>
    </row>
    <row r="12" spans="2:7">
      <c r="B12" s="3007">
        <v>6</v>
      </c>
      <c r="C12" s="3007" t="s">
        <v>3191</v>
      </c>
      <c r="D12" s="3007">
        <v>59.69</v>
      </c>
      <c r="E12" s="3007" t="s">
        <v>3197</v>
      </c>
      <c r="F12" s="3007" t="s">
        <v>3199</v>
      </c>
      <c r="G12" s="3007" t="s">
        <v>3199</v>
      </c>
    </row>
    <row r="13" spans="2:7">
      <c r="B13" s="3007">
        <v>7</v>
      </c>
      <c r="C13" s="3007" t="s">
        <v>3192</v>
      </c>
      <c r="D13" s="3007">
        <v>40.659999999999997</v>
      </c>
      <c r="E13" s="3007" t="s">
        <v>3197</v>
      </c>
      <c r="F13" s="3007" t="s">
        <v>3199</v>
      </c>
      <c r="G13" s="3007" t="s">
        <v>3199</v>
      </c>
    </row>
    <row r="14" spans="2:7">
      <c r="B14" s="3007">
        <v>8</v>
      </c>
      <c r="C14" s="3007" t="s">
        <v>3193</v>
      </c>
      <c r="D14" s="3007">
        <v>1313.74</v>
      </c>
      <c r="E14" s="3007" t="s">
        <v>3197</v>
      </c>
      <c r="F14" s="3007" t="s">
        <v>3199</v>
      </c>
      <c r="G14" s="3007" t="s">
        <v>3199</v>
      </c>
    </row>
    <row r="15" spans="2:7">
      <c r="B15" s="3357" t="s">
        <v>3183</v>
      </c>
      <c r="C15" s="3357"/>
      <c r="D15" s="3007">
        <f>SUM(D7:D14)</f>
        <v>4376.09</v>
      </c>
      <c r="E15" s="3007" t="s">
        <v>3196</v>
      </c>
      <c r="F15" s="3007" t="s">
        <v>3196</v>
      </c>
      <c r="G15" s="3007" t="s">
        <v>3196</v>
      </c>
    </row>
    <row r="19" spans="2:7">
      <c r="B19" s="3007" t="s">
        <v>3184</v>
      </c>
      <c r="C19" s="3007" t="s">
        <v>3185</v>
      </c>
      <c r="D19" s="3007" t="s">
        <v>3194</v>
      </c>
      <c r="E19" s="3007" t="s">
        <v>3195</v>
      </c>
      <c r="F19" s="3007" t="s">
        <v>3198</v>
      </c>
      <c r="G19" s="3007" t="s">
        <v>3200</v>
      </c>
    </row>
    <row r="20" spans="2:7">
      <c r="B20" s="3007">
        <v>1</v>
      </c>
      <c r="C20" s="3007" t="s">
        <v>3202</v>
      </c>
      <c r="D20" s="3007">
        <v>191.05</v>
      </c>
      <c r="E20" s="3007" t="s">
        <v>3204</v>
      </c>
      <c r="F20" s="3007" t="s">
        <v>3205</v>
      </c>
      <c r="G20" s="3007" t="s">
        <v>3201</v>
      </c>
    </row>
    <row r="21" spans="2:7">
      <c r="B21" s="3007">
        <v>2</v>
      </c>
      <c r="C21" s="3007" t="s">
        <v>3203</v>
      </c>
      <c r="D21" s="3007">
        <v>188.53</v>
      </c>
      <c r="E21" s="3007" t="s">
        <v>3204</v>
      </c>
      <c r="F21" s="3007" t="s">
        <v>3205</v>
      </c>
      <c r="G21" s="3007" t="s">
        <v>3201</v>
      </c>
    </row>
    <row r="22" spans="2:7">
      <c r="B22" s="3357" t="s">
        <v>3183</v>
      </c>
      <c r="C22" s="3357"/>
      <c r="D22" s="3007">
        <f>SUM(D20:D21)</f>
        <v>379.58000000000004</v>
      </c>
      <c r="E22" s="3007" t="s">
        <v>3196</v>
      </c>
      <c r="F22" s="3007" t="s">
        <v>3196</v>
      </c>
      <c r="G22" s="3007" t="s">
        <v>3196</v>
      </c>
    </row>
  </sheetData>
  <mergeCells count="2">
    <mergeCell ref="B15:C15"/>
    <mergeCell ref="B22:C22"/>
  </mergeCells>
  <phoneticPr fontId="14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2" t="s">
        <v>1656</v>
      </c>
      <c r="B1" s="3032"/>
      <c r="C1" s="3032"/>
      <c r="D1" s="3032"/>
    </row>
    <row r="2" spans="1:4" ht="18">
      <c r="A2" s="3033" t="s">
        <v>1640</v>
      </c>
      <c r="B2" s="3033"/>
      <c r="C2" s="3033"/>
      <c r="D2" s="3033"/>
    </row>
    <row r="3" spans="1:4" ht="18.75">
      <c r="A3" s="1976" t="s">
        <v>1641</v>
      </c>
      <c r="B3" s="1976" t="s">
        <v>1642</v>
      </c>
      <c r="C3" s="1976" t="s">
        <v>1643</v>
      </c>
      <c r="D3" s="1976" t="s">
        <v>1644</v>
      </c>
    </row>
    <row r="4" spans="1:4" ht="56.25" customHeight="1">
      <c r="A4" s="1977" t="str">
        <f>项目基本情况!B4</f>
        <v>吴薇</v>
      </c>
      <c r="B4" s="1978">
        <f ca="1">项目基本情况!C4</f>
        <v>1419970001</v>
      </c>
      <c r="C4" s="1979"/>
      <c r="D4" s="1980" t="s">
        <v>1645</v>
      </c>
    </row>
    <row r="5" spans="1:4" ht="56.25" customHeight="1">
      <c r="A5" s="1977" t="str">
        <f>项目基本情况!D4</f>
        <v>郑燚</v>
      </c>
      <c r="B5" s="1978">
        <f ca="1">项目基本情况!E4</f>
        <v>1120070131</v>
      </c>
      <c r="C5" s="1981"/>
      <c r="D5" s="1980" t="s">
        <v>1645</v>
      </c>
    </row>
    <row r="6" spans="1:4" ht="18">
      <c r="A6" s="3033" t="s">
        <v>1646</v>
      </c>
      <c r="B6" s="3033"/>
      <c r="C6" s="3033"/>
      <c r="D6" s="3033"/>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3034" t="s">
        <v>1649</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5" t="str">
        <f>IF(项目基本情况!B8="抵押","4.本次评估估价师所知悉的法定优先受偿款情况说明如下：","——")</f>
        <v>4.本次评估估价师所知悉的法定优先受偿款情况说明如下：</v>
      </c>
      <c r="B14" s="3036"/>
      <c r="C14" s="3036"/>
      <c r="D14" s="3036"/>
    </row>
    <row r="15" spans="1:4" ht="42" customHeight="1">
      <c r="A15" s="30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5"/>
      <c r="C15" s="3035"/>
      <c r="D15" s="3035"/>
    </row>
    <row r="16" spans="1:4" ht="30" customHeight="1">
      <c r="A16" s="3038" t="s">
        <v>1650</v>
      </c>
      <c r="B16" s="3038"/>
      <c r="C16" s="3038"/>
      <c r="D16" s="3038"/>
    </row>
    <row r="17" spans="1:4" ht="144" customHeight="1">
      <c r="A17" s="3038" t="s">
        <v>1651</v>
      </c>
      <c r="B17" s="3038"/>
      <c r="C17" s="3038"/>
      <c r="D17" s="3038"/>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1652</v>
      </c>
      <c r="B22" s="3040"/>
      <c r="C22" s="3040"/>
      <c r="D22" s="3040"/>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37">
        <v>42551</v>
      </c>
      <c r="D31" s="30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46" t="s">
        <v>1663</v>
      </c>
      <c r="B15" s="3041" t="s">
        <v>136</v>
      </c>
      <c r="C15" s="3042"/>
    </row>
    <row r="16" spans="1:7" ht="13.5">
      <c r="A16" s="3047"/>
      <c r="B16" s="3041" t="s">
        <v>69</v>
      </c>
      <c r="C16" s="3042"/>
    </row>
    <row r="17" spans="1:3" ht="13.5">
      <c r="A17" s="3047"/>
      <c r="B17" s="3044" t="s">
        <v>1664</v>
      </c>
      <c r="C17" s="1999" t="s">
        <v>1663</v>
      </c>
    </row>
    <row r="18" spans="1:3" ht="13.5">
      <c r="A18" s="3047"/>
      <c r="B18" s="3044"/>
      <c r="C18" s="1999" t="s">
        <v>1665</v>
      </c>
    </row>
    <row r="19" spans="1:3" ht="13.5">
      <c r="A19" s="3047"/>
      <c r="B19" s="3044"/>
      <c r="C19" s="1999" t="s">
        <v>1666</v>
      </c>
    </row>
    <row r="20" spans="1:3" ht="13.5">
      <c r="A20" s="3048"/>
      <c r="B20" s="3043" t="s">
        <v>1667</v>
      </c>
      <c r="C20" s="3042"/>
    </row>
    <row r="21" spans="1:3" ht="13.5">
      <c r="A21" s="2000" t="s">
        <v>1668</v>
      </c>
      <c r="B21" s="2001"/>
      <c r="C21" s="2002"/>
    </row>
    <row r="22" spans="1:3" ht="13.5">
      <c r="A22" s="3045" t="s">
        <v>1669</v>
      </c>
      <c r="B22" s="3043" t="s">
        <v>1670</v>
      </c>
      <c r="C22" s="3042"/>
    </row>
    <row r="23" spans="1:3" ht="13.5">
      <c r="A23" s="3045"/>
      <c r="B23" s="3043" t="s">
        <v>1671</v>
      </c>
      <c r="C23" s="3042"/>
    </row>
    <row r="24" spans="1:3" ht="13.5">
      <c r="A24" s="3045"/>
      <c r="B24" s="3043" t="s">
        <v>1672</v>
      </c>
      <c r="C24" s="3042"/>
    </row>
    <row r="25" spans="1:3" ht="13.5">
      <c r="A25" s="3045"/>
      <c r="B25" s="3044" t="s">
        <v>1673</v>
      </c>
      <c r="C25" s="1999" t="s">
        <v>1674</v>
      </c>
    </row>
    <row r="26" spans="1:3" ht="13.5">
      <c r="A26" s="3045"/>
      <c r="B26" s="3044"/>
      <c r="C26" s="1999" t="s">
        <v>1675</v>
      </c>
    </row>
    <row r="27" spans="1:3" ht="13.5">
      <c r="A27" s="3045"/>
      <c r="B27" s="3044"/>
      <c r="C27" s="1999" t="s">
        <v>1676</v>
      </c>
    </row>
    <row r="28" spans="1:3" ht="13.5">
      <c r="A28" s="3045"/>
      <c r="B28" s="3044"/>
      <c r="C28" s="1999" t="s">
        <v>1677</v>
      </c>
    </row>
    <row r="29" spans="1:3" ht="13.5">
      <c r="A29" s="3045"/>
      <c r="B29" s="3044"/>
      <c r="C29" s="1999" t="s">
        <v>1678</v>
      </c>
    </row>
    <row r="30" spans="1:3" ht="13.5">
      <c r="A30" s="3045"/>
      <c r="B30" s="3044"/>
      <c r="C30" s="1999" t="s">
        <v>1679</v>
      </c>
    </row>
    <row r="31" spans="1:3" ht="13.5">
      <c r="A31" s="3045"/>
      <c r="B31" s="3044"/>
      <c r="C31" s="1999" t="s">
        <v>1680</v>
      </c>
    </row>
    <row r="32" spans="1:3" ht="13.5">
      <c r="A32" s="3045"/>
      <c r="B32" s="3044"/>
      <c r="C32" s="1999" t="s">
        <v>1681</v>
      </c>
    </row>
    <row r="33" spans="1:3" ht="13.5">
      <c r="A33" s="3045"/>
      <c r="B33" s="3044"/>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43735</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3040</v>
      </c>
      <c r="B14" s="1022">
        <f ca="1">IF(C14&lt;B2,"已过期",1120040230)</f>
        <v>1120040230</v>
      </c>
      <c r="C14" s="2345">
        <v>43835</v>
      </c>
      <c r="D14" s="2348" t="s">
        <v>3040</v>
      </c>
      <c r="E14" s="1022">
        <f ca="1">IF(F14&lt;B2,"已过期",98030020)</f>
        <v>98030020</v>
      </c>
      <c r="F14" s="1030">
        <v>47118</v>
      </c>
    </row>
    <row r="15" spans="1:6" ht="24" customHeight="1">
      <c r="A15" s="1703" t="s">
        <v>3041</v>
      </c>
      <c r="B15" s="1022">
        <f ca="1">IF(C15&lt;B2,"已过期",1120070085)</f>
        <v>1120070085</v>
      </c>
      <c r="C15" s="2345">
        <v>43814</v>
      </c>
      <c r="D15" s="2349" t="s">
        <v>3041</v>
      </c>
      <c r="E15" s="1022">
        <f ca="1">IF(F15&lt;B2,"已过期",2004110128)</f>
        <v>2004110128</v>
      </c>
      <c r="F15" s="1023">
        <v>47118</v>
      </c>
    </row>
    <row r="16" spans="1:6" ht="24" customHeight="1">
      <c r="A16" s="1702" t="s">
        <v>3042</v>
      </c>
      <c r="B16" s="1022">
        <f ca="1">IF(C16&lt;B2,"已过期",1120140022)</f>
        <v>1120140022</v>
      </c>
      <c r="C16" s="2928">
        <v>44029</v>
      </c>
      <c r="D16" s="2348" t="s">
        <v>3042</v>
      </c>
      <c r="E16" s="1022">
        <f ca="1">IF(F16&lt;B2,"已过期",2008110059)</f>
        <v>2008110059</v>
      </c>
      <c r="F16" s="1030">
        <v>47177</v>
      </c>
    </row>
    <row r="17" spans="1:7" ht="24" customHeight="1">
      <c r="A17" s="1702"/>
      <c r="B17" s="1022"/>
      <c r="C17" s="2345"/>
      <c r="D17" s="2348" t="s">
        <v>3043</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49" t="s">
        <v>843</v>
      </c>
      <c r="B25" s="3049"/>
      <c r="C25" s="3049"/>
      <c r="D25" s="3049"/>
      <c r="E25" s="3049"/>
      <c r="F25" s="3049"/>
      <c r="G25" s="3049"/>
    </row>
    <row r="26" spans="1:7" s="1025" customFormat="1" ht="24" customHeight="1">
      <c r="A26" s="3050" t="s">
        <v>844</v>
      </c>
      <c r="B26" s="3050"/>
      <c r="C26" s="3051"/>
      <c r="D26" s="3052" t="s">
        <v>845</v>
      </c>
      <c r="E26" s="3050"/>
      <c r="F26" s="3050"/>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3047</v>
      </c>
      <c r="F29" s="1203">
        <v>43646</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(3号楼)</vt:lpstr>
      <vt:lpstr>成本法</vt:lpstr>
      <vt:lpstr>成本法 (元)</vt:lpstr>
      <vt:lpstr>假设开发法</vt:lpstr>
      <vt:lpstr>收益法（3号楼）</vt:lpstr>
      <vt:lpstr>收益法 (元)</vt:lpstr>
      <vt:lpstr>酒店收入计算</vt:lpstr>
      <vt:lpstr>比较法-住宅</vt:lpstr>
      <vt:lpstr>收益法 (4号楼)</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vt:lpstr>
      <vt:lpstr>成本法（废）</vt:lpstr>
      <vt:lpstr>区片价</vt:lpstr>
      <vt:lpstr>因素修正幅度</vt:lpstr>
      <vt:lpstr>存贷款利率</vt:lpstr>
      <vt:lpstr>区片价（范围）</vt:lpstr>
      <vt:lpstr>租约</vt:lpstr>
      <vt:lpstr>Sheet2</vt:lpstr>
      <vt:lpstr>清单</vt:lpstr>
      <vt:lpstr>估价师及机构信息!Print_Area</vt:lpstr>
      <vt:lpstr>'收益法 (4号楼)'!Print_Area</vt:lpstr>
      <vt:lpstr>'收益法 (元)'!Print_Area</vt:lpstr>
      <vt:lpstr>'收益法（3号楼）'!Print_Area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2019-09-27T11:36:37Z</dcterms:modified>
</cp:coreProperties>
</file>