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3号楼)" sheetId="79" state="hidden" r:id="rId19"/>
    <sheet name="成本法" sheetId="68" state="hidden" r:id="rId20"/>
    <sheet name="成本法 (元)" sheetId="69" state="hidden" r:id="rId21"/>
    <sheet name="假设开发法" sheetId="12" state="hidden" r:id="rId22"/>
    <sheet name="结果表 (2)" sheetId="84" r:id="rId23"/>
    <sheet name="比较法-商业" sheetId="33" r:id="rId24"/>
    <sheet name="收益法（3号楼）" sheetId="15" r:id="rId25"/>
    <sheet name="收益法 (元)" sheetId="67" state="hidden" r:id="rId26"/>
    <sheet name="酒店收入计算" sheetId="66" state="hidden" r:id="rId27"/>
    <sheet name="比较法-住宅" sheetId="21" state="hidden" r:id="rId28"/>
    <sheet name="比较法-商业 (2)" sheetId="83" r:id="rId29"/>
    <sheet name="典型户型修正" sheetId="31" r:id="rId30"/>
    <sheet name="收益法 (4号楼)" sheetId="81"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面积" sheetId="77"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约" sheetId="80" r:id="rId50"/>
    <sheet name="Sheet2" sheetId="78" r:id="rId51"/>
    <sheet name="清单" sheetId="82"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28" hidden="1">'比较法-商业 (2)'!$A$1:$L$49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(4号楼)'!$A$1:$AK$69</definedName>
    <definedName name="_xlnm.Print_Area" localSheetId="25">'收益法 (元)'!$A$1:$AK$69</definedName>
    <definedName name="_xlnm.Print_Area" localSheetId="24">'收益法（3号楼）'!$A$1:$AK$69</definedName>
    <definedName name="_xlnm.Print_Area" localSheetId="13">'数据-汇总表'!$A$1:$P$32</definedName>
    <definedName name="八级">区片价!$O$1:$O$40</definedName>
    <definedName name="办公层高" localSheetId="43">'[1]比较法-办公'!$B$119:$M$119</definedName>
    <definedName name="办公层高">'比较法-办公'!$B$119:$M$119</definedName>
    <definedName name="办公朝向" localSheetId="43">'[1]比较法-办公'!$B$91:$M$91</definedName>
    <definedName name="办公朝向">'比较法-办公'!$B$91:$M$91</definedName>
    <definedName name="办公道路级别" localSheetId="43">'[1]比较法-办公'!$B$87:$M$87</definedName>
    <definedName name="办公道路级别">'比较法-办公'!$B$87:$M$87</definedName>
    <definedName name="办公公共部分装修" localSheetId="43">'[1]比较法-办公'!$B$108:$M$108</definedName>
    <definedName name="办公公共部分装修">'比较法-办公'!$B$108:$M$108</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'比较法-办公'!$B$106:$M$106</definedName>
    <definedName name="办公建筑类型" localSheetId="43">'[1]比较法-办公'!$B$101:$M$101</definedName>
    <definedName name="办公建筑类型">'比较法-办公'!$B$101:$M$101</definedName>
    <definedName name="办公交易情况" localSheetId="43">'[1]比较法-办公'!$A$62:$M$62</definedName>
    <definedName name="办公交易情况">'比较法-办公'!$A$62:$M$62</definedName>
    <definedName name="办公楼层" localSheetId="43">'[1]比较法-办公'!$B$89:$M$89</definedName>
    <definedName name="办公楼层">'比较法-办公'!$B$89:$M$89</definedName>
    <definedName name="办公内部装修" localSheetId="43">'[1]比较法-办公'!$B$123:$M$123</definedName>
    <definedName name="办公内部装修">'比较法-办公'!$B$123:$M$123</definedName>
    <definedName name="办公物业管理" localSheetId="43">'[1]比较法-办公'!$B$115:$M$115</definedName>
    <definedName name="办公物业管理">'比较法-办公'!$B$115:$M$115</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28">'比较法-商业 (2)'!$B$116:$M$116</definedName>
    <definedName name="商业层高" localSheetId="43">'[1]比较法-商业'!$B$116:$M$116</definedName>
    <definedName name="商业层高">'比较法-商业'!$B$116:$M$116</definedName>
    <definedName name="商业成新度" localSheetId="28">'比较法-商业 (2)'!$B$109:$M$109</definedName>
    <definedName name="商业成新度">'比较法-商业'!$B$109:$M$109</definedName>
    <definedName name="商业繁华度" localSheetId="43">[1]定义!$L$1:$L$6</definedName>
    <definedName name="商业繁华度">定义!$L$1:$L$6</definedName>
    <definedName name="商业公共部分装修" localSheetId="28">'比较法-商业 (2)'!$B$107:$M$107</definedName>
    <definedName name="商业公共部分装修" localSheetId="43">'[1]比较法-商业'!$B$107:$M$107</definedName>
    <definedName name="商业公共部分装修">'比较法-商业'!$B$107:$M$107</definedName>
    <definedName name="商业基础设施水平" localSheetId="28">'比较法-商业 (2)'!$B$112:$M$112</definedName>
    <definedName name="商业基础设施水平" localSheetId="43">'[1]比较法-商业'!$B$112:$M$112</definedName>
    <definedName name="商业基础设施水平">'比较法-商业'!$B$112:$M$112</definedName>
    <definedName name="商业建筑结构" localSheetId="28">'比较法-商业 (2)'!$B$105:$M$105</definedName>
    <definedName name="商业建筑结构" localSheetId="43">'[1]比较法-商业'!$B$105:$M$105</definedName>
    <definedName name="商业建筑结构">'比较法-商业'!$B$105:$M$105</definedName>
    <definedName name="商业交易情况" localSheetId="28">'比较法-商业 (2)'!$A$61:$M$61</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28">'比较法-商业 (2)'!$B$120:$M$120</definedName>
    <definedName name="商业进深比" localSheetId="43">'[1]比较法-商业'!$B$120:$M$120</definedName>
    <definedName name="商业进深比">'比较法-商业'!$B$120:$M$120</definedName>
    <definedName name="商业类型" localSheetId="28">'比较法-商业 (2)'!$B$100:$M$100</definedName>
    <definedName name="商业类型" localSheetId="43">'[1]比较法-商业'!$B$100:$M$100</definedName>
    <definedName name="商业类型">'比较法-商业'!$B$100:$M$100</definedName>
    <definedName name="商业临街状况" localSheetId="28">'比较法-商业 (2)'!$B$86:$M$86</definedName>
    <definedName name="商业临街状况" localSheetId="43">'[1]比较法-商业'!$B$86:$M$86</definedName>
    <definedName name="商业临街状况">'比较法-商业'!$B$86:$M$86</definedName>
    <definedName name="商业楼层" localSheetId="28">'比较法-商业 (2)'!$B$92:$M$92</definedName>
    <definedName name="商业楼层" localSheetId="43">'[1]比较法-商业'!$B$92:$M$92</definedName>
    <definedName name="商业楼层">'比较法-商业'!$B$92:$M$92</definedName>
    <definedName name="商业内部装修" localSheetId="28">'比较法-商业 (2)'!$B$122:$M$122</definedName>
    <definedName name="商业内部装修" localSheetId="43">'[1]比较法-商业'!$B$122:$M$122</definedName>
    <definedName name="商业内部装修">'比较法-商业'!$B$122:$M$122</definedName>
    <definedName name="商业人流量" localSheetId="28">'比较法-商业 (2)'!$B$90:$M$90</definedName>
    <definedName name="商业人流量" localSheetId="43">'[1]比较法-商业'!$B$90:$M$90</definedName>
    <definedName name="商业人流量">'比较法-商业'!$B$90:$M$90</definedName>
    <definedName name="商业业态" localSheetId="28">'比较法-商业 (2)'!$B$114:$M$114</definedName>
    <definedName name="商业业态" localSheetId="43">'[1]比较法-商业'!$B$114:$M$114</definedName>
    <definedName name="商业业态">'比较法-商业'!$B$114:$M$114</definedName>
    <definedName name="商业用途" localSheetId="28">'比较法-商业 (2)'!$B$63:$M$63</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'[1]比较法-办公'!$B$113:$M$113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4" i="80"/>
  <c r="C33" i="83"/>
  <c r="A120" i="84"/>
  <c r="A118" i="84"/>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B130" i="83"/>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H66" i="83"/>
  <c r="I66" i="83" s="1"/>
  <c r="G66" i="83"/>
  <c r="C63" i="83"/>
  <c r="I54" i="83"/>
  <c r="J54" i="83" s="1"/>
  <c r="G54" i="83"/>
  <c r="H54" i="83" s="1"/>
  <c r="E54" i="83"/>
  <c r="F54" i="83" s="1"/>
  <c r="P49" i="83"/>
  <c r="P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N36" i="83"/>
  <c r="J36" i="83"/>
  <c r="AC36" i="83" s="1"/>
  <c r="F36" i="83"/>
  <c r="AA36" i="83" s="1"/>
  <c r="C36" i="83"/>
  <c r="H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H21" i="83"/>
  <c r="AB21" i="83" s="1"/>
  <c r="F21" i="83"/>
  <c r="C21" i="83"/>
  <c r="AC19" i="83"/>
  <c r="W19" i="83"/>
  <c r="Q19" i="83"/>
  <c r="Z19" i="83" s="1"/>
  <c r="J19" i="83"/>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E7" i="83"/>
  <c r="F7" i="83" s="1"/>
  <c r="C7" i="83"/>
  <c r="C58" i="83" s="1"/>
  <c r="D58" i="83" s="1"/>
  <c r="E58" i="83" s="1"/>
  <c r="F58" i="83" s="1"/>
  <c r="G58" i="83" s="1"/>
  <c r="H58" i="83" s="1"/>
  <c r="I58" i="83" s="1"/>
  <c r="J58" i="83" s="1"/>
  <c r="K58" i="83" s="1"/>
  <c r="L58" i="83" s="1"/>
  <c r="M58" i="83" s="1"/>
  <c r="N58" i="83" s="1"/>
  <c r="O58" i="83" s="1"/>
  <c r="D3" i="83"/>
  <c r="C92" i="84" l="1"/>
  <c r="C94" i="84"/>
  <c r="K120" i="84"/>
  <c r="D121" i="84"/>
  <c r="H109" i="84"/>
  <c r="AA7" i="83"/>
  <c r="S7" i="83"/>
  <c r="G7" i="83"/>
  <c r="AA8" i="83"/>
  <c r="AC8" i="83"/>
  <c r="U9" i="83"/>
  <c r="S10" i="83"/>
  <c r="W10" i="83"/>
  <c r="U11" i="83"/>
  <c r="S12" i="83"/>
  <c r="W12" i="83"/>
  <c r="U13" i="83"/>
  <c r="S14" i="83"/>
  <c r="W14" i="83"/>
  <c r="S15" i="83"/>
  <c r="W15" i="83"/>
  <c r="S17" i="83"/>
  <c r="AA21" i="83"/>
  <c r="S21" i="83"/>
  <c r="AC21" i="83"/>
  <c r="W21" i="83"/>
  <c r="S9" i="83"/>
  <c r="W9" i="83"/>
  <c r="U10" i="83"/>
  <c r="S11" i="83"/>
  <c r="W11" i="83"/>
  <c r="U12" i="83"/>
  <c r="S13" i="83"/>
  <c r="W13" i="83"/>
  <c r="U14" i="83"/>
  <c r="U15" i="83"/>
  <c r="W17" i="83"/>
  <c r="S19" i="83"/>
  <c r="AB36" i="83"/>
  <c r="U36" i="83"/>
  <c r="U17" i="83"/>
  <c r="U19" i="83"/>
  <c r="U21" i="83"/>
  <c r="U23" i="83"/>
  <c r="S25" i="83"/>
  <c r="W25" i="83"/>
  <c r="U26" i="83"/>
  <c r="S27" i="83"/>
  <c r="W27" i="83"/>
  <c r="U28" i="83"/>
  <c r="S29" i="83"/>
  <c r="W29" i="83"/>
  <c r="U30" i="83"/>
  <c r="S31" i="83"/>
  <c r="W31" i="83"/>
  <c r="U32" i="83"/>
  <c r="S34" i="83"/>
  <c r="W34" i="83"/>
  <c r="U35" i="83"/>
  <c r="S36" i="83"/>
  <c r="W36" i="83"/>
  <c r="U37" i="83"/>
  <c r="S38" i="83"/>
  <c r="W38" i="83"/>
  <c r="U39" i="83"/>
  <c r="S40" i="83"/>
  <c r="W40" i="83"/>
  <c r="U41" i="83"/>
  <c r="S42" i="83"/>
  <c r="W42" i="83"/>
  <c r="U43" i="83"/>
  <c r="S44" i="83"/>
  <c r="W44" i="83"/>
  <c r="U45" i="83"/>
  <c r="S46" i="83"/>
  <c r="S23" i="83"/>
  <c r="W23" i="83"/>
  <c r="U25" i="83"/>
  <c r="S26" i="83"/>
  <c r="W26" i="83"/>
  <c r="U27" i="83"/>
  <c r="S28" i="83"/>
  <c r="W28" i="83"/>
  <c r="U29" i="83"/>
  <c r="S30" i="83"/>
  <c r="W30" i="83"/>
  <c r="U31" i="83"/>
  <c r="S32" i="83"/>
  <c r="W32" i="83"/>
  <c r="U34" i="83"/>
  <c r="S35" i="83"/>
  <c r="W35" i="83"/>
  <c r="S37" i="83"/>
  <c r="W37" i="83"/>
  <c r="U38" i="83"/>
  <c r="S39" i="83"/>
  <c r="W39" i="83"/>
  <c r="U40" i="83"/>
  <c r="S41" i="83"/>
  <c r="W41" i="83"/>
  <c r="U42" i="83"/>
  <c r="S43" i="83"/>
  <c r="W43" i="83"/>
  <c r="U44" i="83"/>
  <c r="S45" i="83"/>
  <c r="W45" i="83"/>
  <c r="W46" i="83"/>
  <c r="U46" i="83"/>
  <c r="D22" i="82"/>
  <c r="D15" i="82"/>
  <c r="D124" i="84" l="1"/>
  <c r="D125" i="84" s="1"/>
  <c r="H110" i="84"/>
  <c r="H7" i="83"/>
  <c r="I7" i="83"/>
  <c r="J7" i="83" s="1"/>
  <c r="N20" i="1"/>
  <c r="AD7" i="1" s="1"/>
  <c r="N19" i="1"/>
  <c r="AM7" i="1"/>
  <c r="AL7" i="1"/>
  <c r="AK7" i="1"/>
  <c r="AB7" i="1"/>
  <c r="AA7" i="1"/>
  <c r="F70" i="81"/>
  <c r="AC7" i="83" l="1"/>
  <c r="W7" i="83"/>
  <c r="U7" i="83"/>
  <c r="AB7" i="83"/>
  <c r="Q72" i="81"/>
  <c r="Q59" i="81"/>
  <c r="K59" i="81"/>
  <c r="P74" i="81" s="1"/>
  <c r="F59" i="81"/>
  <c r="Q58" i="81"/>
  <c r="Q51" i="81"/>
  <c r="J50" i="81"/>
  <c r="M47" i="81"/>
  <c r="D46" i="81"/>
  <c r="F33" i="81"/>
  <c r="F61" i="81" s="1"/>
  <c r="F31" i="81"/>
  <c r="F23" i="81"/>
  <c r="F21" i="81"/>
  <c r="F20" i="81"/>
  <c r="M19" i="81"/>
  <c r="F18" i="81"/>
  <c r="M17" i="81"/>
  <c r="F17" i="81"/>
  <c r="F15" i="81"/>
  <c r="D23" i="81" l="1"/>
  <c r="D22" i="81"/>
  <c r="D24" i="81"/>
  <c r="P61" i="81"/>
  <c r="F8" i="80"/>
  <c r="F11" i="80"/>
  <c r="F12" i="80"/>
  <c r="E13" i="80"/>
  <c r="D12" i="80"/>
  <c r="D11" i="80"/>
  <c r="D10" i="80"/>
  <c r="F10" i="80" s="1"/>
  <c r="D9" i="80"/>
  <c r="F9" i="80" s="1"/>
  <c r="D3" i="80"/>
  <c r="D8" i="80"/>
  <c r="D7" i="80"/>
  <c r="F7" i="80" s="1"/>
  <c r="D6" i="80"/>
  <c r="F6" i="80" s="1"/>
  <c r="D5" i="80"/>
  <c r="F5" i="80" s="1"/>
  <c r="D4" i="80"/>
  <c r="D13" i="80" l="1"/>
  <c r="F13" i="80" s="1"/>
  <c r="F14" i="80"/>
  <c r="U7" i="1" s="1"/>
  <c r="F4" i="80"/>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D35" i="79"/>
  <c r="D34" i="79"/>
  <c r="C18" i="79" l="1"/>
  <c r="D18" i="79" s="1"/>
  <c r="C92" i="79"/>
  <c r="C94" i="79"/>
  <c r="K120" i="79"/>
  <c r="D121" i="79"/>
  <c r="H109" i="79"/>
  <c r="D124" i="79" l="1"/>
  <c r="D125" i="79" s="1"/>
  <c r="H110" i="79"/>
  <c r="N36" i="33" l="1"/>
  <c r="D4" i="31"/>
  <c r="E4" i="31"/>
  <c r="F4" i="31"/>
  <c r="G4" i="31"/>
  <c r="C4" i="31"/>
  <c r="D3" i="31"/>
  <c r="E3" i="31"/>
  <c r="F3" i="31"/>
  <c r="G3" i="31"/>
  <c r="C3" i="31"/>
  <c r="Q7" i="1" l="1"/>
  <c r="N7" i="1"/>
  <c r="Y7" i="1" s="1"/>
  <c r="N6" i="1"/>
  <c r="Y6" i="1" s="1"/>
  <c r="C36" i="33" s="1"/>
  <c r="L7" i="1"/>
  <c r="J7" i="1" l="1"/>
  <c r="I7" i="1"/>
  <c r="H7" i="1"/>
  <c r="C20" i="6"/>
  <c r="C19" i="6"/>
  <c r="A3" i="3"/>
  <c r="J14" i="77"/>
  <c r="E14" i="77"/>
  <c r="J13" i="77"/>
  <c r="I13" i="3" s="1"/>
  <c r="E13" i="77"/>
  <c r="K12" i="77"/>
  <c r="E12" i="77"/>
  <c r="K11" i="77"/>
  <c r="E11" i="77"/>
  <c r="G10" i="77"/>
  <c r="F10" i="77" s="1"/>
  <c r="E10" i="77" s="1"/>
  <c r="G9" i="77"/>
  <c r="F9" i="77" s="1"/>
  <c r="E9" i="77" s="1"/>
  <c r="G8" i="77"/>
  <c r="F8" i="77"/>
  <c r="E8" i="77" s="1"/>
  <c r="G7" i="77"/>
  <c r="F7" i="77" s="1"/>
  <c r="E7" i="77" s="1"/>
  <c r="G6" i="77"/>
  <c r="F6" i="77" s="1"/>
  <c r="E6" i="77" s="1"/>
  <c r="G5" i="77"/>
  <c r="F5" i="77" s="1"/>
  <c r="E5" i="77" s="1"/>
  <c r="C33" i="33" l="1"/>
  <c r="F19" i="6"/>
  <c r="K14" i="3"/>
  <c r="G20" i="6" s="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AB8" i="71" s="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B11" i="71" s="1"/>
  <c r="B10" i="71" s="1"/>
  <c r="B9" i="71" s="1"/>
  <c r="B8" i="71" s="1"/>
  <c r="B7" i="71" s="1"/>
  <c r="Q11" i="71"/>
  <c r="F11" i="71" s="1"/>
  <c r="F10" i="71" s="1"/>
  <c r="F9" i="71" s="1"/>
  <c r="P11" i="71"/>
  <c r="O11" i="71"/>
  <c r="Q12" i="71"/>
  <c r="P12" i="71"/>
  <c r="E11" i="71"/>
  <c r="O12" i="71"/>
  <c r="N12" i="71"/>
  <c r="X8" i="71" s="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3" i="71"/>
  <c r="P13" i="71"/>
  <c r="O13" i="71"/>
  <c r="Y8" i="71" s="1"/>
  <c r="Z8" i="71" s="1"/>
  <c r="N13"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4" i="71"/>
  <c r="P14" i="71"/>
  <c r="Q14" i="71"/>
  <c r="AB13" i="71" s="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c r="B74" i="72"/>
  <c r="Y12" i="43"/>
  <c r="Y10" i="43"/>
  <c r="AJ9" i="43"/>
  <c r="AJ12" i="43"/>
  <c r="AI9" i="43"/>
  <c r="AI12" i="43" s="1"/>
  <c r="AH9" i="43"/>
  <c r="AH10" i="43" s="1"/>
  <c r="AG9" i="43"/>
  <c r="AG12" i="43" s="1"/>
  <c r="AF9" i="43"/>
  <c r="AF12" i="43"/>
  <c r="AE9" i="43"/>
  <c r="AE12" i="43" s="1"/>
  <c r="AD9" i="43"/>
  <c r="AD12" i="43" s="1"/>
  <c r="AC9" i="43"/>
  <c r="AB9" i="43"/>
  <c r="AB12" i="43"/>
  <c r="AA9" i="43"/>
  <c r="AA12" i="43" s="1"/>
  <c r="Z9" i="43"/>
  <c r="Z10" i="43" s="1"/>
  <c r="AA10" i="43"/>
  <c r="AG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A18" i="51"/>
  <c r="B13" i="72" s="1"/>
  <c r="C8" i="68"/>
  <c r="B49" i="48"/>
  <c r="B5" i="72" s="1"/>
  <c r="I19" i="43"/>
  <c r="D76" i="71"/>
  <c r="F75" i="71"/>
  <c r="F74" i="71" s="1"/>
  <c r="F73" i="71" s="1"/>
  <c r="E75" i="71"/>
  <c r="E74" i="71"/>
  <c r="E73" i="71" s="1"/>
  <c r="C75" i="71"/>
  <c r="D75" i="71" s="1"/>
  <c r="B75" i="71"/>
  <c r="B74" i="71" s="1"/>
  <c r="B73" i="71"/>
  <c r="D72" i="71"/>
  <c r="F71" i="71"/>
  <c r="E71" i="71"/>
  <c r="E70" i="71"/>
  <c r="E69" i="71" s="1"/>
  <c r="C71" i="71"/>
  <c r="D71" i="71" s="1"/>
  <c r="B71" i="71"/>
  <c r="B70" i="71" s="1"/>
  <c r="F70" i="71"/>
  <c r="F69" i="71" s="1"/>
  <c r="B69"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Q63" i="71"/>
  <c r="P63" i="71"/>
  <c r="O63" i="71"/>
  <c r="N63" i="71"/>
  <c r="F63" i="71"/>
  <c r="V63" i="71"/>
  <c r="E63" i="71"/>
  <c r="U63" i="71" s="1"/>
  <c r="C63" i="71"/>
  <c r="T63" i="71"/>
  <c r="B63" i="71"/>
  <c r="S63" i="71" s="1"/>
  <c r="Q62" i="71"/>
  <c r="P62" i="71"/>
  <c r="O62" i="71"/>
  <c r="N62" i="71"/>
  <c r="F62" i="71"/>
  <c r="F61" i="71"/>
  <c r="B62" i="71"/>
  <c r="B61" i="71" s="1"/>
  <c r="Q61" i="71"/>
  <c r="P61" i="71"/>
  <c r="O61" i="71"/>
  <c r="N61" i="71"/>
  <c r="Q60" i="71"/>
  <c r="P60" i="71"/>
  <c r="O60" i="71"/>
  <c r="N60" i="71"/>
  <c r="D60" i="71"/>
  <c r="Q59" i="71"/>
  <c r="P59" i="71"/>
  <c r="O59" i="71"/>
  <c r="N59" i="71"/>
  <c r="F59" i="71"/>
  <c r="V59" i="71"/>
  <c r="E59" i="71"/>
  <c r="U59" i="71" s="1"/>
  <c r="C59" i="71"/>
  <c r="T59" i="71" s="1"/>
  <c r="B59" i="71"/>
  <c r="S59" i="71" s="1"/>
  <c r="Q58" i="71"/>
  <c r="P58" i="71"/>
  <c r="O58" i="71"/>
  <c r="N58" i="71"/>
  <c r="F58" i="71"/>
  <c r="F57" i="71" s="1"/>
  <c r="Q57" i="71"/>
  <c r="P57" i="71"/>
  <c r="O57" i="71"/>
  <c r="N57" i="71"/>
  <c r="Q56" i="71"/>
  <c r="P56" i="71"/>
  <c r="O56" i="71"/>
  <c r="N56" i="71"/>
  <c r="D56" i="71"/>
  <c r="F55" i="71"/>
  <c r="V55" i="71" s="1"/>
  <c r="E55" i="71"/>
  <c r="P55" i="71"/>
  <c r="C55" i="71"/>
  <c r="D55" i="71" s="1"/>
  <c r="B55" i="7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c r="E46" i="71" s="1"/>
  <c r="E47" i="71" s="1"/>
  <c r="U47" i="71" s="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s="1"/>
  <c r="O26" i="71"/>
  <c r="Y26" i="71"/>
  <c r="Z26" i="71" s="1"/>
  <c r="N26" i="71"/>
  <c r="X26" i="71" s="1"/>
  <c r="Q25" i="71"/>
  <c r="AB25" i="71"/>
  <c r="P25" i="71"/>
  <c r="AA25" i="71" s="1"/>
  <c r="O25" i="71"/>
  <c r="Y25" i="71"/>
  <c r="Z25" i="71"/>
  <c r="N25" i="71"/>
  <c r="Q24" i="71"/>
  <c r="F25" i="71" s="1"/>
  <c r="F26" i="71" s="1"/>
  <c r="F27" i="71" s="1"/>
  <c r="V27" i="71" s="1"/>
  <c r="P24" i="71"/>
  <c r="O24" i="71"/>
  <c r="Y24" i="71" s="1"/>
  <c r="N24" i="71"/>
  <c r="X24" i="71" s="1"/>
  <c r="D24" i="71"/>
  <c r="Q23" i="71"/>
  <c r="AB23" i="71" s="1"/>
  <c r="P23" i="71"/>
  <c r="O23" i="71"/>
  <c r="Y23" i="71"/>
  <c r="Z23" i="71" s="1"/>
  <c r="N23" i="71"/>
  <c r="X22" i="71" s="1"/>
  <c r="Q22" i="71"/>
  <c r="P22" i="71"/>
  <c r="O22" i="71"/>
  <c r="Y22" i="71" s="1"/>
  <c r="Z22" i="71" s="1"/>
  <c r="N22" i="71"/>
  <c r="Q21" i="71"/>
  <c r="P21" i="71"/>
  <c r="AA21" i="71" s="1"/>
  <c r="O21" i="71"/>
  <c r="Y21" i="71" s="1"/>
  <c r="Z21" i="71" s="1"/>
  <c r="N21" i="71"/>
  <c r="F21" i="71"/>
  <c r="F22" i="71" s="1"/>
  <c r="F23" i="71" s="1"/>
  <c r="V23" i="71" s="1"/>
  <c r="Q20" i="71"/>
  <c r="P20" i="71"/>
  <c r="AA18" i="71" s="1"/>
  <c r="O20" i="71"/>
  <c r="N20" i="71"/>
  <c r="D20" i="71"/>
  <c r="Q19" i="71"/>
  <c r="AB19" i="71" s="1"/>
  <c r="P19" i="71"/>
  <c r="AA19" i="71" s="1"/>
  <c r="O19" i="71"/>
  <c r="Y19" i="71" s="1"/>
  <c r="Z19" i="71" s="1"/>
  <c r="N19" i="71"/>
  <c r="X18" i="71" s="1"/>
  <c r="Q18" i="71"/>
  <c r="AB18" i="71" s="1"/>
  <c r="P18" i="71"/>
  <c r="O18" i="71"/>
  <c r="Y18" i="71" s="1"/>
  <c r="Z18" i="71" s="1"/>
  <c r="N18" i="71"/>
  <c r="Q17" i="71"/>
  <c r="AB17" i="71" s="1"/>
  <c r="P17" i="71"/>
  <c r="O17" i="71"/>
  <c r="Y17" i="71"/>
  <c r="Z17" i="71" s="1"/>
  <c r="N17" i="71"/>
  <c r="X17" i="71" s="1"/>
  <c r="Q16" i="71"/>
  <c r="F17" i="71" s="1"/>
  <c r="F18" i="71" s="1"/>
  <c r="F19" i="71" s="1"/>
  <c r="V19" i="71" s="1"/>
  <c r="P16" i="71"/>
  <c r="O16" i="71"/>
  <c r="Y16" i="71" s="1"/>
  <c r="Z16" i="71" s="1"/>
  <c r="N16" i="71"/>
  <c r="D16" i="71"/>
  <c r="O15" i="71"/>
  <c r="C15" i="71" s="1"/>
  <c r="N15" i="71"/>
  <c r="X12" i="71" s="1"/>
  <c r="B17" i="71"/>
  <c r="B18" i="71" s="1"/>
  <c r="B19" i="71" s="1"/>
  <c r="S19" i="71" s="1"/>
  <c r="X16" i="71"/>
  <c r="B21" i="71"/>
  <c r="B22" i="71" s="1"/>
  <c r="B23" i="71" s="1"/>
  <c r="S23" i="71" s="1"/>
  <c r="B25" i="71"/>
  <c r="B26" i="71" s="1"/>
  <c r="B27" i="71" s="1"/>
  <c r="S27" i="71" s="1"/>
  <c r="E25" i="71"/>
  <c r="E26" i="71" s="1"/>
  <c r="E27" i="71" s="1"/>
  <c r="U27" i="71" s="1"/>
  <c r="E21" i="71"/>
  <c r="E22" i="71" s="1"/>
  <c r="E23" i="71" s="1"/>
  <c r="U23" i="71" s="1"/>
  <c r="C17" i="71"/>
  <c r="C18" i="71" s="1"/>
  <c r="AA17" i="71"/>
  <c r="C21" i="71"/>
  <c r="C22" i="71"/>
  <c r="D22" i="71" s="1"/>
  <c r="X21" i="71"/>
  <c r="AA23" i="71"/>
  <c r="C25" i="71"/>
  <c r="Z24" i="71"/>
  <c r="X25" i="71"/>
  <c r="Y3" i="71"/>
  <c r="Z3" i="71" s="1"/>
  <c r="Y13" i="71"/>
  <c r="Z13" i="71" s="1"/>
  <c r="Y15" i="71"/>
  <c r="Z15" i="71" s="1"/>
  <c r="X15" i="71"/>
  <c r="D21" i="71"/>
  <c r="C26" i="71"/>
  <c r="C27" i="71" s="1"/>
  <c r="D25" i="71"/>
  <c r="C30" i="71"/>
  <c r="D29" i="71"/>
  <c r="P15" i="71"/>
  <c r="AA13" i="71" s="1"/>
  <c r="E50" i="71"/>
  <c r="E51" i="71" s="1"/>
  <c r="U51" i="71" s="1"/>
  <c r="U55" i="71"/>
  <c r="E54" i="71"/>
  <c r="E53" i="71" s="1"/>
  <c r="Q15" i="71"/>
  <c r="C42" i="71"/>
  <c r="D41" i="71"/>
  <c r="C46" i="71"/>
  <c r="D46" i="71" s="1"/>
  <c r="D45" i="71"/>
  <c r="T55" i="71"/>
  <c r="O55" i="71"/>
  <c r="Q55" i="71"/>
  <c r="C58" i="71"/>
  <c r="D58" i="71" s="1"/>
  <c r="D59" i="71"/>
  <c r="C62" i="71"/>
  <c r="D62" i="71" s="1"/>
  <c r="D63" i="71"/>
  <c r="C66" i="71"/>
  <c r="D66" i="71" s="1"/>
  <c r="D67" i="71"/>
  <c r="C70" i="71"/>
  <c r="T15" i="71"/>
  <c r="C14" i="71"/>
  <c r="C13" i="71" s="1"/>
  <c r="D13" i="71" s="1"/>
  <c r="F15" i="71"/>
  <c r="AB15" i="71"/>
  <c r="E15" i="71"/>
  <c r="E14" i="71" s="1"/>
  <c r="E13" i="71" s="1"/>
  <c r="AA3" i="71"/>
  <c r="AA15" i="71"/>
  <c r="D15" i="71"/>
  <c r="U15" i="71" s="1"/>
  <c r="D70" i="71"/>
  <c r="C69" i="71"/>
  <c r="D69" i="71" s="1"/>
  <c r="C61" i="71"/>
  <c r="D61" i="71" s="1"/>
  <c r="C65" i="71"/>
  <c r="D65" i="71" s="1"/>
  <c r="C47" i="71"/>
  <c r="T47" i="71" s="1"/>
  <c r="C43" i="71"/>
  <c r="D42" i="71"/>
  <c r="P54" i="71"/>
  <c r="C31" i="71"/>
  <c r="D30" i="71"/>
  <c r="D26" i="71"/>
  <c r="V15" i="71"/>
  <c r="T31" i="71"/>
  <c r="D31"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s="1"/>
  <c r="F94" i="40" s="1"/>
  <c r="F25" i="40"/>
  <c r="AA25" i="40"/>
  <c r="Z29" i="39"/>
  <c r="Q29" i="39"/>
  <c r="D103" i="39"/>
  <c r="E103" i="39"/>
  <c r="F103" i="39" s="1"/>
  <c r="F29" i="39"/>
  <c r="AA29" i="39" s="1"/>
  <c r="Q18" i="36"/>
  <c r="Z18" i="36"/>
  <c r="D66" i="36"/>
  <c r="E66" i="36" s="1"/>
  <c r="F66" i="36" s="1"/>
  <c r="G66" i="36" s="1"/>
  <c r="H18" i="36"/>
  <c r="AB18" i="36" s="1"/>
  <c r="F18" i="36"/>
  <c r="AA18" i="36"/>
  <c r="C18" i="36"/>
  <c r="Z18" i="35"/>
  <c r="Q18" i="35"/>
  <c r="D68" i="35"/>
  <c r="E68" i="35"/>
  <c r="F18" i="35"/>
  <c r="AA18" i="35" s="1"/>
  <c r="C18" i="35"/>
  <c r="Q21" i="37"/>
  <c r="Z21" i="37" s="1"/>
  <c r="D77" i="37"/>
  <c r="E77" i="37"/>
  <c r="C21" i="37"/>
  <c r="Z21" i="34"/>
  <c r="Q21" i="34"/>
  <c r="D84" i="34"/>
  <c r="E84" i="34"/>
  <c r="F21" i="34"/>
  <c r="C21" i="34"/>
  <c r="Z21" i="33"/>
  <c r="Q21" i="33"/>
  <c r="D83" i="33"/>
  <c r="E83" i="33"/>
  <c r="C21" i="33"/>
  <c r="C21" i="21"/>
  <c r="Q21" i="21"/>
  <c r="Z21" i="21"/>
  <c r="H19" i="21"/>
  <c r="D83" i="21"/>
  <c r="F21" i="21"/>
  <c r="AA21" i="21" s="1"/>
  <c r="D81" i="21"/>
  <c r="G20" i="20"/>
  <c r="B86" i="43" s="1"/>
  <c r="C22" i="20"/>
  <c r="B75" i="43" s="1"/>
  <c r="B55" i="43"/>
  <c r="S25" i="40"/>
  <c r="S18" i="36"/>
  <c r="U18" i="36"/>
  <c r="H25" i="40"/>
  <c r="AB25" i="40" s="1"/>
  <c r="G94" i="40"/>
  <c r="J25" i="40"/>
  <c r="H29" i="39"/>
  <c r="G103" i="39"/>
  <c r="J29" i="39"/>
  <c r="AC29" i="39" s="1"/>
  <c r="J18" i="36"/>
  <c r="F68" i="35"/>
  <c r="H18" i="35"/>
  <c r="G68" i="35"/>
  <c r="J18" i="35"/>
  <c r="W18" i="35" s="1"/>
  <c r="F77" i="37"/>
  <c r="H21" i="37"/>
  <c r="F21" i="37"/>
  <c r="AA21" i="37" s="1"/>
  <c r="F84" i="34"/>
  <c r="H21" i="34"/>
  <c r="AB21" i="34" s="1"/>
  <c r="F83" i="33"/>
  <c r="H21" i="33"/>
  <c r="U21" i="33" s="1"/>
  <c r="F21" i="33"/>
  <c r="S21" i="33" s="1"/>
  <c r="E83" i="21"/>
  <c r="S21" i="21"/>
  <c r="H1" i="69"/>
  <c r="AC25" i="40"/>
  <c r="W25" i="40"/>
  <c r="U25" i="40"/>
  <c r="AB29" i="39"/>
  <c r="U29" i="39"/>
  <c r="W29" i="39"/>
  <c r="AC18" i="36"/>
  <c r="W18" i="36"/>
  <c r="AB21" i="37"/>
  <c r="U21" i="37"/>
  <c r="S21" i="37"/>
  <c r="AB18" i="35"/>
  <c r="U18" i="35"/>
  <c r="AC18" i="35"/>
  <c r="G77" i="37"/>
  <c r="J21" i="37"/>
  <c r="AC21" i="37" s="1"/>
  <c r="G84" i="34"/>
  <c r="J21" i="34"/>
  <c r="G83" i="33"/>
  <c r="J21" i="33"/>
  <c r="AC21" i="33" s="1"/>
  <c r="F83" i="21"/>
  <c r="H21" i="21"/>
  <c r="AB21" i="21" s="1"/>
  <c r="F38" i="69"/>
  <c r="E37" i="69"/>
  <c r="F36" i="69"/>
  <c r="F35" i="69"/>
  <c r="F21" i="69"/>
  <c r="C40" i="69" s="1"/>
  <c r="C21" i="69"/>
  <c r="F20" i="69"/>
  <c r="E10" i="69"/>
  <c r="E9" i="69"/>
  <c r="C7" i="69"/>
  <c r="W21" i="37"/>
  <c r="AC21" i="34"/>
  <c r="W21" i="34"/>
  <c r="U21" i="21"/>
  <c r="G83" i="21"/>
  <c r="J21" i="21"/>
  <c r="W21" i="21" s="1"/>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81"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R33" i="31"/>
  <c r="S33" i="31" s="1"/>
  <c r="R34" i="31"/>
  <c r="R35" i="31"/>
  <c r="S35" i="31" s="1"/>
  <c r="R36" i="3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s="1"/>
  <c r="K55" i="9"/>
  <c r="F59" i="9"/>
  <c r="N54" i="9"/>
  <c r="N53" i="9"/>
  <c r="E48" i="9"/>
  <c r="N52" i="9"/>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3" i="31"/>
  <c r="S205" i="31"/>
  <c r="S197" i="31"/>
  <c r="S189" i="31"/>
  <c r="S181" i="31"/>
  <c r="S173" i="31"/>
  <c r="S165" i="31"/>
  <c r="S157" i="31"/>
  <c r="S149" i="31"/>
  <c r="S141" i="31"/>
  <c r="S133" i="31"/>
  <c r="S125" i="31"/>
  <c r="S495" i="31"/>
  <c r="S491" i="31"/>
  <c r="S487" i="31"/>
  <c r="S483" i="31"/>
  <c r="S479" i="31"/>
  <c r="S475" i="31"/>
  <c r="S471" i="31"/>
  <c r="S443" i="31"/>
  <c r="S439" i="31"/>
  <c r="S435" i="31"/>
  <c r="S431" i="31"/>
  <c r="S119" i="31"/>
  <c r="S115" i="31"/>
  <c r="S504" i="31"/>
  <c r="S465" i="31"/>
  <c r="S461" i="31"/>
  <c r="S457" i="31"/>
  <c r="S453" i="31"/>
  <c r="S54" i="31"/>
  <c r="S50" i="31"/>
  <c r="S46" i="31"/>
  <c r="S42" i="31"/>
  <c r="S38" i="31"/>
  <c r="S36" i="31"/>
  <c r="S34" i="31"/>
  <c r="S32" i="31"/>
  <c r="S76" i="31"/>
  <c r="S74" i="31"/>
  <c r="S72" i="31"/>
  <c r="S70" i="31"/>
  <c r="S68" i="31"/>
  <c r="S66" i="31"/>
  <c r="S64" i="31"/>
  <c r="S62" i="31"/>
  <c r="S60" i="31"/>
  <c r="S58" i="31"/>
  <c r="S56" i="31"/>
  <c r="S97" i="31"/>
  <c r="S93" i="31"/>
  <c r="S89" i="31"/>
  <c r="S85" i="31"/>
  <c r="S81" i="31"/>
  <c r="S98" i="31"/>
  <c r="S100" i="31"/>
  <c r="S102" i="31"/>
  <c r="S104" i="31"/>
  <c r="S106" i="31"/>
  <c r="S108" i="31"/>
  <c r="S110" i="31"/>
  <c r="S445" i="31"/>
  <c r="S449" i="31"/>
  <c r="S508" i="31"/>
  <c r="S510" i="31"/>
  <c r="S512"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s="1"/>
  <c r="M112" i="34" s="1"/>
  <c r="F40" i="33"/>
  <c r="J41" i="33"/>
  <c r="D113" i="33"/>
  <c r="F37" i="33"/>
  <c r="D111" i="33"/>
  <c r="E111" i="33" s="1"/>
  <c r="F111" i="33" s="1"/>
  <c r="G111" i="33" s="1"/>
  <c r="S515" i="31"/>
  <c r="S519" i="31"/>
  <c r="S523" i="31"/>
  <c r="F41" i="21"/>
  <c r="J41" i="21"/>
  <c r="AC41" i="21"/>
  <c r="H41" i="21"/>
  <c r="U41" i="21"/>
  <c r="D81" i="39"/>
  <c r="E81" i="39"/>
  <c r="F81" i="39" s="1"/>
  <c r="G81" i="39" s="1"/>
  <c r="H81" i="39"/>
  <c r="I81" i="39" s="1"/>
  <c r="J81" i="39" s="1"/>
  <c r="K81" i="39" s="1"/>
  <c r="L81" i="39" s="1"/>
  <c r="M81" i="39" s="1"/>
  <c r="D76" i="40"/>
  <c r="E76" i="40"/>
  <c r="F76" i="40"/>
  <c r="G76" i="40"/>
  <c r="H76" i="40" s="1"/>
  <c r="I76" i="40" s="1"/>
  <c r="J76" i="40"/>
  <c r="K76" i="40" s="1"/>
  <c r="L76" i="40" s="1"/>
  <c r="M76" i="40" s="1"/>
  <c r="B120" i="40"/>
  <c r="H40" i="40" s="1"/>
  <c r="AB40" i="40" s="1"/>
  <c r="B118" i="40"/>
  <c r="J39" i="40" s="1"/>
  <c r="B116" i="40"/>
  <c r="H38" i="40" s="1"/>
  <c r="AB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s="1"/>
  <c r="H8" i="40"/>
  <c r="AB8" i="40"/>
  <c r="F8" i="40"/>
  <c r="AA8" i="40" s="1"/>
  <c r="J38" i="39"/>
  <c r="W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c r="D105" i="39"/>
  <c r="E105" i="39" s="1"/>
  <c r="F105" i="39" s="1"/>
  <c r="G105" i="39"/>
  <c r="H105" i="39" s="1"/>
  <c r="I105" i="39" s="1"/>
  <c r="J105" i="39" s="1"/>
  <c r="K105" i="39" s="1"/>
  <c r="L105" i="39" s="1"/>
  <c r="M105" i="39" s="1"/>
  <c r="D101" i="39"/>
  <c r="D99" i="39"/>
  <c r="E99" i="39" s="1"/>
  <c r="F99" i="39" s="1"/>
  <c r="G99" i="39" s="1"/>
  <c r="Q39" i="39"/>
  <c r="Z39" i="39"/>
  <c r="Q40" i="39"/>
  <c r="Z40" i="39" s="1"/>
  <c r="Q41" i="39"/>
  <c r="Z41" i="39"/>
  <c r="Q42" i="39"/>
  <c r="Z42" i="39" s="1"/>
  <c r="Q43" i="39"/>
  <c r="Z43" i="39" s="1"/>
  <c r="Q44" i="39"/>
  <c r="Z44" i="39" s="1"/>
  <c r="Q45" i="39"/>
  <c r="Z45" i="39" s="1"/>
  <c r="Q38" i="39"/>
  <c r="Z38" i="39" s="1"/>
  <c r="Q36" i="39"/>
  <c r="Z36" i="39"/>
  <c r="Q37" i="39"/>
  <c r="Z37" i="39" s="1"/>
  <c r="B131" i="39"/>
  <c r="H45"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c r="F93" i="39" s="1"/>
  <c r="G93" i="39" s="1"/>
  <c r="D91" i="39"/>
  <c r="E91" i="39"/>
  <c r="F91" i="39" s="1"/>
  <c r="G91" i="39" s="1"/>
  <c r="D89" i="39"/>
  <c r="E89" i="39"/>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s="1"/>
  <c r="Q9" i="39"/>
  <c r="Z9" i="39" s="1"/>
  <c r="J9" i="39"/>
  <c r="AC9" i="39"/>
  <c r="H9" i="39"/>
  <c r="AB9" i="39" s="1"/>
  <c r="F9" i="39"/>
  <c r="AA9" i="39"/>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H26" i="37"/>
  <c r="AB26" i="37" s="1"/>
  <c r="Q25" i="37"/>
  <c r="Z25" i="37"/>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c r="F64" i="36" s="1"/>
  <c r="G64" i="36" s="1"/>
  <c r="J16" i="36"/>
  <c r="W16" i="36" s="1"/>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AB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AC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c r="J38" i="33"/>
  <c r="AC38" i="33" s="1"/>
  <c r="H38" i="33"/>
  <c r="AB38" i="33" s="1"/>
  <c r="F38" i="33"/>
  <c r="S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c r="C21" i="20"/>
  <c r="B74" i="43" s="1"/>
  <c r="C20" i="20"/>
  <c r="B77" i="43"/>
  <c r="C18" i="20"/>
  <c r="B71" i="43" s="1"/>
  <c r="C17" i="20"/>
  <c r="B59" i="43" s="1"/>
  <c r="C16" i="20"/>
  <c r="C17" i="39" s="1"/>
  <c r="C15" i="20"/>
  <c r="B70" i="43" s="1"/>
  <c r="E54" i="21"/>
  <c r="F54" i="21" s="1"/>
  <c r="I54" i="21"/>
  <c r="J54" i="2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c r="H36" i="39"/>
  <c r="AB36" i="39" s="1"/>
  <c r="J35" i="39"/>
  <c r="AC35" i="39"/>
  <c r="F35" i="39"/>
  <c r="AA35" i="39" s="1"/>
  <c r="J36" i="39"/>
  <c r="AC36" i="39"/>
  <c r="U9" i="39"/>
  <c r="W40" i="39"/>
  <c r="W25" i="37"/>
  <c r="U30" i="37"/>
  <c r="W31" i="37"/>
  <c r="E103" i="37"/>
  <c r="F103" i="37"/>
  <c r="G103" i="37"/>
  <c r="H103" i="37" s="1"/>
  <c r="I103" i="37" s="1"/>
  <c r="J103" i="37" s="1"/>
  <c r="K103" i="37" s="1"/>
  <c r="L103" i="37" s="1"/>
  <c r="M103" i="37" s="1"/>
  <c r="F39" i="37"/>
  <c r="S39" i="37"/>
  <c r="U14" i="37"/>
  <c r="F29" i="36"/>
  <c r="AA29" i="36"/>
  <c r="W8" i="36"/>
  <c r="F16" i="36"/>
  <c r="AA16" i="36" s="1"/>
  <c r="U9" i="36"/>
  <c r="W28" i="36"/>
  <c r="S30" i="36"/>
  <c r="AA31" i="36"/>
  <c r="AC31" i="36"/>
  <c r="W31" i="36"/>
  <c r="U31" i="36"/>
  <c r="J33" i="36"/>
  <c r="W33" i="36"/>
  <c r="H22" i="35"/>
  <c r="AB22" i="35"/>
  <c r="AC27" i="35"/>
  <c r="W28" i="35"/>
  <c r="U31" i="35"/>
  <c r="S34" i="35"/>
  <c r="W34" i="35"/>
  <c r="W22" i="35"/>
  <c r="S31" i="35"/>
  <c r="U34" i="35"/>
  <c r="F36" i="34"/>
  <c r="J35" i="34"/>
  <c r="W9" i="34"/>
  <c r="S34" i="34"/>
  <c r="U34" i="34"/>
  <c r="H39" i="33"/>
  <c r="AB39" i="33" s="1"/>
  <c r="F26" i="33"/>
  <c r="AA26" i="33" s="1"/>
  <c r="U33" i="33"/>
  <c r="U35" i="33"/>
  <c r="S40" i="33"/>
  <c r="W33" i="33"/>
  <c r="H39" i="37"/>
  <c r="AB39" i="37"/>
  <c r="S27" i="35"/>
  <c r="F11" i="40"/>
  <c r="AA11" i="40"/>
  <c r="H11" i="40"/>
  <c r="AB11" i="40"/>
  <c r="W8" i="40"/>
  <c r="AC40" i="40"/>
  <c r="AA9" i="40"/>
  <c r="AC9" i="40"/>
  <c r="U9" i="40"/>
  <c r="S34" i="40"/>
  <c r="U38" i="40"/>
  <c r="S40" i="40"/>
  <c r="W31" i="40"/>
  <c r="U34" i="40"/>
  <c r="S38" i="40"/>
  <c r="U40" i="40"/>
  <c r="F42" i="39"/>
  <c r="AA42" i="39"/>
  <c r="F41" i="39"/>
  <c r="S41" i="39" s="1"/>
  <c r="H40" i="39"/>
  <c r="AB40" i="39"/>
  <c r="H39" i="39"/>
  <c r="U39" i="39" s="1"/>
  <c r="S38" i="39"/>
  <c r="S34" i="39"/>
  <c r="H34" i="39"/>
  <c r="U34" i="39" s="1"/>
  <c r="E109" i="39"/>
  <c r="H31" i="39"/>
  <c r="AB31" i="39" s="1"/>
  <c r="F31" i="39"/>
  <c r="AA31" i="39"/>
  <c r="E101" i="39"/>
  <c r="H19" i="39"/>
  <c r="AB19" i="39" s="1"/>
  <c r="F19" i="39"/>
  <c r="AA19" i="39"/>
  <c r="H17" i="39"/>
  <c r="AB17" i="39" s="1"/>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s="1"/>
  <c r="J101" i="37" s="1"/>
  <c r="K101" i="37" s="1"/>
  <c r="L101" i="37" s="1"/>
  <c r="M101" i="37" s="1"/>
  <c r="J34" i="37"/>
  <c r="W34" i="37"/>
  <c r="S10" i="37"/>
  <c r="AA39" i="37"/>
  <c r="AB34" i="37"/>
  <c r="J33" i="37"/>
  <c r="W33" i="37" s="1"/>
  <c r="AC33" i="37"/>
  <c r="U42" i="34"/>
  <c r="H40" i="34"/>
  <c r="U40" i="34"/>
  <c r="E114" i="34"/>
  <c r="H36" i="34"/>
  <c r="U36" i="34"/>
  <c r="F37" i="34"/>
  <c r="AA37" i="34"/>
  <c r="S35" i="34"/>
  <c r="F28" i="34"/>
  <c r="AA28" i="34"/>
  <c r="F27" i="34"/>
  <c r="AA27" i="34" s="1"/>
  <c r="F25" i="34"/>
  <c r="S25" i="34"/>
  <c r="H23" i="34"/>
  <c r="U23" i="34" s="1"/>
  <c r="J23" i="34"/>
  <c r="F19" i="34"/>
  <c r="H17" i="34"/>
  <c r="AB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U30" i="35"/>
  <c r="U33" i="35"/>
  <c r="F29" i="35"/>
  <c r="S29" i="35" s="1"/>
  <c r="H29" i="35"/>
  <c r="AB29" i="35"/>
  <c r="H33" i="37"/>
  <c r="AB33" i="37" s="1"/>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s="1"/>
  <c r="F17" i="34"/>
  <c r="AA17" i="34"/>
  <c r="J17" i="34"/>
  <c r="W17" i="34" s="1"/>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G123" i="21"/>
  <c r="H123" i="21"/>
  <c r="I123" i="21"/>
  <c r="J123" i="21" s="1"/>
  <c r="K123" i="21" s="1"/>
  <c r="L123" i="21" s="1"/>
  <c r="M123" i="21" s="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S45" i="33" s="1"/>
  <c r="J14" i="34"/>
  <c r="W14" i="34" s="1"/>
  <c r="F14" i="34"/>
  <c r="AA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s="1"/>
  <c r="F46" i="33"/>
  <c r="AA46" i="33" s="1"/>
  <c r="H46" i="33"/>
  <c r="U46" i="33" s="1"/>
  <c r="H13" i="34"/>
  <c r="U13" i="34" s="1"/>
  <c r="J13" i="34"/>
  <c r="W13" i="34" s="1"/>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W14" i="37" s="1"/>
  <c r="AC14" i="37"/>
  <c r="J27" i="37"/>
  <c r="AC27" i="37"/>
  <c r="AA13" i="35"/>
  <c r="J36" i="37"/>
  <c r="AC36" i="37" s="1"/>
  <c r="G105" i="37"/>
  <c r="AB11" i="35"/>
  <c r="J10" i="36"/>
  <c r="AC10" i="36"/>
  <c r="AB26" i="33"/>
  <c r="AB30" i="21"/>
  <c r="AA14" i="37"/>
  <c r="W31" i="34"/>
  <c r="W13" i="36"/>
  <c r="W11" i="36"/>
  <c r="W11" i="35"/>
  <c r="AB46" i="34"/>
  <c r="AB45"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AZ533" i="3" s="1"/>
  <c r="BA531" i="3"/>
  <c r="BA529" i="3"/>
  <c r="BA527" i="3"/>
  <c r="BA525" i="3"/>
  <c r="AZ525" i="3" s="1"/>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14" i="40"/>
  <c r="AC32" i="36"/>
  <c r="AC33" i="36"/>
  <c r="U35" i="35"/>
  <c r="AA12" i="35"/>
  <c r="W23" i="35"/>
  <c r="AB28" i="37"/>
  <c r="U33" i="37"/>
  <c r="U39" i="37"/>
  <c r="W26" i="37"/>
  <c r="AC8" i="37"/>
  <c r="U26" i="37"/>
  <c r="W47" i="34"/>
  <c r="W37" i="34"/>
  <c r="AB37" i="34"/>
  <c r="AC36" i="34"/>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c r="S11" i="39"/>
  <c r="G4" i="4"/>
  <c r="I4" i="4"/>
  <c r="K5" i="4"/>
  <c r="B47" i="48" s="1"/>
  <c r="A2" i="9"/>
  <c r="F59" i="43"/>
  <c r="H62" i="43"/>
  <c r="AZ20" i="3"/>
  <c r="AZ24" i="3"/>
  <c r="AZ32" i="3"/>
  <c r="BL549" i="3"/>
  <c r="AZ494" i="3"/>
  <c r="AZ502"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BL204" i="3"/>
  <c r="AZ204" i="3"/>
  <c r="AZ39" i="3"/>
  <c r="AZ43" i="3"/>
  <c r="AZ47" i="3"/>
  <c r="AZ55" i="3"/>
  <c r="AZ63" i="3"/>
  <c r="AZ67" i="3"/>
  <c r="AZ71" i="3"/>
  <c r="AZ75" i="3"/>
  <c r="AZ79" i="3"/>
  <c r="AZ83" i="3"/>
  <c r="AZ136" i="3"/>
  <c r="AZ144" i="3"/>
  <c r="AZ168" i="3"/>
  <c r="AZ176"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BQ5" i="3"/>
  <c r="AC5" i="3"/>
  <c r="AZ506" i="3"/>
  <c r="AZ496" i="3"/>
  <c r="G548" i="3"/>
  <c r="G538" i="3"/>
  <c r="G520" i="3"/>
  <c r="G502" i="3"/>
  <c r="BS5" i="3"/>
  <c r="BP5" i="3"/>
  <c r="BN5" i="3"/>
  <c r="AZ343" i="3"/>
  <c r="BK5" i="3"/>
  <c r="BI5" i="3"/>
  <c r="BG5" i="3"/>
  <c r="BE5" i="3"/>
  <c r="BC5" i="3"/>
  <c r="G17" i="3"/>
  <c r="BA17" i="3"/>
  <c r="BT5" i="3"/>
  <c r="G28" i="6" s="1"/>
  <c r="AZ350" i="3"/>
  <c r="AZ356" i="3"/>
  <c r="AZ364" i="3"/>
  <c r="AZ368" i="3"/>
  <c r="BA15" i="3"/>
  <c r="AZ15" i="3"/>
  <c r="BB5" i="3"/>
  <c r="E8" i="6" s="1"/>
  <c r="BR5" i="3"/>
  <c r="AZ380" i="3"/>
  <c r="AZ384" i="3"/>
  <c r="AZ388" i="3"/>
  <c r="AZ392" i="3"/>
  <c r="AZ396" i="3"/>
  <c r="AZ394" i="3"/>
  <c r="G509" i="3"/>
  <c r="BL493" i="3"/>
  <c r="AZ493" i="3" s="1"/>
  <c r="AZ491" i="3"/>
  <c r="AZ382" i="3"/>
  <c r="U36" i="40"/>
  <c r="F36" i="43"/>
  <c r="F81" i="43"/>
  <c r="H87" i="43" s="1"/>
  <c r="H113" i="43"/>
  <c r="F48" i="43"/>
  <c r="H50" i="43" s="1"/>
  <c r="H52" i="43"/>
  <c r="F70" i="43"/>
  <c r="H73" i="43"/>
  <c r="M11" i="43"/>
  <c r="D17" i="43"/>
  <c r="F39" i="43"/>
  <c r="I17" i="43"/>
  <c r="F35" i="43"/>
  <c r="J17" i="43"/>
  <c r="F6" i="1"/>
  <c r="G6" i="1" s="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3" i="35"/>
  <c r="AB29" i="36"/>
  <c r="U29" i="36"/>
  <c r="H32" i="37"/>
  <c r="AB32" i="37" s="1"/>
  <c r="F96" i="37"/>
  <c r="G96" i="37" s="1"/>
  <c r="H96" i="37" s="1"/>
  <c r="I96" i="37" s="1"/>
  <c r="J96" i="37" s="1"/>
  <c r="K96" i="37" s="1"/>
  <c r="L96" i="37" s="1"/>
  <c r="M96" i="37" s="1"/>
  <c r="H27" i="40"/>
  <c r="AB27" i="40" s="1"/>
  <c r="U27" i="40"/>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c r="F43" i="34"/>
  <c r="AA43" i="34" s="1"/>
  <c r="H44" i="34"/>
  <c r="AB44" i="34"/>
  <c r="AC38" i="39"/>
  <c r="F39" i="39"/>
  <c r="S39" i="39" s="1"/>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7" i="3"/>
  <c r="AZ42" i="3"/>
  <c r="AZ50" i="3"/>
  <c r="AZ58" i="3"/>
  <c r="AZ61" i="3"/>
  <c r="AZ66" i="3"/>
  <c r="AZ69" i="3"/>
  <c r="AZ72" i="3"/>
  <c r="AZ74" i="3"/>
  <c r="AZ77" i="3"/>
  <c r="AZ82" i="3"/>
  <c r="AZ86" i="3"/>
  <c r="AZ94" i="3"/>
  <c r="AZ102" i="3"/>
  <c r="AZ110" i="3"/>
  <c r="H75" i="43"/>
  <c r="I20" i="43"/>
  <c r="F23" i="39"/>
  <c r="AA23" i="39" s="1"/>
  <c r="H27" i="36"/>
  <c r="U27" i="36"/>
  <c r="F27" i="36"/>
  <c r="S27" i="36" s="1"/>
  <c r="H33" i="34"/>
  <c r="U33" i="34"/>
  <c r="F32" i="37"/>
  <c r="AA32" i="37" s="1"/>
  <c r="F20" i="36"/>
  <c r="AA20" i="36" s="1"/>
  <c r="J33" i="34"/>
  <c r="AC33" i="34"/>
  <c r="H23" i="39"/>
  <c r="U23" i="39" s="1"/>
  <c r="D48" i="9"/>
  <c r="M52" i="9"/>
  <c r="H86" i="43"/>
  <c r="K9" i="1"/>
  <c r="M9" i="1" s="1"/>
  <c r="AE9" i="1"/>
  <c r="D93" i="9"/>
  <c r="E15" i="6"/>
  <c r="E60" i="40" s="1"/>
  <c r="K6" i="1"/>
  <c r="G29" i="6"/>
  <c r="AC26" i="33"/>
  <c r="W26" i="33"/>
  <c r="W27" i="34"/>
  <c r="AC27" i="34"/>
  <c r="AB34" i="36"/>
  <c r="U34" i="36"/>
  <c r="AB33" i="36"/>
  <c r="U33" i="36"/>
  <c r="AC12" i="39"/>
  <c r="W12" i="39"/>
  <c r="AC39" i="40"/>
  <c r="W39" i="40"/>
  <c r="AZ401" i="3"/>
  <c r="AZ412" i="3"/>
  <c r="AZ417" i="3"/>
  <c r="AZ428"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B41" i="1"/>
  <c r="J100" i="43"/>
  <c r="AB37" i="40"/>
  <c r="S35" i="40"/>
  <c r="U35" i="40"/>
  <c r="AC36" i="40"/>
  <c r="W38" i="40"/>
  <c r="AA32" i="40"/>
  <c r="S17" i="40"/>
  <c r="S23" i="40"/>
  <c r="AC17" i="40"/>
  <c r="AC15" i="40"/>
  <c r="AA19" i="40"/>
  <c r="S28" i="40"/>
  <c r="U21" i="40"/>
  <c r="AB19" i="40"/>
  <c r="W42" i="39"/>
  <c r="U37" i="39"/>
  <c r="W39" i="39"/>
  <c r="S43" i="39"/>
  <c r="S37" i="39"/>
  <c r="U35" i="39"/>
  <c r="F32" i="39"/>
  <c r="F107" i="39"/>
  <c r="G107" i="39"/>
  <c r="AB27" i="39"/>
  <c r="U31" i="39"/>
  <c r="S25" i="39"/>
  <c r="J21" i="39"/>
  <c r="F21" i="39"/>
  <c r="G95" i="39"/>
  <c r="H21" i="39"/>
  <c r="U21" i="39" s="1"/>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c r="J26" i="35"/>
  <c r="H26" i="35"/>
  <c r="AB26" i="35" s="1"/>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I60" i="37" s="1"/>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AA29" i="33"/>
  <c r="AB29" i="33"/>
  <c r="H41" i="33"/>
  <c r="F36" i="33"/>
  <c r="S36" i="33" s="1"/>
  <c r="J35" i="33"/>
  <c r="W35" i="33" s="1"/>
  <c r="S37" i="33"/>
  <c r="AA37" i="33"/>
  <c r="S39" i="33"/>
  <c r="J32" i="33"/>
  <c r="AC32" i="33" s="1"/>
  <c r="S46" i="33"/>
  <c r="W43" i="33"/>
  <c r="H27" i="33"/>
  <c r="AB27" i="33" s="1"/>
  <c r="H25" i="33"/>
  <c r="AB25" i="33" s="1"/>
  <c r="F25" i="33"/>
  <c r="S25" i="33" s="1"/>
  <c r="J23" i="33"/>
  <c r="W23" i="33" s="1"/>
  <c r="H23" i="33"/>
  <c r="U23" i="33" s="1"/>
  <c r="F19" i="33"/>
  <c r="S19" i="33" s="1"/>
  <c r="J17" i="33"/>
  <c r="AC17" i="33" s="1"/>
  <c r="W15" i="33"/>
  <c r="U9" i="33"/>
  <c r="J10" i="33"/>
  <c r="W10" i="33" s="1"/>
  <c r="H10" i="33"/>
  <c r="AB10" i="33" s="1"/>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s="1"/>
  <c r="M20" i="67"/>
  <c r="F34" i="15"/>
  <c r="F62" i="15" s="1"/>
  <c r="G13" i="3"/>
  <c r="BA13" i="3"/>
  <c r="E10" i="6"/>
  <c r="E11" i="6"/>
  <c r="E56" i="40" s="1"/>
  <c r="BL17" i="3"/>
  <c r="AZ17" i="3" s="1"/>
  <c r="BL13" i="3"/>
  <c r="E65" i="39"/>
  <c r="G30" i="6"/>
  <c r="G31" i="6" s="1"/>
  <c r="J56" i="9"/>
  <c r="J57" i="9"/>
  <c r="A24" i="51"/>
  <c r="B18" i="72" s="1"/>
  <c r="U29" i="34"/>
  <c r="E14" i="6"/>
  <c r="E64" i="39" s="1"/>
  <c r="E5" i="6"/>
  <c r="D9" i="11" s="1"/>
  <c r="C9" i="11" s="1"/>
  <c r="E32" i="6"/>
  <c r="L19" i="6"/>
  <c r="G1" i="68"/>
  <c r="K1" i="12"/>
  <c r="F30" i="6"/>
  <c r="AQ12" i="1"/>
  <c r="AR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7" i="21"/>
  <c r="C58" i="21" s="1"/>
  <c r="C7" i="40"/>
  <c r="C63" i="40" s="1"/>
  <c r="C65" i="40" s="1"/>
  <c r="M47" i="9"/>
  <c r="G19" i="43"/>
  <c r="O19" i="43" s="1"/>
  <c r="C19" i="43" s="1"/>
  <c r="C46" i="36"/>
  <c r="C59" i="34"/>
  <c r="D59" i="34" s="1"/>
  <c r="E59" i="34" s="1"/>
  <c r="C52" i="37"/>
  <c r="A4" i="51"/>
  <c r="B6" i="72" s="1"/>
  <c r="C4" i="12"/>
  <c r="H66" i="43"/>
  <c r="H65" i="43"/>
  <c r="H64" i="43"/>
  <c r="H63" i="43"/>
  <c r="H55" i="43"/>
  <c r="H56" i="43"/>
  <c r="H72" i="43"/>
  <c r="L20" i="6"/>
  <c r="B6" i="1"/>
  <c r="E6" i="1" s="1"/>
  <c r="S8" i="1"/>
  <c r="AR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AC33" i="21" s="1"/>
  <c r="H33" i="21"/>
  <c r="AB33" i="21"/>
  <c r="F37" i="21"/>
  <c r="AA37" i="21"/>
  <c r="AA26" i="21"/>
  <c r="AB14" i="21"/>
  <c r="AB46" i="21"/>
  <c r="U40" i="21"/>
  <c r="AC15" i="21"/>
  <c r="U13" i="21"/>
  <c r="AB13" i="21"/>
  <c r="W8" i="21"/>
  <c r="S35" i="21"/>
  <c r="AB37" i="21"/>
  <c r="J37" i="21"/>
  <c r="W37" i="21"/>
  <c r="H15" i="21"/>
  <c r="U15" i="21" s="1"/>
  <c r="J17" i="21"/>
  <c r="AC17" i="21"/>
  <c r="AC19" i="21"/>
  <c r="W39" i="21"/>
  <c r="AC14" i="21"/>
  <c r="W30" i="21"/>
  <c r="S46" i="21"/>
  <c r="H45" i="21"/>
  <c r="U45" i="21" s="1"/>
  <c r="F29" i="21"/>
  <c r="S29" i="21"/>
  <c r="F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B67" i="43"/>
  <c r="D23" i="15"/>
  <c r="D22" i="15"/>
  <c r="AQ13" i="1"/>
  <c r="M6" i="1"/>
  <c r="O6" i="1" s="1"/>
  <c r="P6" i="1" s="1"/>
  <c r="F30" i="11"/>
  <c r="C48" i="11" s="1"/>
  <c r="T9" i="1"/>
  <c r="D9" i="68"/>
  <c r="C9" i="68" s="1"/>
  <c r="AA39" i="40"/>
  <c r="S39" i="40"/>
  <c r="S12" i="33"/>
  <c r="AA12" i="33"/>
  <c r="J32" i="39"/>
  <c r="H107" i="39"/>
  <c r="I107" i="39"/>
  <c r="J107" i="39" s="1"/>
  <c r="K107" i="39" s="1"/>
  <c r="L107" i="39" s="1"/>
  <c r="M107" i="39" s="1"/>
  <c r="H32" i="39"/>
  <c r="AA32" i="39"/>
  <c r="S32" i="39"/>
  <c r="AB21" i="39"/>
  <c r="AA21" i="39"/>
  <c r="S21" i="39"/>
  <c r="AC21" i="39"/>
  <c r="W21" i="39"/>
  <c r="S26" i="35"/>
  <c r="U9" i="35"/>
  <c r="AB9" i="35"/>
  <c r="S9" i="35"/>
  <c r="AC26" i="35"/>
  <c r="W26" i="35"/>
  <c r="U26" i="35"/>
  <c r="AC17" i="37"/>
  <c r="S17" i="37"/>
  <c r="J19" i="37"/>
  <c r="G75" i="37"/>
  <c r="S19" i="37"/>
  <c r="AA19" i="37"/>
  <c r="AA23" i="37"/>
  <c r="J23" i="37"/>
  <c r="G79" i="37"/>
  <c r="J10" i="37"/>
  <c r="G63" i="37"/>
  <c r="H63" i="37" s="1"/>
  <c r="I63" i="37" s="1"/>
  <c r="J63" i="37" s="1"/>
  <c r="K63" i="37" s="1"/>
  <c r="L63" i="37" s="1"/>
  <c r="M63" i="37" s="1"/>
  <c r="H11" i="37"/>
  <c r="AB10" i="37"/>
  <c r="U10" i="37"/>
  <c r="G70" i="34"/>
  <c r="H70" i="34" s="1"/>
  <c r="I70" i="34" s="1"/>
  <c r="J70" i="34" s="1"/>
  <c r="K70" i="34" s="1"/>
  <c r="L70" i="34" s="1"/>
  <c r="M70" i="34" s="1"/>
  <c r="H11" i="34"/>
  <c r="U11" i="34" s="1"/>
  <c r="AB10" i="34"/>
  <c r="J10" i="34"/>
  <c r="I67" i="34"/>
  <c r="AB41" i="33"/>
  <c r="U41" i="33"/>
  <c r="H36" i="33"/>
  <c r="U36" i="33" s="1"/>
  <c r="AA36" i="33"/>
  <c r="J27" i="33"/>
  <c r="W27" i="33" s="1"/>
  <c r="J25" i="33"/>
  <c r="W25" i="33" s="1"/>
  <c r="F23" i="33"/>
  <c r="S23" i="33" s="1"/>
  <c r="H19" i="33"/>
  <c r="U19" i="33" s="1"/>
  <c r="H17" i="33"/>
  <c r="U17" i="33" s="1"/>
  <c r="F17" i="33"/>
  <c r="S17" i="33" s="1"/>
  <c r="AC10" i="33"/>
  <c r="AC37" i="21"/>
  <c r="U33" i="21"/>
  <c r="S37" i="21"/>
  <c r="AA23" i="21"/>
  <c r="AB15" i="21"/>
  <c r="J23" i="21"/>
  <c r="F85" i="21"/>
  <c r="G85" i="21"/>
  <c r="H23" i="21"/>
  <c r="D6" i="52"/>
  <c r="D121" i="9"/>
  <c r="D7" i="52"/>
  <c r="K120" i="9"/>
  <c r="A18" i="62" s="1"/>
  <c r="B64" i="72" s="1"/>
  <c r="J59" i="9"/>
  <c r="J61" i="9" s="1"/>
  <c r="AQ8" i="1"/>
  <c r="L27" i="6"/>
  <c r="AP7" i="1"/>
  <c r="Q16" i="1"/>
  <c r="F27" i="69" s="1"/>
  <c r="AB45" i="21"/>
  <c r="W33" i="21"/>
  <c r="S33" i="21"/>
  <c r="AA33" i="21"/>
  <c r="W32" i="21"/>
  <c r="AC32" i="21"/>
  <c r="AB9" i="21"/>
  <c r="U9" i="21"/>
  <c r="S32" i="21"/>
  <c r="W9" i="21"/>
  <c r="AC9" i="21"/>
  <c r="U32" i="21"/>
  <c r="AA10" i="21"/>
  <c r="U32" i="39"/>
  <c r="AB32" i="39"/>
  <c r="AC32" i="39"/>
  <c r="W32" i="39"/>
  <c r="W19" i="37"/>
  <c r="AC19" i="37"/>
  <c r="W23" i="37"/>
  <c r="AC23" i="37"/>
  <c r="AB11" i="37"/>
  <c r="U11" i="37"/>
  <c r="J11" i="37"/>
  <c r="W10" i="37"/>
  <c r="AC10" i="37"/>
  <c r="AB11" i="34"/>
  <c r="AC10" i="34"/>
  <c r="W10" i="34"/>
  <c r="J11" i="34"/>
  <c r="W11" i="34" s="1"/>
  <c r="AB36" i="33"/>
  <c r="U23" i="21"/>
  <c r="AB23" i="21"/>
  <c r="AC23" i="21"/>
  <c r="W23" i="21"/>
  <c r="AC11" i="37"/>
  <c r="W11" i="37"/>
  <c r="F34" i="11"/>
  <c r="F11" i="12"/>
  <c r="C23" i="12" s="1"/>
  <c r="F34" i="68"/>
  <c r="R8" i="1"/>
  <c r="AE8" i="1"/>
  <c r="AG6" i="1"/>
  <c r="H109" i="9"/>
  <c r="H110" i="9"/>
  <c r="D18" i="53" s="1"/>
  <c r="B35" i="72" s="1"/>
  <c r="D124" i="9"/>
  <c r="H14" i="74" s="1"/>
  <c r="B7" i="74" s="1"/>
  <c r="D16" i="53"/>
  <c r="B34" i="72" s="1"/>
  <c r="D17" i="53"/>
  <c r="B36" i="7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S11" i="71"/>
  <c r="AB9" i="71"/>
  <c r="X7" i="71"/>
  <c r="X6" i="71"/>
  <c r="AA7" i="71"/>
  <c r="AA6" i="71"/>
  <c r="X10" i="71"/>
  <c r="Y6" i="71"/>
  <c r="Z6" i="71" s="1"/>
  <c r="AB7" i="71"/>
  <c r="AB6" i="71"/>
  <c r="B6" i="71"/>
  <c r="B5" i="71" s="1"/>
  <c r="S7" i="71"/>
  <c r="F8" i="71"/>
  <c r="F7" i="71"/>
  <c r="F6" i="71" s="1"/>
  <c r="F5" i="71" s="1"/>
  <c r="Y7" i="71"/>
  <c r="Z7" i="71" s="1"/>
  <c r="AB3" i="71"/>
  <c r="X3" i="71"/>
  <c r="AF3" i="71"/>
  <c r="G20" i="43"/>
  <c r="E41" i="43"/>
  <c r="C41" i="43" s="1"/>
  <c r="F31" i="15"/>
  <c r="F31" i="67"/>
  <c r="F35" i="67"/>
  <c r="C76" i="67"/>
  <c r="F38" i="67"/>
  <c r="F16" i="67"/>
  <c r="F13" i="67"/>
  <c r="L47" i="15"/>
  <c r="E11" i="76"/>
  <c r="F36" i="67"/>
  <c r="M22" i="15"/>
  <c r="D7" i="73"/>
  <c r="B8" i="76"/>
  <c r="F40" i="15"/>
  <c r="F40" i="67"/>
  <c r="M27" i="67"/>
  <c r="B9" i="76"/>
  <c r="AO9" i="1"/>
  <c r="D2" i="21"/>
  <c r="AO8" i="1"/>
  <c r="L47" i="67"/>
  <c r="E13" i="76"/>
  <c r="F5" i="73"/>
  <c r="M24" i="15"/>
  <c r="D2" i="33"/>
  <c r="L48" i="67"/>
  <c r="M28" i="67"/>
  <c r="M27" i="15"/>
  <c r="F6" i="15"/>
  <c r="M26" i="15"/>
  <c r="E2" i="68"/>
  <c r="J15" i="15"/>
  <c r="F8" i="15"/>
  <c r="M8" i="15"/>
  <c r="D2" i="35"/>
  <c r="AO12" i="1"/>
  <c r="F36" i="15"/>
  <c r="F26" i="15"/>
  <c r="F26" i="67"/>
  <c r="M9" i="15"/>
  <c r="B13" i="76"/>
  <c r="F4" i="73"/>
  <c r="F37" i="15"/>
  <c r="F13" i="15"/>
  <c r="C76" i="15"/>
  <c r="M22" i="67"/>
  <c r="M23" i="15"/>
  <c r="E9" i="76"/>
  <c r="B11" i="76"/>
  <c r="AO11" i="1"/>
  <c r="AO10" i="1"/>
  <c r="F7" i="67"/>
  <c r="M9" i="67"/>
  <c r="D5" i="73"/>
  <c r="F16" i="15"/>
  <c r="M8" i="67"/>
  <c r="F41" i="67"/>
  <c r="M23" i="67"/>
  <c r="M29" i="67"/>
  <c r="M28" i="15"/>
  <c r="E10" i="76"/>
  <c r="D2" i="34"/>
  <c r="F7" i="15"/>
  <c r="F42" i="67"/>
  <c r="E12" i="76"/>
  <c r="F7" i="73"/>
  <c r="B10" i="76"/>
  <c r="B7" i="76"/>
  <c r="F3" i="73"/>
  <c r="L48" i="81"/>
  <c r="F6" i="73"/>
  <c r="D2" i="36"/>
  <c r="F38" i="15"/>
  <c r="F9" i="67"/>
  <c r="AO13" i="1"/>
  <c r="J15" i="67"/>
  <c r="E8" i="76"/>
  <c r="E7" i="76"/>
  <c r="D2" i="37"/>
  <c r="F6" i="67"/>
  <c r="M24" i="67"/>
  <c r="M6" i="15"/>
  <c r="F37" i="67"/>
  <c r="M26" i="67"/>
  <c r="F43" i="67"/>
  <c r="F9" i="15"/>
  <c r="M6" i="67"/>
  <c r="M21" i="67"/>
  <c r="D6" i="73"/>
  <c r="B12" i="76"/>
  <c r="M29" i="15"/>
  <c r="F42" i="15"/>
  <c r="F43" i="15"/>
  <c r="F8" i="67"/>
  <c r="L48" i="15"/>
  <c r="E2" i="69"/>
  <c r="AB23" i="33" l="1"/>
  <c r="D10" i="52"/>
  <c r="AC11" i="34"/>
  <c r="F27" i="68"/>
  <c r="AB19" i="33"/>
  <c r="U31" i="21"/>
  <c r="AB31" i="21"/>
  <c r="D125" i="9"/>
  <c r="D11" i="52" s="1"/>
  <c r="AA13" i="21"/>
  <c r="S13" i="21"/>
  <c r="C7" i="43"/>
  <c r="AZ13" i="3"/>
  <c r="T11" i="1"/>
  <c r="AC39" i="34"/>
  <c r="U32" i="37"/>
  <c r="U25" i="39"/>
  <c r="AA27" i="40"/>
  <c r="F53" i="9"/>
  <c r="F28" i="81"/>
  <c r="F32" i="81"/>
  <c r="F60" i="81" s="1"/>
  <c r="M18" i="81"/>
  <c r="D68" i="79"/>
  <c r="F53" i="79"/>
  <c r="F52" i="79"/>
  <c r="F54" i="79"/>
  <c r="E13" i="6"/>
  <c r="H82" i="43"/>
  <c r="H83" i="43"/>
  <c r="AA25" i="21"/>
  <c r="AA13" i="33"/>
  <c r="AB13" i="34"/>
  <c r="H42" i="33"/>
  <c r="AC30" i="34"/>
  <c r="S11" i="36"/>
  <c r="AB46" i="33"/>
  <c r="S14" i="33"/>
  <c r="U11" i="36"/>
  <c r="S14" i="34"/>
  <c r="AA45" i="33"/>
  <c r="U23" i="40"/>
  <c r="S41" i="33"/>
  <c r="AB23" i="34"/>
  <c r="AC34" i="36"/>
  <c r="AC11" i="40"/>
  <c r="U17" i="34"/>
  <c r="AA27" i="36"/>
  <c r="AA30" i="40"/>
  <c r="AA44" i="33"/>
  <c r="E29" i="6"/>
  <c r="K15" i="1" s="1"/>
  <c r="E12" i="6"/>
  <c r="C20" i="43"/>
  <c r="F26" i="37"/>
  <c r="H39" i="40"/>
  <c r="H9" i="34"/>
  <c r="BA551" i="3"/>
  <c r="AZ551" i="3" s="1"/>
  <c r="AZ407" i="3"/>
  <c r="AZ410" i="3"/>
  <c r="AZ411" i="3"/>
  <c r="J36" i="35"/>
  <c r="G558" i="3"/>
  <c r="AZ421" i="3"/>
  <c r="M18" i="79"/>
  <c r="B118" i="79" s="1"/>
  <c r="A15" i="62"/>
  <c r="B61" i="72" s="1"/>
  <c r="AZ439" i="3"/>
  <c r="AZ448" i="3"/>
  <c r="AZ452" i="3"/>
  <c r="AZ460" i="3"/>
  <c r="AZ461" i="3"/>
  <c r="AZ464" i="3"/>
  <c r="AZ467" i="3"/>
  <c r="AZ468" i="3"/>
  <c r="AZ471" i="3"/>
  <c r="AZ472" i="3"/>
  <c r="AZ489" i="3"/>
  <c r="AZ385" i="3"/>
  <c r="AZ397" i="3"/>
  <c r="AZ210" i="3"/>
  <c r="AZ216" i="3"/>
  <c r="AZ217" i="3"/>
  <c r="AZ225" i="3"/>
  <c r="AZ228" i="3"/>
  <c r="AZ231" i="3"/>
  <c r="AZ267" i="3"/>
  <c r="AZ270" i="3"/>
  <c r="AZ277" i="3"/>
  <c r="M20" i="15"/>
  <c r="M20" i="81"/>
  <c r="F34" i="81"/>
  <c r="F62" i="81" s="1"/>
  <c r="D93" i="79"/>
  <c r="D78" i="79"/>
  <c r="BL415" i="3"/>
  <c r="AZ415" i="3" s="1"/>
  <c r="BA430" i="3"/>
  <c r="AZ430" i="3" s="1"/>
  <c r="AZ431" i="3"/>
  <c r="BA433" i="3"/>
  <c r="AZ433" i="3" s="1"/>
  <c r="AZ434" i="3"/>
  <c r="AZ436" i="3"/>
  <c r="AZ438" i="3"/>
  <c r="AZ442" i="3"/>
  <c r="AZ446" i="3"/>
  <c r="AZ477" i="3"/>
  <c r="AZ487" i="3"/>
  <c r="BA423" i="3"/>
  <c r="AZ423" i="3" s="1"/>
  <c r="BA427" i="3"/>
  <c r="AZ427" i="3" s="1"/>
  <c r="AZ429" i="3"/>
  <c r="AZ432" i="3"/>
  <c r="AZ435" i="3"/>
  <c r="BL436" i="3"/>
  <c r="AZ445" i="3"/>
  <c r="AZ486" i="3"/>
  <c r="AZ332" i="3"/>
  <c r="AZ226" i="3"/>
  <c r="AZ247" i="3"/>
  <c r="AZ260" i="3"/>
  <c r="BL418" i="3"/>
  <c r="AZ418" i="3" s="1"/>
  <c r="BL422" i="3"/>
  <c r="AZ422" i="3" s="1"/>
  <c r="AZ426" i="3"/>
  <c r="BL281" i="3"/>
  <c r="AZ281" i="3" s="1"/>
  <c r="G286" i="3"/>
  <c r="BL286" i="3"/>
  <c r="AZ286" i="3" s="1"/>
  <c r="G291" i="3"/>
  <c r="AZ302" i="3"/>
  <c r="AZ113" i="3"/>
  <c r="AZ145" i="3"/>
  <c r="AZ153" i="3"/>
  <c r="AZ284" i="3"/>
  <c r="BA290" i="3"/>
  <c r="AZ290" i="3" s="1"/>
  <c r="AZ129" i="3"/>
  <c r="AZ177" i="3"/>
  <c r="AZ22" i="3"/>
  <c r="BA282" i="3"/>
  <c r="AZ282" i="3" s="1"/>
  <c r="BL284" i="3"/>
  <c r="AZ289" i="3"/>
  <c r="AZ161" i="3"/>
  <c r="BA33" i="3"/>
  <c r="AZ33" i="3" s="1"/>
  <c r="AZ34" i="3"/>
  <c r="AZ40" i="3"/>
  <c r="BL53" i="3"/>
  <c r="AZ53" i="3" s="1"/>
  <c r="BA59" i="3"/>
  <c r="AZ59" i="3" s="1"/>
  <c r="AZ60" i="3"/>
  <c r="BA65" i="3"/>
  <c r="AZ65" i="3" s="1"/>
  <c r="BA70" i="3"/>
  <c r="AZ70" i="3" s="1"/>
  <c r="AZ76" i="3"/>
  <c r="BL203" i="3"/>
  <c r="AZ203" i="3" s="1"/>
  <c r="BL18" i="3"/>
  <c r="AZ18" i="3" s="1"/>
  <c r="BL27" i="3"/>
  <c r="AZ27" i="3" s="1"/>
  <c r="BA31" i="3"/>
  <c r="AZ31" i="3" s="1"/>
  <c r="BA36" i="3"/>
  <c r="AZ36" i="3" s="1"/>
  <c r="AZ38" i="3"/>
  <c r="BL45" i="3"/>
  <c r="AZ45" i="3" s="1"/>
  <c r="BA51" i="3"/>
  <c r="AZ51" i="3" s="1"/>
  <c r="AZ52" i="3"/>
  <c r="BA57" i="3"/>
  <c r="AZ57" i="3" s="1"/>
  <c r="BA62" i="3"/>
  <c r="AZ62" i="3" s="1"/>
  <c r="AZ64" i="3"/>
  <c r="AZ87" i="3"/>
  <c r="AZ112" i="3"/>
  <c r="BL205" i="3"/>
  <c r="BA207" i="3"/>
  <c r="AZ207" i="3" s="1"/>
  <c r="BL19" i="3"/>
  <c r="AZ19" i="3" s="1"/>
  <c r="BL23" i="3"/>
  <c r="AZ23" i="3" s="1"/>
  <c r="BA25" i="3"/>
  <c r="AZ25" i="3" s="1"/>
  <c r="BA26" i="3"/>
  <c r="AZ26" i="3" s="1"/>
  <c r="BL28" i="3"/>
  <c r="AZ28" i="3" s="1"/>
  <c r="BA30" i="3"/>
  <c r="AZ30" i="3" s="1"/>
  <c r="BA49" i="3"/>
  <c r="AZ49" i="3" s="1"/>
  <c r="AZ56" i="3"/>
  <c r="AZ205" i="3"/>
  <c r="BL206" i="3"/>
  <c r="AZ206" i="3" s="1"/>
  <c r="AZ95" i="3"/>
  <c r="AZ98" i="3"/>
  <c r="C51" i="10"/>
  <c r="A118" i="79"/>
  <c r="A2" i="79"/>
  <c r="U21" i="34"/>
  <c r="T27" i="71"/>
  <c r="D27" i="71"/>
  <c r="F3" i="35"/>
  <c r="D23" i="67"/>
  <c r="P52" i="71"/>
  <c r="P53" i="71"/>
  <c r="AA21" i="33"/>
  <c r="C25" i="40"/>
  <c r="C19" i="71"/>
  <c r="D18" i="71"/>
  <c r="AB21" i="33"/>
  <c r="AA21" i="34"/>
  <c r="S21" i="34"/>
  <c r="D33" i="71"/>
  <c r="C34" i="71"/>
  <c r="D34" i="71" s="1"/>
  <c r="C38" i="71"/>
  <c r="D37" i="71"/>
  <c r="C50" i="71"/>
  <c r="D49" i="71"/>
  <c r="AC12" i="43"/>
  <c r="AC10" i="43"/>
  <c r="Y11" i="71"/>
  <c r="Z11" i="71" s="1"/>
  <c r="E10" i="71"/>
  <c r="E9" i="71" s="1"/>
  <c r="E8" i="71" s="1"/>
  <c r="E7" i="71" s="1"/>
  <c r="V11" i="71"/>
  <c r="Y9" i="71"/>
  <c r="Z9" i="71" s="1"/>
  <c r="AA5" i="71"/>
  <c r="S18" i="35"/>
  <c r="S29" i="39"/>
  <c r="D47" i="71"/>
  <c r="D14" i="71"/>
  <c r="C57" i="71"/>
  <c r="D57" i="71" s="1"/>
  <c r="AA14" i="71"/>
  <c r="AB14" i="71"/>
  <c r="F14" i="71"/>
  <c r="F13" i="71" s="1"/>
  <c r="C54" i="71"/>
  <c r="X14" i="71"/>
  <c r="AB24" i="71"/>
  <c r="X23" i="71"/>
  <c r="AA20" i="71"/>
  <c r="AA24" i="71"/>
  <c r="X20" i="71"/>
  <c r="E17" i="71"/>
  <c r="E18" i="71" s="1"/>
  <c r="E19" i="71" s="1"/>
  <c r="U19" i="71" s="1"/>
  <c r="AA16" i="71"/>
  <c r="AB20" i="71"/>
  <c r="AB21" i="71"/>
  <c r="AA22" i="71"/>
  <c r="F54" i="71"/>
  <c r="B58" i="71"/>
  <c r="B57" i="71" s="1"/>
  <c r="B66" i="71"/>
  <c r="B65" i="71" s="1"/>
  <c r="AD10" i="43"/>
  <c r="AE10" i="43"/>
  <c r="C11" i="71"/>
  <c r="Y10" i="71"/>
  <c r="Z10" i="71" s="1"/>
  <c r="AB5" i="71"/>
  <c r="C74" i="71"/>
  <c r="E66" i="71"/>
  <c r="E65" i="71" s="1"/>
  <c r="E62" i="71"/>
  <c r="E61" i="71" s="1"/>
  <c r="E58" i="71"/>
  <c r="E57" i="71" s="1"/>
  <c r="D17" i="71"/>
  <c r="X13" i="71"/>
  <c r="B15" i="71"/>
  <c r="Y14" i="71"/>
  <c r="Z14" i="71" s="1"/>
  <c r="Y12" i="71"/>
  <c r="Z12" i="71" s="1"/>
  <c r="Y20" i="71"/>
  <c r="Z20" i="71" s="1"/>
  <c r="X19" i="71"/>
  <c r="AB16" i="71"/>
  <c r="AB22" i="71"/>
  <c r="S55" i="71"/>
  <c r="B54" i="71"/>
  <c r="N55" i="71"/>
  <c r="F66" i="71"/>
  <c r="F65" i="71" s="1"/>
  <c r="X11" i="71"/>
  <c r="AA9" i="71"/>
  <c r="AA8" i="71"/>
  <c r="X5" i="71"/>
  <c r="C23" i="71"/>
  <c r="AA12" i="71"/>
  <c r="AB12" i="71"/>
  <c r="Z12" i="43"/>
  <c r="AH12" i="43"/>
  <c r="AB11" i="71"/>
  <c r="AB10" i="71"/>
  <c r="Y5" i="71"/>
  <c r="Z5" i="71" s="1"/>
  <c r="AA11" i="71"/>
  <c r="AA10" i="71"/>
  <c r="X9" i="71"/>
  <c r="M56" i="9"/>
  <c r="J56" i="79"/>
  <c r="J57" i="79" s="1"/>
  <c r="J59" i="79" s="1"/>
  <c r="J61" i="79" s="1"/>
  <c r="N56" i="79"/>
  <c r="M56" i="79"/>
  <c r="K56" i="79"/>
  <c r="P23" i="43"/>
  <c r="B71" i="39" s="1"/>
  <c r="P22" i="43"/>
  <c r="P24" i="43"/>
  <c r="B66" i="40" s="1"/>
  <c r="J51" i="15"/>
  <c r="P25" i="43"/>
  <c r="P21" i="43"/>
  <c r="D63" i="40"/>
  <c r="D65" i="40" s="1"/>
  <c r="C70" i="39"/>
  <c r="D68" i="39"/>
  <c r="C28" i="81"/>
  <c r="C77" i="79"/>
  <c r="C74" i="79" s="1"/>
  <c r="E63" i="40"/>
  <c r="C77" i="9"/>
  <c r="C58" i="33"/>
  <c r="D58" i="33" s="1"/>
  <c r="E58" i="33" s="1"/>
  <c r="F58" i="33" s="1"/>
  <c r="G58" i="33" s="1"/>
  <c r="H58" i="33" s="1"/>
  <c r="I58" i="33" s="1"/>
  <c r="J58" i="33" s="1"/>
  <c r="K58" i="33" s="1"/>
  <c r="L58" i="33" s="1"/>
  <c r="M58" i="33" s="1"/>
  <c r="N58" i="33" s="1"/>
  <c r="O58" i="33" s="1"/>
  <c r="E7" i="33"/>
  <c r="G7" i="1"/>
  <c r="J51" i="81"/>
  <c r="M47" i="79"/>
  <c r="F49" i="81"/>
  <c r="G17" i="43"/>
  <c r="C16" i="43" s="1"/>
  <c r="J42" i="33"/>
  <c r="F42" i="33"/>
  <c r="B10" i="49"/>
  <c r="S32" i="33"/>
  <c r="H32" i="33"/>
  <c r="U43" i="33"/>
  <c r="S43" i="33"/>
  <c r="AC37" i="33"/>
  <c r="AC35" i="33"/>
  <c r="AA34" i="33"/>
  <c r="W39" i="33"/>
  <c r="AC23" i="33"/>
  <c r="B11" i="49"/>
  <c r="B6" i="49"/>
  <c r="E7" i="49"/>
  <c r="W21" i="33"/>
  <c r="W19" i="33"/>
  <c r="W17" i="33"/>
  <c r="AB17" i="33"/>
  <c r="H111" i="33"/>
  <c r="I111" i="33" s="1"/>
  <c r="J111" i="33" s="1"/>
  <c r="K111" i="33" s="1"/>
  <c r="L111" i="33" s="1"/>
  <c r="M111" i="33" s="1"/>
  <c r="J36" i="33"/>
  <c r="U27" i="33"/>
  <c r="AC25" i="33"/>
  <c r="U25" i="33"/>
  <c r="AA23" i="33"/>
  <c r="AA19" i="33"/>
  <c r="AA17" i="33"/>
  <c r="S15" i="33"/>
  <c r="U10" i="33"/>
  <c r="S9" i="33"/>
  <c r="W38" i="33"/>
  <c r="AA38" i="33"/>
  <c r="E15" i="49"/>
  <c r="B8" i="49"/>
  <c r="B9" i="49"/>
  <c r="C4" i="4" s="1"/>
  <c r="B4" i="62" s="1"/>
  <c r="B71" i="72" s="1"/>
  <c r="AA35" i="33"/>
  <c r="AC27" i="33"/>
  <c r="S27" i="33"/>
  <c r="W32" i="33"/>
  <c r="AA25" i="33"/>
  <c r="B22" i="49"/>
  <c r="B16" i="49"/>
  <c r="E21" i="49"/>
  <c r="E8" i="49"/>
  <c r="E16" i="49"/>
  <c r="B13" i="49"/>
  <c r="E4" i="4" s="1"/>
  <c r="B5" i="62" s="1"/>
  <c r="B73" i="72" s="1"/>
  <c r="C29" i="39"/>
  <c r="B66" i="43"/>
  <c r="B65" i="43"/>
  <c r="C15" i="39"/>
  <c r="C92" i="9"/>
  <c r="C94" i="9"/>
  <c r="F30" i="69"/>
  <c r="C30" i="69" s="1"/>
  <c r="C30" i="11"/>
  <c r="F54" i="9"/>
  <c r="F52" i="9"/>
  <c r="F28" i="15"/>
  <c r="C28" i="15" s="1"/>
  <c r="F32" i="67"/>
  <c r="F60" i="67" s="1"/>
  <c r="F28" i="67"/>
  <c r="C28" i="67" s="1"/>
  <c r="C24" i="12"/>
  <c r="C74" i="9"/>
  <c r="C36" i="11"/>
  <c r="D68" i="9"/>
  <c r="M18" i="15"/>
  <c r="F32" i="15"/>
  <c r="F60" i="15" s="1"/>
  <c r="M18" i="67"/>
  <c r="F31" i="12"/>
  <c r="C31" i="12" s="1"/>
  <c r="F30" i="68"/>
  <c r="C29" i="68"/>
  <c r="D27" i="68" s="1"/>
  <c r="C40" i="68"/>
  <c r="E9" i="49"/>
  <c r="E13" i="49"/>
  <c r="B14" i="49"/>
  <c r="E4" i="49"/>
  <c r="B5" i="49"/>
  <c r="E5" i="49"/>
  <c r="E6" i="49"/>
  <c r="E11" i="49"/>
  <c r="E22" i="49"/>
  <c r="B4" i="49"/>
  <c r="E14" i="49"/>
  <c r="E10" i="49"/>
  <c r="B15" i="49"/>
  <c r="B7" i="49"/>
  <c r="P61" i="15"/>
  <c r="F27" i="11"/>
  <c r="F27" i="6"/>
  <c r="E51" i="40"/>
  <c r="E56" i="39"/>
  <c r="AQ9" i="1"/>
  <c r="H16" i="1"/>
  <c r="D9" i="69"/>
  <c r="C9" i="69" s="1"/>
  <c r="F28" i="12"/>
  <c r="C29" i="12" s="1"/>
  <c r="D28" i="12" s="1"/>
  <c r="T13" i="1"/>
  <c r="AR11" i="1"/>
  <c r="T10" i="1"/>
  <c r="T12" i="1"/>
  <c r="E61" i="39"/>
  <c r="T8" i="1"/>
  <c r="E59" i="40"/>
  <c r="P7" i="1"/>
  <c r="C36" i="69"/>
  <c r="E16" i="6"/>
  <c r="O9" i="1"/>
  <c r="P9" i="1" s="1"/>
  <c r="O11" i="1"/>
  <c r="P11" i="1" s="1"/>
  <c r="O12" i="1"/>
  <c r="P12" i="1" s="1"/>
  <c r="O8" i="1"/>
  <c r="P8" i="1" s="1"/>
  <c r="K14" i="1"/>
  <c r="K16" i="1" s="1"/>
  <c r="D19" i="12"/>
  <c r="C19" i="12"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T35" i="4"/>
  <c r="A19" i="51" s="1"/>
  <c r="B14" i="72" s="1"/>
  <c r="G16" i="1"/>
  <c r="F10" i="39" s="1"/>
  <c r="G58" i="21"/>
  <c r="H58" i="21" s="1"/>
  <c r="I58" i="21" s="1"/>
  <c r="J58" i="21" s="1"/>
  <c r="K58" i="21" s="1"/>
  <c r="L58" i="21" s="1"/>
  <c r="M58" i="21" s="1"/>
  <c r="N58" i="21" s="1"/>
  <c r="O58" i="21" s="1"/>
  <c r="F59" i="34"/>
  <c r="C47" i="69"/>
  <c r="D45" i="69" s="1"/>
  <c r="C29" i="69"/>
  <c r="D27" i="69" s="1"/>
  <c r="D48" i="35"/>
  <c r="D52" i="37"/>
  <c r="C36" i="68"/>
  <c r="D46" i="36"/>
  <c r="C5" i="43"/>
  <c r="D5" i="43"/>
  <c r="K1" i="73"/>
  <c r="F66" i="15"/>
  <c r="F50" i="15"/>
  <c r="M7" i="15"/>
  <c r="J6" i="15" s="1"/>
  <c r="Q71" i="67"/>
  <c r="B13" i="70"/>
  <c r="M7" i="67"/>
  <c r="J6" i="67" s="1"/>
  <c r="F50" i="67"/>
  <c r="Q71" i="15"/>
  <c r="F64" i="15"/>
  <c r="C34" i="67"/>
  <c r="F63" i="67"/>
  <c r="C62" i="67" s="1"/>
  <c r="J20" i="67"/>
  <c r="F70" i="67"/>
  <c r="F68" i="67"/>
  <c r="F51" i="15"/>
  <c r="C6" i="67"/>
  <c r="B12" i="70"/>
  <c r="F64" i="67"/>
  <c r="F71" i="15"/>
  <c r="F68" i="15"/>
  <c r="C27" i="67"/>
  <c r="B11" i="70"/>
  <c r="F66" i="67"/>
  <c r="F65" i="15"/>
  <c r="C27" i="15"/>
  <c r="F65" i="67"/>
  <c r="C6" i="15"/>
  <c r="B9" i="70"/>
  <c r="N59" i="15"/>
  <c r="M59" i="15"/>
  <c r="L59" i="15"/>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M17" i="15"/>
  <c r="M17" i="67"/>
  <c r="F59" i="15"/>
  <c r="F59" i="67"/>
  <c r="F26" i="81"/>
  <c r="C16" i="67"/>
  <c r="F36" i="81"/>
  <c r="F42" i="81"/>
  <c r="F8" i="81"/>
  <c r="M26" i="81"/>
  <c r="F40" i="81"/>
  <c r="M22" i="81"/>
  <c r="F43" i="81"/>
  <c r="F7" i="81"/>
  <c r="M29" i="81"/>
  <c r="C14" i="67"/>
  <c r="M24" i="81"/>
  <c r="D4" i="73"/>
  <c r="F16" i="81"/>
  <c r="J15" i="81"/>
  <c r="M8" i="81"/>
  <c r="M28" i="81"/>
  <c r="M23" i="81"/>
  <c r="C17" i="67"/>
  <c r="M9" i="81"/>
  <c r="L47" i="81"/>
  <c r="G1" i="73"/>
  <c r="F9" i="81"/>
  <c r="C76" i="81"/>
  <c r="C16" i="15"/>
  <c r="F6" i="81"/>
  <c r="F38" i="81"/>
  <c r="F13" i="81"/>
  <c r="D3" i="73"/>
  <c r="F37" i="81"/>
  <c r="C47" i="68" l="1"/>
  <c r="D45" i="68" s="1"/>
  <c r="F65" i="81"/>
  <c r="F68" i="81"/>
  <c r="F66" i="81"/>
  <c r="C27" i="81"/>
  <c r="E20" i="43"/>
  <c r="M28" i="43" s="1"/>
  <c r="F50" i="81"/>
  <c r="M7" i="81"/>
  <c r="C6" i="81"/>
  <c r="F51" i="81"/>
  <c r="Q71" i="81"/>
  <c r="L58" i="81"/>
  <c r="Q60" i="81" s="1"/>
  <c r="F64" i="81"/>
  <c r="F71" i="81"/>
  <c r="AZ5" i="3"/>
  <c r="N54" i="71"/>
  <c r="B53" i="71"/>
  <c r="S15" i="71"/>
  <c r="B14" i="71"/>
  <c r="B13" i="71" s="1"/>
  <c r="T19" i="71"/>
  <c r="D19" i="71"/>
  <c r="AA26" i="37"/>
  <c r="S26" i="37"/>
  <c r="AB42" i="33"/>
  <c r="U42" i="33"/>
  <c r="E30" i="6"/>
  <c r="D23" i="71"/>
  <c r="T23" i="71"/>
  <c r="C10" i="71"/>
  <c r="D11" i="71"/>
  <c r="U11" i="71" s="1"/>
  <c r="T11" i="71"/>
  <c r="C39" i="71"/>
  <c r="D38" i="71"/>
  <c r="BA5" i="3"/>
  <c r="E27" i="6" s="1"/>
  <c r="BL5" i="3"/>
  <c r="C73" i="71"/>
  <c r="D73" i="71" s="1"/>
  <c r="D74" i="71"/>
  <c r="Q54" i="71"/>
  <c r="F53" i="71"/>
  <c r="D54" i="71"/>
  <c r="C53" i="71"/>
  <c r="O54" i="71"/>
  <c r="V7" i="71"/>
  <c r="E6" i="71"/>
  <c r="E5" i="71" s="1"/>
  <c r="G5" i="3"/>
  <c r="B3" i="3" s="1"/>
  <c r="E286" i="3" s="1"/>
  <c r="AB9" i="34"/>
  <c r="U9" i="34"/>
  <c r="E57" i="40"/>
  <c r="E62" i="39"/>
  <c r="E66" i="39" s="1"/>
  <c r="E58" i="40"/>
  <c r="E63" i="39"/>
  <c r="C51" i="71"/>
  <c r="D50" i="71"/>
  <c r="W36" i="35"/>
  <c r="AC36" i="35"/>
  <c r="U39" i="40"/>
  <c r="AB39" i="40"/>
  <c r="H7" i="21"/>
  <c r="AB7" i="21" s="1"/>
  <c r="T48" i="21" s="1"/>
  <c r="G48" i="21" s="1"/>
  <c r="J7" i="21"/>
  <c r="AC7" i="21" s="1"/>
  <c r="V48" i="21" s="1"/>
  <c r="I48" i="21" s="1"/>
  <c r="I54" i="81"/>
  <c r="J60" i="81"/>
  <c r="Q48" i="81" s="1"/>
  <c r="J57" i="81"/>
  <c r="J55" i="81" s="1"/>
  <c r="J58" i="81" s="1"/>
  <c r="Q50" i="81" s="1"/>
  <c r="N59" i="81"/>
  <c r="J53" i="81"/>
  <c r="J59" i="81"/>
  <c r="L59" i="81"/>
  <c r="M59" i="81"/>
  <c r="G7" i="33"/>
  <c r="F7" i="33"/>
  <c r="L60" i="81"/>
  <c r="E65" i="40"/>
  <c r="F63" i="40"/>
  <c r="D70" i="39"/>
  <c r="E68" i="39"/>
  <c r="L46" i="81"/>
  <c r="L56" i="81"/>
  <c r="L57" i="81"/>
  <c r="Z7" i="1"/>
  <c r="F11" i="81"/>
  <c r="M11" i="81"/>
  <c r="AA42" i="33"/>
  <c r="S42" i="33"/>
  <c r="AC42" i="33"/>
  <c r="W42" i="33"/>
  <c r="AB32" i="33"/>
  <c r="U32" i="33"/>
  <c r="AC36" i="33"/>
  <c r="W36" i="33"/>
  <c r="K4" i="4"/>
  <c r="B46" i="48" s="1"/>
  <c r="B4" i="72" s="1"/>
  <c r="C48" i="69"/>
  <c r="C30" i="68"/>
  <c r="C48" i="68"/>
  <c r="C47" i="11"/>
  <c r="D45" i="11" s="1"/>
  <c r="C29" i="11"/>
  <c r="D27" i="11" s="1"/>
  <c r="AY6" i="3"/>
  <c r="E3" i="6"/>
  <c r="F31" i="6"/>
  <c r="D22" i="43"/>
  <c r="M14" i="1"/>
  <c r="C34" i="69"/>
  <c r="L109" i="43"/>
  <c r="L106" i="43"/>
  <c r="L107" i="43"/>
  <c r="L103" i="43"/>
  <c r="L102" i="43"/>
  <c r="L105" i="43"/>
  <c r="L104" i="43"/>
  <c r="N102" i="43"/>
  <c r="N103" i="43"/>
  <c r="N106" i="43"/>
  <c r="N107" i="43"/>
  <c r="N105" i="43"/>
  <c r="N104" i="43"/>
  <c r="N109" i="43"/>
  <c r="K103" i="43"/>
  <c r="K107" i="43"/>
  <c r="K104" i="43"/>
  <c r="K106" i="43"/>
  <c r="K102" i="43"/>
  <c r="K105" i="43"/>
  <c r="K109" i="43"/>
  <c r="E102" i="43"/>
  <c r="E106" i="43"/>
  <c r="E103" i="43"/>
  <c r="E104" i="43"/>
  <c r="E107" i="43"/>
  <c r="E105" i="43"/>
  <c r="E109" i="43"/>
  <c r="M102" i="43"/>
  <c r="M106" i="43"/>
  <c r="M103" i="43"/>
  <c r="M109" i="43"/>
  <c r="M104" i="43"/>
  <c r="M105" i="43"/>
  <c r="M107" i="43"/>
  <c r="J105" i="43"/>
  <c r="J103" i="43"/>
  <c r="J106" i="43"/>
  <c r="J104" i="43"/>
  <c r="J107" i="43"/>
  <c r="J102" i="43"/>
  <c r="J109" i="43"/>
  <c r="G102" i="43"/>
  <c r="G103" i="43"/>
  <c r="G109" i="43"/>
  <c r="G105" i="43"/>
  <c r="G107" i="43"/>
  <c r="G104" i="43"/>
  <c r="G106" i="43"/>
  <c r="H102" i="43"/>
  <c r="H103" i="43"/>
  <c r="H104" i="43"/>
  <c r="H109" i="43"/>
  <c r="H106" i="43"/>
  <c r="H107" i="43"/>
  <c r="H105" i="43"/>
  <c r="F104" i="43"/>
  <c r="F107" i="43"/>
  <c r="F106" i="43"/>
  <c r="F103" i="43"/>
  <c r="F102" i="43"/>
  <c r="F105" i="43"/>
  <c r="F109" i="43"/>
  <c r="I104" i="43"/>
  <c r="I109" i="43"/>
  <c r="I102"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F10" i="40"/>
  <c r="S10" i="40" s="1"/>
  <c r="C49" i="67"/>
  <c r="H10" i="40"/>
  <c r="U10" i="40" s="1"/>
  <c r="J10" i="39"/>
  <c r="J10" i="40"/>
  <c r="H10" i="39"/>
  <c r="C49" i="15"/>
  <c r="S10" i="39"/>
  <c r="AA10" i="39"/>
  <c r="E48" i="35"/>
  <c r="G59" i="34"/>
  <c r="F7" i="21"/>
  <c r="U7" i="21"/>
  <c r="E46" i="36"/>
  <c r="F46" i="36" s="1"/>
  <c r="G46" i="36" s="1"/>
  <c r="H46" i="36" s="1"/>
  <c r="I46" i="36" s="1"/>
  <c r="J46" i="36" s="1"/>
  <c r="K46" i="36" s="1"/>
  <c r="L46" i="36" s="1"/>
  <c r="M46" i="36" s="1"/>
  <c r="N46" i="36" s="1"/>
  <c r="O46" i="36" s="1"/>
  <c r="E52" i="37"/>
  <c r="W7" i="21"/>
  <c r="C39" i="43"/>
  <c r="C38" i="43"/>
  <c r="C36" i="43"/>
  <c r="C35" i="43"/>
  <c r="C37" i="43"/>
  <c r="C33" i="43"/>
  <c r="C34" i="43"/>
  <c r="T14" i="43"/>
  <c r="V14" i="43" s="1"/>
  <c r="T8" i="43"/>
  <c r="V8" i="43" s="1"/>
  <c r="T13" i="43"/>
  <c r="V13" i="43" s="1"/>
  <c r="T16" i="43"/>
  <c r="V16" i="43" s="1"/>
  <c r="T15" i="43"/>
  <c r="V15" i="43" s="1"/>
  <c r="T9" i="43"/>
  <c r="V9" i="43" s="1"/>
  <c r="T12" i="43"/>
  <c r="V12" i="43" s="1"/>
  <c r="T10" i="43"/>
  <c r="V10" i="43" s="1"/>
  <c r="T11" i="43"/>
  <c r="V11" i="43" s="1"/>
  <c r="B40" i="1"/>
  <c r="F24" i="81" s="1"/>
  <c r="C15" i="67"/>
  <c r="C18" i="67"/>
  <c r="J18" i="67"/>
  <c r="Q61" i="67"/>
  <c r="Q74" i="67"/>
  <c r="Q60" i="67"/>
  <c r="Q73" i="67"/>
  <c r="F11" i="67"/>
  <c r="M11" i="67"/>
  <c r="J10" i="67" s="1"/>
  <c r="J5" i="67" s="1"/>
  <c r="M11" i="15"/>
  <c r="J10" i="15" s="1"/>
  <c r="J5" i="15" s="1"/>
  <c r="F11" i="15"/>
  <c r="Q74" i="15"/>
  <c r="Q61" i="15"/>
  <c r="C32" i="67"/>
  <c r="F1" i="67"/>
  <c r="Q52" i="67"/>
  <c r="F1" i="15"/>
  <c r="Q52" i="15"/>
  <c r="Q60" i="15"/>
  <c r="Q73" i="15"/>
  <c r="J18" i="15"/>
  <c r="C32" i="15"/>
  <c r="AE6" i="1"/>
  <c r="C16" i="81"/>
  <c r="M6" i="81"/>
  <c r="F33" i="83" l="1"/>
  <c r="J33" i="83"/>
  <c r="H33" i="83"/>
  <c r="P28" i="43"/>
  <c r="N28" i="43"/>
  <c r="O28" i="43"/>
  <c r="C49" i="81"/>
  <c r="C53" i="81" s="1"/>
  <c r="C48" i="81" s="1"/>
  <c r="Q73" i="81"/>
  <c r="E31" i="6"/>
  <c r="K22" i="6"/>
  <c r="M22" i="6" s="1"/>
  <c r="I22" i="6" s="1"/>
  <c r="S22" i="6" s="1"/>
  <c r="K24" i="6"/>
  <c r="M24" i="6" s="1"/>
  <c r="I24" i="6" s="1"/>
  <c r="S24" i="6" s="1"/>
  <c r="K25" i="6"/>
  <c r="M25" i="6" s="1"/>
  <c r="I25" i="6" s="1"/>
  <c r="K26" i="6"/>
  <c r="M26" i="6" s="1"/>
  <c r="I26" i="6" s="1"/>
  <c r="K20" i="6"/>
  <c r="K23" i="6"/>
  <c r="M23" i="6" s="1"/>
  <c r="I23" i="6" s="1"/>
  <c r="K19" i="6"/>
  <c r="S6" i="1" s="1"/>
  <c r="K21" i="6"/>
  <c r="M21" i="6" s="1"/>
  <c r="I21" i="6" s="1"/>
  <c r="S21" i="6" s="1"/>
  <c r="C9" i="71"/>
  <c r="D10" i="71"/>
  <c r="E291" i="3"/>
  <c r="E558" i="3"/>
  <c r="Q53" i="71"/>
  <c r="Q52" i="71"/>
  <c r="T39" i="71"/>
  <c r="D39" i="71"/>
  <c r="N52" i="71"/>
  <c r="N53" i="71"/>
  <c r="D51" i="71"/>
  <c r="T51" i="71"/>
  <c r="E217" i="3"/>
  <c r="E526" i="3"/>
  <c r="E268" i="3"/>
  <c r="E322" i="3"/>
  <c r="AJ6" i="3"/>
  <c r="E175" i="3"/>
  <c r="E530" i="3"/>
  <c r="E343" i="3"/>
  <c r="E305" i="3"/>
  <c r="E508" i="3"/>
  <c r="O6" i="3"/>
  <c r="E574" i="3"/>
  <c r="E359" i="3"/>
  <c r="E285" i="3"/>
  <c r="E97" i="3"/>
  <c r="E270" i="3"/>
  <c r="E533" i="3"/>
  <c r="AR6" i="3"/>
  <c r="E561" i="3"/>
  <c r="E538" i="3"/>
  <c r="E439" i="3"/>
  <c r="E380" i="3"/>
  <c r="E231" i="3"/>
  <c r="E21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319" i="3"/>
  <c r="E153" i="3"/>
  <c r="E328" i="3"/>
  <c r="E509" i="3"/>
  <c r="E569" i="3"/>
  <c r="E337" i="3"/>
  <c r="E201" i="3"/>
  <c r="E311" i="3"/>
  <c r="S6" i="3"/>
  <c r="E551" i="3"/>
  <c r="AB6" i="3"/>
  <c r="E338" i="3"/>
  <c r="E189" i="3"/>
  <c r="E236" i="3"/>
  <c r="E228" i="3"/>
  <c r="E161" i="3"/>
  <c r="E89" i="3"/>
  <c r="E77" i="3"/>
  <c r="E277" i="3"/>
  <c r="E204" i="3"/>
  <c r="E327" i="3"/>
  <c r="Z6" i="3"/>
  <c r="E560" i="3"/>
  <c r="E485" i="3"/>
  <c r="E400" i="3"/>
  <c r="E587" i="3"/>
  <c r="E577" i="3"/>
  <c r="E468" i="3"/>
  <c r="E454" i="3"/>
  <c r="E95" i="3"/>
  <c r="E132" i="3"/>
  <c r="E258" i="3"/>
  <c r="E292" i="3"/>
  <c r="E572" i="3"/>
  <c r="E109" i="3"/>
  <c r="E412" i="3"/>
  <c r="E129" i="3"/>
  <c r="E220" i="3"/>
  <c r="E324" i="3"/>
  <c r="E522" i="3"/>
  <c r="E49" i="3"/>
  <c r="E370" i="3"/>
  <c r="E113" i="3"/>
  <c r="E308" i="3"/>
  <c r="E83" i="3"/>
  <c r="E366" i="3"/>
  <c r="E282" i="3"/>
  <c r="E516" i="3"/>
  <c r="E410" i="3"/>
  <c r="E247" i="3"/>
  <c r="E151" i="3"/>
  <c r="E390" i="3"/>
  <c r="E559" i="3"/>
  <c r="M6" i="3"/>
  <c r="E418" i="3"/>
  <c r="E320" i="3"/>
  <c r="E215" i="3"/>
  <c r="E169" i="3"/>
  <c r="E156" i="3"/>
  <c r="E188" i="3"/>
  <c r="E290" i="3"/>
  <c r="E122" i="3"/>
  <c r="E149" i="3"/>
  <c r="E45" i="3"/>
  <c r="E271" i="3"/>
  <c r="E167" i="3"/>
  <c r="E193" i="3"/>
  <c r="E107"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501" i="3"/>
  <c r="E426" i="3"/>
  <c r="E239" i="3"/>
  <c r="E555" i="3"/>
  <c r="E431" i="3"/>
  <c r="E229" i="3"/>
  <c r="E358" i="3"/>
  <c r="E570" i="3"/>
  <c r="E506" i="3"/>
  <c r="E407" i="3"/>
  <c r="E335" i="3"/>
  <c r="E298" i="3"/>
  <c r="E136" i="3"/>
  <c r="E99" i="3"/>
  <c r="E135" i="3"/>
  <c r="E269" i="3"/>
  <c r="E157" i="3"/>
  <c r="E120" i="3"/>
  <c r="E252" i="3"/>
  <c r="E253" i="3"/>
  <c r="E177" i="3"/>
  <c r="E164" i="3"/>
  <c r="E330" i="3"/>
  <c r="E576" i="3"/>
  <c r="E499" i="3"/>
  <c r="Q6" i="3"/>
  <c r="AG6" i="3"/>
  <c r="E502" i="3"/>
  <c r="E437" i="3"/>
  <c r="E448" i="3"/>
  <c r="E466" i="3"/>
  <c r="E481" i="3"/>
  <c r="P6" i="3"/>
  <c r="E430" i="3"/>
  <c r="E424" i="3"/>
  <c r="E443" i="3"/>
  <c r="E255" i="3"/>
  <c r="E344" i="3"/>
  <c r="AP6" i="3"/>
  <c r="AE6" i="3"/>
  <c r="E581" i="3"/>
  <c r="E517" i="3"/>
  <c r="E429" i="3"/>
  <c r="E444" i="3"/>
  <c r="E491" i="3"/>
  <c r="E496" i="3"/>
  <c r="E404" i="3"/>
  <c r="E479" i="3"/>
  <c r="E55" i="3"/>
  <c r="E88" i="3"/>
  <c r="E37" i="3"/>
  <c r="E73" i="3"/>
  <c r="E121" i="3"/>
  <c r="E152" i="3"/>
  <c r="E203" i="3"/>
  <c r="E166" i="3"/>
  <c r="E192" i="3"/>
  <c r="E256" i="3"/>
  <c r="E295" i="3"/>
  <c r="E241" i="3"/>
  <c r="E274" i="3"/>
  <c r="E316" i="3"/>
  <c r="E363" i="3"/>
  <c r="E394" i="3"/>
  <c r="E334" i="3"/>
  <c r="E389" i="3"/>
  <c r="E580" i="3"/>
  <c r="E30" i="3"/>
  <c r="E76" i="3"/>
  <c r="E32" i="3"/>
  <c r="E480" i="3"/>
  <c r="E462"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8" i="3"/>
  <c r="E579" i="3"/>
  <c r="E396" i="3"/>
  <c r="E143" i="3"/>
  <c r="E514" i="3"/>
  <c r="E523" i="3"/>
  <c r="V6" i="3"/>
  <c r="E387" i="3"/>
  <c r="E321" i="3"/>
  <c r="E230" i="3"/>
  <c r="E191" i="3"/>
  <c r="E61" i="3"/>
  <c r="E148" i="3"/>
  <c r="E181" i="3"/>
  <c r="E117" i="3"/>
  <c r="E207" i="3"/>
  <c r="E212" i="3"/>
  <c r="E224" i="3"/>
  <c r="E145" i="3"/>
  <c r="E141" i="3"/>
  <c r="E313" i="3"/>
  <c r="E379" i="3"/>
  <c r="AD6" i="3"/>
  <c r="E532" i="3"/>
  <c r="U6" i="3"/>
  <c r="E552" i="3"/>
  <c r="E529" i="3"/>
  <c r="E411" i="3"/>
  <c r="E474" i="3"/>
  <c r="E548" i="3"/>
  <c r="E398" i="3"/>
  <c r="E432" i="3"/>
  <c r="E288" i="3"/>
  <c r="E566" i="3"/>
  <c r="E547" i="3"/>
  <c r="E403" i="3"/>
  <c r="E471" i="3"/>
  <c r="E436" i="3"/>
  <c r="E71" i="3"/>
  <c r="E54" i="3"/>
  <c r="E131" i="3"/>
  <c r="E126" i="3"/>
  <c r="E208" i="3"/>
  <c r="E297" i="3"/>
  <c r="E357" i="3"/>
  <c r="E375" i="3"/>
  <c r="AM6" i="3"/>
  <c r="E58" i="3"/>
  <c r="E29" i="3"/>
  <c r="E473" i="3"/>
  <c r="E467" i="3"/>
  <c r="E46" i="3"/>
  <c r="E160" i="3"/>
  <c r="E200" i="3"/>
  <c r="E300" i="3"/>
  <c r="E310" i="3"/>
  <c r="E23" i="3"/>
  <c r="E67" i="3"/>
  <c r="E144" i="3"/>
  <c r="E233" i="3"/>
  <c r="E381" i="3"/>
  <c r="E63" i="3"/>
  <c r="E118" i="3"/>
  <c r="E283" i="3"/>
  <c r="E513" i="3"/>
  <c r="E185" i="3"/>
  <c r="E199" i="3"/>
  <c r="E575" i="3"/>
  <c r="E442" i="3"/>
  <c r="E541" i="3"/>
  <c r="E449" i="3"/>
  <c r="I3" i="6"/>
  <c r="E557" i="3"/>
  <c r="E531" i="3"/>
  <c r="E489" i="3"/>
  <c r="E28" i="3"/>
  <c r="E70" i="3"/>
  <c r="E146" i="3"/>
  <c r="E171" i="3"/>
  <c r="E273" i="3"/>
  <c r="E377" i="3"/>
  <c r="E362" i="3"/>
  <c r="E74" i="3"/>
  <c r="E409" i="3"/>
  <c r="E18" i="3"/>
  <c r="E78" i="3"/>
  <c r="E174" i="3"/>
  <c r="E235" i="3"/>
  <c r="E342" i="3"/>
  <c r="E86" i="3"/>
  <c r="E206" i="3"/>
  <c r="E251" i="3"/>
  <c r="E102" i="3"/>
  <c r="E158" i="3"/>
  <c r="E326" i="3"/>
  <c r="E125" i="3"/>
  <c r="E553" i="3"/>
  <c r="N6" i="3"/>
  <c r="E464" i="3"/>
  <c r="E438" i="3"/>
  <c r="E459" i="3"/>
  <c r="E367" i="3"/>
  <c r="W6" i="3"/>
  <c r="E582" i="3"/>
  <c r="E537" i="3"/>
  <c r="E460" i="3"/>
  <c r="E546" i="3"/>
  <c r="E475" i="3"/>
  <c r="E90" i="3"/>
  <c r="E92" i="3"/>
  <c r="E168" i="3"/>
  <c r="E155" i="3"/>
  <c r="E272" i="3"/>
  <c r="E257" i="3"/>
  <c r="E348" i="3"/>
  <c r="E317" i="3"/>
  <c r="E14" i="3"/>
  <c r="E93" i="3"/>
  <c r="E540" i="3"/>
  <c r="E425" i="3"/>
  <c r="E64" i="3"/>
  <c r="E103" i="3"/>
  <c r="E142" i="3"/>
  <c r="E267" i="3"/>
  <c r="E249" i="3"/>
  <c r="E371" i="3"/>
  <c r="E492" i="3"/>
  <c r="E84" i="3"/>
  <c r="E33" i="3"/>
  <c r="E184" i="3"/>
  <c r="E355" i="3"/>
  <c r="E68" i="3"/>
  <c r="E81" i="3"/>
  <c r="E264" i="3"/>
  <c r="E309" i="3"/>
  <c r="E21" i="3"/>
  <c r="E294" i="3"/>
  <c r="E133" i="3"/>
  <c r="K6" i="3"/>
  <c r="R6" i="3"/>
  <c r="AO6" i="3"/>
  <c r="E472" i="3"/>
  <c r="E406" i="3"/>
  <c r="E465" i="3"/>
  <c r="E345" i="3"/>
  <c r="E554" i="3"/>
  <c r="E435" i="3"/>
  <c r="E417" i="3"/>
  <c r="E56" i="3"/>
  <c r="E106" i="3"/>
  <c r="E182" i="3"/>
  <c r="E211" i="3"/>
  <c r="E214" i="3"/>
  <c r="E315" i="3"/>
  <c r="E349" i="3"/>
  <c r="E544" i="3"/>
  <c r="E59" i="3"/>
  <c r="E484" i="3"/>
  <c r="E96" i="3"/>
  <c r="E190" i="3"/>
  <c r="E275" i="3"/>
  <c r="E383" i="3"/>
  <c r="E35" i="3"/>
  <c r="E34" i="3"/>
  <c r="E232" i="3"/>
  <c r="AF6" i="3"/>
  <c r="E80" i="3"/>
  <c r="E287" i="3"/>
  <c r="E22" i="3"/>
  <c r="E114" i="3"/>
  <c r="E415" i="3"/>
  <c r="E395" i="3"/>
  <c r="E260" i="3"/>
  <c r="E550" i="3"/>
  <c r="E329" i="3"/>
  <c r="E545" i="3"/>
  <c r="E510" i="3"/>
  <c r="E352" i="3"/>
  <c r="E205" i="3"/>
  <c r="E128" i="3"/>
  <c r="E385" i="3"/>
  <c r="E518" i="3"/>
  <c r="AI6" i="3"/>
  <c r="E578" i="3"/>
  <c r="E423" i="3"/>
  <c r="E382" i="3"/>
  <c r="E263" i="3"/>
  <c r="E245" i="3"/>
  <c r="E261" i="3"/>
  <c r="E528" i="3"/>
  <c r="E183" i="3"/>
  <c r="E361" i="3"/>
  <c r="E503" i="3"/>
  <c r="E347" i="3"/>
  <c r="AA6" i="3"/>
  <c r="E399" i="3"/>
  <c r="E280" i="3"/>
  <c r="E124" i="3"/>
  <c r="E397" i="3"/>
  <c r="E568" i="3"/>
  <c r="I6" i="3"/>
  <c r="H6" i="3" s="1"/>
  <c r="E536" i="3"/>
  <c r="E549" i="3"/>
  <c r="E453" i="3"/>
  <c r="E368" i="3"/>
  <c r="E244" i="3"/>
  <c r="E196" i="3"/>
  <c r="E69" i="3"/>
  <c r="E563" i="3"/>
  <c r="E445" i="3"/>
  <c r="E539" i="3"/>
  <c r="E461" i="3"/>
  <c r="E165" i="3"/>
  <c r="E495" i="3"/>
  <c r="E586" i="3"/>
  <c r="E350" i="3"/>
  <c r="E301" i="3"/>
  <c r="E278" i="3"/>
  <c r="E172" i="3"/>
  <c r="E535" i="3"/>
  <c r="E567" i="3"/>
  <c r="E227" i="3"/>
  <c r="E353" i="3"/>
  <c r="AN6" i="3"/>
  <c r="AC6" i="3" s="1"/>
  <c r="E402" i="3"/>
  <c r="E303" i="3"/>
  <c r="E159" i="3"/>
  <c r="E237" i="3"/>
  <c r="E304" i="3"/>
  <c r="E565" i="3"/>
  <c r="E213" i="3"/>
  <c r="E17" i="3"/>
  <c r="E302" i="3"/>
  <c r="E583" i="3"/>
  <c r="X6" i="3"/>
  <c r="E336" i="3"/>
  <c r="E246" i="3"/>
  <c r="E293" i="3"/>
  <c r="E314" i="3"/>
  <c r="E511" i="3"/>
  <c r="E16" i="3"/>
  <c r="AK6" i="3"/>
  <c r="E434" i="3"/>
  <c r="E306" i="3"/>
  <c r="E296" i="3"/>
  <c r="E262" i="3"/>
  <c r="O52" i="71"/>
  <c r="O53" i="71"/>
  <c r="D53" i="71"/>
  <c r="C32" i="81"/>
  <c r="C33" i="81"/>
  <c r="F7" i="36"/>
  <c r="J7" i="36"/>
  <c r="S7" i="33"/>
  <c r="AA7" i="33"/>
  <c r="R48" i="33" s="1"/>
  <c r="E48" i="33" s="1"/>
  <c r="E52" i="33" s="1"/>
  <c r="F52" i="33" s="1"/>
  <c r="E70" i="39"/>
  <c r="F68" i="39"/>
  <c r="G63" i="40"/>
  <c r="F65" i="40"/>
  <c r="Q66" i="81"/>
  <c r="Q57" i="81"/>
  <c r="I7" i="33"/>
  <c r="J7" i="33" s="1"/>
  <c r="H7" i="33"/>
  <c r="Q74" i="81"/>
  <c r="Q61" i="81"/>
  <c r="F1" i="81"/>
  <c r="Q52" i="81"/>
  <c r="J6" i="81"/>
  <c r="J18" i="81" s="1"/>
  <c r="C24" i="81"/>
  <c r="C10" i="81"/>
  <c r="C5" i="81" s="1"/>
  <c r="M20" i="6"/>
  <c r="I20" i="6" s="1"/>
  <c r="S20" i="6" s="1"/>
  <c r="S7" i="1"/>
  <c r="AQ6" i="1"/>
  <c r="S16" i="1"/>
  <c r="T6" i="1"/>
  <c r="AR6" i="1"/>
  <c r="C17" i="4"/>
  <c r="B4" i="52" s="1"/>
  <c r="B43" i="72" s="1"/>
  <c r="D19" i="11"/>
  <c r="C19" i="11" s="1"/>
  <c r="C20" i="11" s="1"/>
  <c r="C28" i="11" s="1"/>
  <c r="C27" i="11" s="1"/>
  <c r="D3" i="21"/>
  <c r="D3" i="37"/>
  <c r="D3" i="33"/>
  <c r="D37" i="11"/>
  <c r="C37" i="11" s="1"/>
  <c r="M18" i="9"/>
  <c r="B118" i="9" s="1"/>
  <c r="B14" i="74" s="1"/>
  <c r="B1" i="74" s="1"/>
  <c r="C7" i="74" s="1"/>
  <c r="L18" i="9"/>
  <c r="D3" i="34"/>
  <c r="E6" i="6"/>
  <c r="D14" i="12"/>
  <c r="AY103" i="3"/>
  <c r="AY82" i="3"/>
  <c r="AY191" i="3"/>
  <c r="AY132" i="3"/>
  <c r="AY31" i="3"/>
  <c r="AY292" i="3"/>
  <c r="AY147" i="3"/>
  <c r="AY220" i="3"/>
  <c r="AY350"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AY98" i="3"/>
  <c r="AY18" i="3"/>
  <c r="AY171" i="3"/>
  <c r="AY90" i="3"/>
  <c r="AY163" i="3"/>
  <c r="AY75" i="3"/>
  <c r="AY237" i="3"/>
  <c r="AY387" i="3"/>
  <c r="AY334" i="3"/>
  <c r="AY470" i="3"/>
  <c r="AY428" i="3"/>
  <c r="AY409" i="3"/>
  <c r="AY10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70" i="3"/>
  <c r="AY138" i="3"/>
  <c r="AY185" i="3"/>
  <c r="AY154" i="3"/>
  <c r="AY165" i="3"/>
  <c r="AY133" i="3"/>
  <c r="AY125"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8"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9"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 i="3"/>
  <c r="AY497" i="3"/>
  <c r="AY412" i="3"/>
  <c r="AY455" i="3"/>
  <c r="AY489" i="3"/>
  <c r="AY363" i="3"/>
  <c r="AY252" i="3"/>
  <c r="AY204" i="3"/>
  <c r="AY123" i="3"/>
  <c r="AY74" i="3"/>
  <c r="AY139" i="3"/>
  <c r="AY196" i="3"/>
  <c r="AY67" i="3"/>
  <c r="AY83" i="3"/>
  <c r="AY66" i="3"/>
  <c r="AY23" i="3"/>
  <c r="AY176" i="3"/>
  <c r="AY155" i="3"/>
  <c r="AY115" i="3"/>
  <c r="AY59" i="3"/>
  <c r="AY188" i="3"/>
  <c r="AY131" i="3"/>
  <c r="AY276" i="3"/>
  <c r="AY58" i="3"/>
  <c r="AY297" i="3"/>
  <c r="AY268" i="3"/>
  <c r="AY225" i="3"/>
  <c r="AY371" i="3"/>
  <c r="AY335" i="3"/>
  <c r="AY318" i="3"/>
  <c r="AY199" i="3"/>
  <c r="AY526" i="3"/>
  <c r="AY425" i="3"/>
  <c r="AY444" i="3"/>
  <c r="AY486" i="3"/>
  <c r="AY319" i="3"/>
  <c r="AY209" i="3"/>
  <c r="AY284" i="3"/>
  <c r="AY261" i="3"/>
  <c r="AY183" i="3"/>
  <c r="AY289" i="3"/>
  <c r="AY160" i="3"/>
  <c r="AY50" i="3"/>
  <c r="AY87" i="3"/>
  <c r="AY51" i="3"/>
  <c r="AY34" i="3"/>
  <c r="AY207" i="3"/>
  <c r="AY144" i="3"/>
  <c r="AY124" i="3"/>
  <c r="AY95" i="3"/>
  <c r="AY42" i="3"/>
  <c r="AY152" i="3"/>
  <c r="AY281" i="3"/>
  <c r="AY111" i="3"/>
  <c r="AY168" i="3"/>
  <c r="AY253" i="3"/>
  <c r="AY236" i="3"/>
  <c r="AY382" i="3"/>
  <c r="AY366" i="3"/>
  <c r="AY303" i="3"/>
  <c r="H25" i="6"/>
  <c r="S25" i="6"/>
  <c r="H26" i="6"/>
  <c r="S26" i="6"/>
  <c r="M19" i="6"/>
  <c r="K27" i="6"/>
  <c r="H23" i="6"/>
  <c r="S23" i="6"/>
  <c r="AA10" i="40"/>
  <c r="AB10" i="40"/>
  <c r="C38" i="69"/>
  <c r="C35" i="69"/>
  <c r="O14" i="1"/>
  <c r="O16" i="1" s="1"/>
  <c r="M16" i="1"/>
  <c r="C115" i="43"/>
  <c r="D113" i="43" s="1"/>
  <c r="S4" i="43"/>
  <c r="T4" i="43" s="1"/>
  <c r="V4" i="43" s="1"/>
  <c r="S2" i="43"/>
  <c r="T2" i="43" s="1"/>
  <c r="V2" i="43" s="1"/>
  <c r="S6" i="43"/>
  <c r="T6" i="43" s="1"/>
  <c r="V6" i="43" s="1"/>
  <c r="C23" i="43"/>
  <c r="C21" i="43" s="1"/>
  <c r="C29" i="43" s="1"/>
  <c r="E29" i="43" s="1"/>
  <c r="S7" i="43"/>
  <c r="T7" i="43" s="1"/>
  <c r="V7" i="43" s="1"/>
  <c r="S5" i="43"/>
  <c r="T5" i="43" s="1"/>
  <c r="V5" i="43" s="1"/>
  <c r="S3" i="43"/>
  <c r="T3" i="43" s="1"/>
  <c r="V3" i="43" s="1"/>
  <c r="W10" i="40"/>
  <c r="AC10" i="40"/>
  <c r="U10" i="39"/>
  <c r="AB10" i="39"/>
  <c r="W10" i="39"/>
  <c r="AC10" i="39"/>
  <c r="S7" i="36"/>
  <c r="AA7" i="36"/>
  <c r="R36" i="36" s="1"/>
  <c r="I52" i="21"/>
  <c r="J52" i="21" s="1"/>
  <c r="F52" i="37"/>
  <c r="G52" i="37" s="1"/>
  <c r="H52" i="37" s="1"/>
  <c r="I52" i="37" s="1"/>
  <c r="J52" i="37" s="1"/>
  <c r="K52" i="37" s="1"/>
  <c r="L52" i="37" s="1"/>
  <c r="M52" i="37" s="1"/>
  <c r="N52" i="37" s="1"/>
  <c r="O52" i="37" s="1"/>
  <c r="AC7" i="36"/>
  <c r="V36" i="36" s="1"/>
  <c r="I36" i="36" s="1"/>
  <c r="W7" i="36"/>
  <c r="G52" i="21"/>
  <c r="H52" i="21" s="1"/>
  <c r="G53" i="21"/>
  <c r="H53" i="21" s="1"/>
  <c r="AA7" i="21"/>
  <c r="R48" i="21" s="1"/>
  <c r="S7" i="21"/>
  <c r="H59" i="34"/>
  <c r="I59" i="34" s="1"/>
  <c r="J59" i="34" s="1"/>
  <c r="K59" i="34" s="1"/>
  <c r="L59" i="34" s="1"/>
  <c r="M59" i="34" s="1"/>
  <c r="N59" i="34" s="1"/>
  <c r="O59" i="34" s="1"/>
  <c r="F48" i="35"/>
  <c r="G48" i="35" s="1"/>
  <c r="H48" i="35" s="1"/>
  <c r="I48" i="35" s="1"/>
  <c r="J48" i="35" s="1"/>
  <c r="K48" i="35" s="1"/>
  <c r="L48" i="35" s="1"/>
  <c r="M48" i="35" s="1"/>
  <c r="N48" i="35" s="1"/>
  <c r="O48" i="35" s="1"/>
  <c r="H7" i="36"/>
  <c r="E33" i="43"/>
  <c r="G33" i="43"/>
  <c r="I33" i="43" s="1"/>
  <c r="E35" i="43"/>
  <c r="G35" i="43"/>
  <c r="I35" i="43" s="1"/>
  <c r="G38" i="43"/>
  <c r="I38" i="43" s="1"/>
  <c r="E38" i="43"/>
  <c r="E34" i="43"/>
  <c r="G34" i="43"/>
  <c r="I34" i="43" s="1"/>
  <c r="E37" i="43"/>
  <c r="G37" i="43"/>
  <c r="I37" i="43" s="1"/>
  <c r="E36" i="43"/>
  <c r="G36" i="43"/>
  <c r="I36" i="43" s="1"/>
  <c r="E39" i="43"/>
  <c r="G39" i="43"/>
  <c r="I39" i="43" s="1"/>
  <c r="C19" i="67"/>
  <c r="C20" i="67" s="1"/>
  <c r="C26" i="67" s="1"/>
  <c r="J26" i="67"/>
  <c r="J29" i="67" s="1"/>
  <c r="J24" i="67"/>
  <c r="J26" i="15"/>
  <c r="J24" i="15"/>
  <c r="C53" i="67"/>
  <c r="C48" i="67" s="1"/>
  <c r="C10" i="67"/>
  <c r="C5" i="67" s="1"/>
  <c r="C53" i="15"/>
  <c r="C48" i="15" s="1"/>
  <c r="C10" i="15"/>
  <c r="C5" i="15" s="1"/>
  <c r="F22" i="68"/>
  <c r="F24" i="67"/>
  <c r="C24" i="67" s="1"/>
  <c r="F25" i="12"/>
  <c r="F24" i="15"/>
  <c r="C24" i="15" s="1"/>
  <c r="F22" i="69"/>
  <c r="F22" i="11"/>
  <c r="F41" i="81"/>
  <c r="C17" i="15"/>
  <c r="F41" i="15"/>
  <c r="C14" i="15"/>
  <c r="AE7" i="1"/>
  <c r="C17" i="81"/>
  <c r="AC33" i="83" l="1"/>
  <c r="V48" i="83" s="1"/>
  <c r="I48" i="83" s="1"/>
  <c r="W33" i="83"/>
  <c r="U33" i="83"/>
  <c r="AB33" i="83"/>
  <c r="T48" i="83" s="1"/>
  <c r="G48" i="83" s="1"/>
  <c r="AA33" i="83"/>
  <c r="R48" i="83" s="1"/>
  <c r="S33" i="83"/>
  <c r="C15" i="15"/>
  <c r="C18" i="15"/>
  <c r="E6" i="70"/>
  <c r="E2" i="70" s="1"/>
  <c r="E7" i="70"/>
  <c r="C8" i="71"/>
  <c r="D9" i="71"/>
  <c r="P14" i="1"/>
  <c r="P16" i="1" s="1"/>
  <c r="C11" i="12" s="1"/>
  <c r="C12" i="12" s="1"/>
  <c r="E6" i="3"/>
  <c r="F7" i="35"/>
  <c r="H7" i="34"/>
  <c r="AG7" i="1"/>
  <c r="F7" i="34"/>
  <c r="H7" i="37"/>
  <c r="W7" i="33"/>
  <c r="AC7" i="33"/>
  <c r="V48" i="33" s="1"/>
  <c r="I48" i="33" s="1"/>
  <c r="G65" i="40"/>
  <c r="H63" i="40"/>
  <c r="F7" i="37"/>
  <c r="U7" i="33"/>
  <c r="AB7" i="33"/>
  <c r="T48" i="33" s="1"/>
  <c r="G48" i="33" s="1"/>
  <c r="F70" i="39"/>
  <c r="G68" i="39"/>
  <c r="F69" i="81"/>
  <c r="J10" i="81"/>
  <c r="C38" i="81"/>
  <c r="C66" i="81"/>
  <c r="C60" i="81"/>
  <c r="F69" i="15"/>
  <c r="J29" i="15"/>
  <c r="T7" i="1"/>
  <c r="AR7" i="1"/>
  <c r="AQ7" i="1"/>
  <c r="C14" i="12"/>
  <c r="D17" i="12"/>
  <c r="C17" i="12" s="1"/>
  <c r="R25" i="6"/>
  <c r="D25" i="6"/>
  <c r="D22" i="6"/>
  <c r="D24" i="6"/>
  <c r="D9" i="6"/>
  <c r="D13" i="6"/>
  <c r="D28" i="6"/>
  <c r="E61" i="40"/>
  <c r="D15" i="6"/>
  <c r="D21" i="6"/>
  <c r="D20" i="6"/>
  <c r="D12" i="6"/>
  <c r="D11" i="6"/>
  <c r="L19" i="9"/>
  <c r="D29" i="6"/>
  <c r="D10" i="6"/>
  <c r="D14" i="6"/>
  <c r="D8" i="6"/>
  <c r="D26" i="6"/>
  <c r="R26" i="6" s="1"/>
  <c r="M19" i="9"/>
  <c r="C118" i="9" s="1"/>
  <c r="C14" i="74" s="1"/>
  <c r="B2" i="74" s="1"/>
  <c r="D7" i="74" s="1"/>
  <c r="D5" i="6"/>
  <c r="D23" i="6"/>
  <c r="R23" i="6" s="1"/>
  <c r="C18" i="4"/>
  <c r="D19" i="6"/>
  <c r="H24" i="6"/>
  <c r="R24" i="6" s="1"/>
  <c r="H21" i="6"/>
  <c r="R21" i="6" s="1"/>
  <c r="H20" i="6"/>
  <c r="R20" i="6" s="1"/>
  <c r="R7" i="1" s="1"/>
  <c r="D6" i="6"/>
  <c r="H22" i="6"/>
  <c r="R22" i="6" s="1"/>
  <c r="D20" i="12"/>
  <c r="C20" i="12" s="1"/>
  <c r="C18" i="12" s="1"/>
  <c r="D10" i="68"/>
  <c r="D10" i="11"/>
  <c r="C10" i="11" s="1"/>
  <c r="D10" i="69"/>
  <c r="C30" i="43"/>
  <c r="E30" i="43" s="1"/>
  <c r="C27" i="43" s="1"/>
  <c r="M27" i="6"/>
  <c r="I19" i="6"/>
  <c r="L18" i="79" s="1"/>
  <c r="L16" i="1"/>
  <c r="N16" i="1"/>
  <c r="C34" i="11"/>
  <c r="C34" i="68"/>
  <c r="C15" i="12"/>
  <c r="AB7" i="36"/>
  <c r="T36" i="36" s="1"/>
  <c r="G36" i="36" s="1"/>
  <c r="U7" i="36"/>
  <c r="J7" i="35"/>
  <c r="AB7" i="34"/>
  <c r="T49" i="34" s="1"/>
  <c r="G49" i="34" s="1"/>
  <c r="U7" i="34"/>
  <c r="R49" i="21"/>
  <c r="E48" i="21"/>
  <c r="I40" i="36"/>
  <c r="J40" i="36" s="1"/>
  <c r="E36" i="36"/>
  <c r="R37" i="36"/>
  <c r="J7" i="37"/>
  <c r="J7" i="34"/>
  <c r="S7" i="35"/>
  <c r="AA7" i="35"/>
  <c r="R38" i="35" s="1"/>
  <c r="AA7" i="34"/>
  <c r="R49" i="34" s="1"/>
  <c r="S7" i="34"/>
  <c r="AB7" i="37"/>
  <c r="T42" i="37" s="1"/>
  <c r="G42" i="37" s="1"/>
  <c r="U7" i="37"/>
  <c r="AA7" i="37"/>
  <c r="R42" i="37" s="1"/>
  <c r="S7" i="37"/>
  <c r="H7" i="35"/>
  <c r="C26" i="43"/>
  <c r="C23" i="67"/>
  <c r="C29" i="67" s="1"/>
  <c r="C26" i="12"/>
  <c r="D25" i="12" s="1"/>
  <c r="C60" i="15"/>
  <c r="C66" i="15"/>
  <c r="C44" i="11"/>
  <c r="D41" i="11" s="1"/>
  <c r="C25" i="11"/>
  <c r="C24" i="11"/>
  <c r="C23" i="11"/>
  <c r="C26" i="11"/>
  <c r="D22" i="11" s="1"/>
  <c r="C38" i="15"/>
  <c r="C38" i="67"/>
  <c r="C44" i="69"/>
  <c r="D41" i="69" s="1"/>
  <c r="C26" i="69"/>
  <c r="D22" i="69" s="1"/>
  <c r="C23" i="68"/>
  <c r="C44" i="68"/>
  <c r="D41" i="68" s="1"/>
  <c r="C26" i="68"/>
  <c r="D22" i="68" s="1"/>
  <c r="C66" i="67"/>
  <c r="C60" i="67"/>
  <c r="M27" i="81"/>
  <c r="C14" i="81"/>
  <c r="E6" i="76"/>
  <c r="G53" i="83" l="1"/>
  <c r="H53" i="83" s="1"/>
  <c r="G52" i="83"/>
  <c r="H52" i="83" s="1"/>
  <c r="E48" i="83"/>
  <c r="I53" i="83" s="1"/>
  <c r="J53" i="83" s="1"/>
  <c r="R49" i="83"/>
  <c r="I52" i="83"/>
  <c r="J52" i="83" s="1"/>
  <c r="C19" i="15"/>
  <c r="C20" i="15" s="1"/>
  <c r="C26" i="15" s="1"/>
  <c r="C18" i="81"/>
  <c r="C15" i="81"/>
  <c r="T16" i="1"/>
  <c r="C7" i="71"/>
  <c r="D8" i="71"/>
  <c r="M19" i="79"/>
  <c r="C118" i="79" s="1"/>
  <c r="H68" i="39"/>
  <c r="G70" i="39"/>
  <c r="G52" i="33"/>
  <c r="H52" i="33" s="1"/>
  <c r="G53" i="33"/>
  <c r="H53" i="33" s="1"/>
  <c r="E53" i="33"/>
  <c r="F53" i="33" s="1"/>
  <c r="H65" i="40"/>
  <c r="I63" i="40"/>
  <c r="I52" i="33"/>
  <c r="J52" i="33" s="1"/>
  <c r="I53" i="33"/>
  <c r="J53" i="33" s="1"/>
  <c r="R49" i="33"/>
  <c r="J19" i="81"/>
  <c r="C61" i="81"/>
  <c r="C16" i="12"/>
  <c r="C21" i="12" s="1"/>
  <c r="C22" i="12" s="1"/>
  <c r="C30" i="12" s="1"/>
  <c r="C28" i="12" s="1"/>
  <c r="D27" i="6"/>
  <c r="D16" i="6"/>
  <c r="C10" i="69"/>
  <c r="C8" i="69" s="1"/>
  <c r="C5" i="69" s="1"/>
  <c r="C23" i="69" s="1"/>
  <c r="D19" i="69"/>
  <c r="C10" i="68"/>
  <c r="D19" i="68"/>
  <c r="C4" i="52"/>
  <c r="B45" i="72" s="1"/>
  <c r="A10" i="51"/>
  <c r="B9" i="72" s="1"/>
  <c r="A7" i="51"/>
  <c r="B7" i="72" s="1"/>
  <c r="D30" i="6"/>
  <c r="I27" i="6"/>
  <c r="S19" i="6"/>
  <c r="S27" i="6" s="1"/>
  <c r="H19" i="6"/>
  <c r="L19" i="79" s="1"/>
  <c r="C35" i="68"/>
  <c r="C38" i="68"/>
  <c r="F50" i="69"/>
  <c r="F50" i="11"/>
  <c r="F50" i="68"/>
  <c r="C38" i="11"/>
  <c r="C35" i="11"/>
  <c r="U7" i="35"/>
  <c r="AB7" i="35"/>
  <c r="T38" i="35" s="1"/>
  <c r="G38" i="35" s="1"/>
  <c r="E42" i="37"/>
  <c r="R43" i="37"/>
  <c r="G46" i="37"/>
  <c r="H46" i="37" s="1"/>
  <c r="E49" i="34"/>
  <c r="R50" i="34"/>
  <c r="R39" i="35"/>
  <c r="E38" i="35"/>
  <c r="AC7" i="34"/>
  <c r="V49" i="34" s="1"/>
  <c r="I49" i="34" s="1"/>
  <c r="G54" i="34" s="1"/>
  <c r="H54" i="34" s="1"/>
  <c r="W7" i="34"/>
  <c r="C36" i="36"/>
  <c r="C37" i="36"/>
  <c r="B2" i="36" s="1"/>
  <c r="B3" i="36" s="1"/>
  <c r="C49" i="21"/>
  <c r="B2" i="21" s="1"/>
  <c r="B3" i="21" s="1"/>
  <c r="C48" i="21"/>
  <c r="G53" i="34"/>
  <c r="H53" i="34" s="1"/>
  <c r="AC7" i="37"/>
  <c r="V42" i="37" s="1"/>
  <c r="I42" i="37" s="1"/>
  <c r="W7" i="37"/>
  <c r="E40" i="36"/>
  <c r="F40" i="36" s="1"/>
  <c r="E41" i="36"/>
  <c r="F41" i="36" s="1"/>
  <c r="I41" i="36"/>
  <c r="J41" i="36" s="1"/>
  <c r="E52" i="21"/>
  <c r="F52" i="21" s="1"/>
  <c r="E53" i="21"/>
  <c r="F53" i="21" s="1"/>
  <c r="I53" i="21"/>
  <c r="J53" i="21" s="1"/>
  <c r="W7" i="35"/>
  <c r="AC7" i="35"/>
  <c r="V38" i="35" s="1"/>
  <c r="I38" i="35" s="1"/>
  <c r="G40" i="36"/>
  <c r="H40" i="36" s="1"/>
  <c r="G41" i="36"/>
  <c r="H41" i="36" s="1"/>
  <c r="E2" i="76"/>
  <c r="B2" i="43"/>
  <c r="C22" i="11"/>
  <c r="C31" i="11" s="1"/>
  <c r="J59" i="15"/>
  <c r="J60" i="15" s="1"/>
  <c r="C57" i="67"/>
  <c r="C36" i="67"/>
  <c r="J14" i="67"/>
  <c r="Q49" i="67"/>
  <c r="J19" i="67"/>
  <c r="J17" i="67" s="1"/>
  <c r="C33" i="67"/>
  <c r="C31" i="67" s="1"/>
  <c r="C13" i="67"/>
  <c r="J59" i="67"/>
  <c r="J60" i="67" s="1"/>
  <c r="B6" i="76"/>
  <c r="C49" i="83" l="1"/>
  <c r="R24" i="31" s="1"/>
  <c r="C48" i="83"/>
  <c r="E52" i="83"/>
  <c r="F52" i="83" s="1"/>
  <c r="E53" i="83"/>
  <c r="F53" i="83" s="1"/>
  <c r="C19" i="81"/>
  <c r="C20" i="81" s="1"/>
  <c r="C26" i="81" s="1"/>
  <c r="T7" i="71"/>
  <c r="C6" i="71"/>
  <c r="D7" i="71"/>
  <c r="U7" i="71" s="1"/>
  <c r="C23" i="15"/>
  <c r="C29" i="15" s="1"/>
  <c r="J63" i="40"/>
  <c r="I65" i="40"/>
  <c r="H70" i="39"/>
  <c r="I68" i="39"/>
  <c r="C49" i="33"/>
  <c r="C48" i="33"/>
  <c r="C27" i="12"/>
  <c r="C25" i="12" s="1"/>
  <c r="C32" i="12" s="1"/>
  <c r="B2" i="12" s="1"/>
  <c r="B3" i="12" s="1"/>
  <c r="D37" i="68"/>
  <c r="C37" i="68" s="1"/>
  <c r="C33" i="68" s="1"/>
  <c r="C39" i="68" s="1"/>
  <c r="C19" i="68"/>
  <c r="C19" i="69"/>
  <c r="D37" i="69"/>
  <c r="C37" i="69" s="1"/>
  <c r="C33" i="69" s="1"/>
  <c r="D31" i="6"/>
  <c r="Q48" i="15"/>
  <c r="H27" i="6"/>
  <c r="R19" i="6"/>
  <c r="C33" i="11"/>
  <c r="C39" i="11" s="1"/>
  <c r="C43" i="11" s="1"/>
  <c r="I46" i="37"/>
  <c r="J46" i="37" s="1"/>
  <c r="I47" i="37"/>
  <c r="J47" i="37" s="1"/>
  <c r="I53" i="34"/>
  <c r="J53" i="34" s="1"/>
  <c r="I54" i="34"/>
  <c r="J54" i="34" s="1"/>
  <c r="C39" i="35"/>
  <c r="B2" i="35" s="1"/>
  <c r="B3" i="35" s="1"/>
  <c r="C38" i="35"/>
  <c r="C49" i="34"/>
  <c r="C50" i="34"/>
  <c r="B2" i="34" s="1"/>
  <c r="B3" i="34" s="1"/>
  <c r="G47" i="37"/>
  <c r="H47" i="37" s="1"/>
  <c r="C42" i="37"/>
  <c r="C43" i="37"/>
  <c r="B2" i="37" s="1"/>
  <c r="B3" i="37" s="1"/>
  <c r="G42" i="35"/>
  <c r="H42" i="35" s="1"/>
  <c r="G43" i="35"/>
  <c r="H43" i="35" s="1"/>
  <c r="I42" i="35"/>
  <c r="J42" i="35" s="1"/>
  <c r="I43" i="35"/>
  <c r="J43" i="35" s="1"/>
  <c r="E43" i="35"/>
  <c r="F43" i="35" s="1"/>
  <c r="E42" i="35"/>
  <c r="F42" i="35" s="1"/>
  <c r="E54" i="34"/>
  <c r="F54" i="34" s="1"/>
  <c r="E53" i="34"/>
  <c r="F53" i="34" s="1"/>
  <c r="E47" i="37"/>
  <c r="F47" i="37" s="1"/>
  <c r="E46" i="37"/>
  <c r="F46" i="37" s="1"/>
  <c r="B2" i="76"/>
  <c r="B3" i="76" s="1"/>
  <c r="B3" i="43"/>
  <c r="C37" i="67"/>
  <c r="C30" i="67" s="1"/>
  <c r="C39" i="67" s="1"/>
  <c r="C75" i="67"/>
  <c r="Q70" i="67"/>
  <c r="C56" i="67"/>
  <c r="C65" i="67" s="1"/>
  <c r="J22" i="67"/>
  <c r="J13" i="67"/>
  <c r="J23" i="67" s="1"/>
  <c r="C61" i="67"/>
  <c r="C59" i="67" s="1"/>
  <c r="C64" i="67"/>
  <c r="Q48" i="67"/>
  <c r="L46" i="67"/>
  <c r="C23" i="81" l="1"/>
  <c r="C29" i="81" s="1"/>
  <c r="C57" i="81" s="1"/>
  <c r="C64" i="81" s="1"/>
  <c r="C33" i="15"/>
  <c r="Q49" i="15"/>
  <c r="C13" i="15"/>
  <c r="J14" i="15"/>
  <c r="C57" i="15"/>
  <c r="C36" i="15"/>
  <c r="J19" i="15"/>
  <c r="D6" i="71"/>
  <c r="C5" i="71"/>
  <c r="I70" i="39"/>
  <c r="J68" i="39"/>
  <c r="B2" i="33"/>
  <c r="B3" i="33"/>
  <c r="K63" i="40"/>
  <c r="J65" i="40"/>
  <c r="C42" i="11"/>
  <c r="C41" i="11" s="1"/>
  <c r="C42" i="68"/>
  <c r="R27" i="6"/>
  <c r="R6" i="1"/>
  <c r="C39" i="69"/>
  <c r="C42" i="69"/>
  <c r="C20" i="68"/>
  <c r="C24" i="68"/>
  <c r="I5" i="6"/>
  <c r="I6" i="6"/>
  <c r="C20" i="69"/>
  <c r="C24" i="69"/>
  <c r="C46" i="11"/>
  <c r="C45" i="11" s="1"/>
  <c r="C46" i="68"/>
  <c r="C45" i="68" s="1"/>
  <c r="C43" i="68"/>
  <c r="C58" i="67"/>
  <c r="C67" i="67" s="1"/>
  <c r="C68" i="67" s="1"/>
  <c r="C71" i="67" s="1"/>
  <c r="J16" i="67"/>
  <c r="J25" i="67" s="1"/>
  <c r="Q69" i="67"/>
  <c r="Q68" i="67" s="1"/>
  <c r="C40" i="67"/>
  <c r="C80" i="67"/>
  <c r="C79" i="67" s="1"/>
  <c r="D20" i="79"/>
  <c r="F35" i="15"/>
  <c r="F35" i="81"/>
  <c r="M21" i="81"/>
  <c r="D19" i="79"/>
  <c r="L51" i="67"/>
  <c r="M21" i="15"/>
  <c r="C36" i="81" l="1"/>
  <c r="Q49" i="81"/>
  <c r="J14" i="81"/>
  <c r="J22" i="81" s="1"/>
  <c r="C13" i="81"/>
  <c r="C37" i="81" s="1"/>
  <c r="C75" i="15"/>
  <c r="C56" i="15"/>
  <c r="C65" i="15" s="1"/>
  <c r="Q70" i="15"/>
  <c r="C37" i="15"/>
  <c r="D5" i="71"/>
  <c r="M20" i="43"/>
  <c r="C64" i="15"/>
  <c r="C61" i="15"/>
  <c r="J13" i="81"/>
  <c r="J23" i="81" s="1"/>
  <c r="J22" i="15"/>
  <c r="J13" i="15"/>
  <c r="J23" i="15" s="1"/>
  <c r="C56" i="81"/>
  <c r="C65" i="81" s="1"/>
  <c r="D103" i="79"/>
  <c r="D21" i="79"/>
  <c r="D102" i="79"/>
  <c r="J70" i="39"/>
  <c r="K68" i="39"/>
  <c r="K65" i="40"/>
  <c r="L63" i="40"/>
  <c r="F63" i="81"/>
  <c r="C62" i="81" s="1"/>
  <c r="C59" i="81" s="1"/>
  <c r="C34" i="81"/>
  <c r="C31" i="81" s="1"/>
  <c r="J20" i="81"/>
  <c r="J17" i="81" s="1"/>
  <c r="C49" i="11"/>
  <c r="C51" i="11" s="1"/>
  <c r="C52" i="11" s="1"/>
  <c r="B2" i="11" s="1"/>
  <c r="B3" i="11" s="1"/>
  <c r="C41" i="68"/>
  <c r="C49" i="68" s="1"/>
  <c r="C51" i="68" s="1"/>
  <c r="J20" i="15"/>
  <c r="J17" i="15" s="1"/>
  <c r="C34" i="15"/>
  <c r="C31" i="15" s="1"/>
  <c r="F63" i="15"/>
  <c r="C62" i="15" s="1"/>
  <c r="R16" i="1"/>
  <c r="C28" i="69"/>
  <c r="C27" i="69" s="1"/>
  <c r="C25" i="69"/>
  <c r="C22" i="69" s="1"/>
  <c r="C28" i="68"/>
  <c r="C27" i="68" s="1"/>
  <c r="C25" i="68"/>
  <c r="C22" i="68" s="1"/>
  <c r="C46" i="69"/>
  <c r="C45" i="69" s="1"/>
  <c r="C43" i="69"/>
  <c r="C41" i="69" s="1"/>
  <c r="C45" i="67"/>
  <c r="C46" i="67" s="1"/>
  <c r="Q67" i="67"/>
  <c r="L57" i="67"/>
  <c r="L60" i="67" s="1"/>
  <c r="Q56" i="67"/>
  <c r="C43" i="67"/>
  <c r="Q47" i="67"/>
  <c r="Q53" i="67" s="1"/>
  <c r="Q65" i="67"/>
  <c r="D2" i="67"/>
  <c r="C83" i="67"/>
  <c r="C82" i="67" s="1"/>
  <c r="C59" i="15" l="1"/>
  <c r="C58" i="15" s="1"/>
  <c r="C67" i="15" s="1"/>
  <c r="C68" i="15" s="1"/>
  <c r="C71" i="15" s="1"/>
  <c r="C75" i="81"/>
  <c r="C56" i="11"/>
  <c r="C57" i="11" s="1"/>
  <c r="J16" i="15"/>
  <c r="J25" i="15" s="1"/>
  <c r="Q70" i="81"/>
  <c r="C30" i="15"/>
  <c r="C39" i="15" s="1"/>
  <c r="C40" i="15" s="1"/>
  <c r="C30" i="81"/>
  <c r="C39" i="81" s="1"/>
  <c r="Q69" i="81" s="1"/>
  <c r="Q68" i="81" s="1"/>
  <c r="C58" i="81"/>
  <c r="C67" i="81" s="1"/>
  <c r="C68" i="81" s="1"/>
  <c r="C71" i="81" s="1"/>
  <c r="L65" i="40"/>
  <c r="M63" i="40"/>
  <c r="K70" i="39"/>
  <c r="L68" i="39"/>
  <c r="C49" i="69"/>
  <c r="C51" i="69" s="1"/>
  <c r="C31" i="68"/>
  <c r="C52" i="68" s="1"/>
  <c r="B2" i="68" s="1"/>
  <c r="B3" i="68" s="1"/>
  <c r="C31" i="69"/>
  <c r="L57" i="15"/>
  <c r="L60" i="15" s="1"/>
  <c r="B2" i="67"/>
  <c r="B3" i="67"/>
  <c r="Q66" i="67"/>
  <c r="Q75" i="67" s="1"/>
  <c r="Q57" i="67"/>
  <c r="Q62" i="67" s="1"/>
  <c r="L51" i="81"/>
  <c r="C40" i="81" l="1"/>
  <c r="C80" i="15"/>
  <c r="C79" i="15" s="1"/>
  <c r="C46" i="81"/>
  <c r="C80" i="81"/>
  <c r="C79" i="81" s="1"/>
  <c r="Q69" i="15"/>
  <c r="Q68" i="15" s="1"/>
  <c r="L70" i="39"/>
  <c r="M68" i="39"/>
  <c r="M65" i="40"/>
  <c r="N63" i="40"/>
  <c r="Q67" i="81"/>
  <c r="C52" i="69"/>
  <c r="B2" i="69" s="1"/>
  <c r="B3" i="69" s="1"/>
  <c r="C57" i="68"/>
  <c r="C56" i="68" s="1"/>
  <c r="Q65" i="15"/>
  <c r="Q56" i="15"/>
  <c r="C43" i="15"/>
  <c r="Q47" i="15"/>
  <c r="Q53" i="15" s="1"/>
  <c r="C83" i="15"/>
  <c r="C82" i="15" s="1"/>
  <c r="C46" i="15"/>
  <c r="L46" i="15"/>
  <c r="B2" i="15" s="1"/>
  <c r="Q57" i="15"/>
  <c r="Q66" i="15"/>
  <c r="D2" i="83"/>
  <c r="L51" i="15"/>
  <c r="F20" i="31"/>
  <c r="C19" i="79"/>
  <c r="AO6" i="1"/>
  <c r="B2" i="83" l="1"/>
  <c r="C43" i="81"/>
  <c r="C83" i="81"/>
  <c r="C82" i="81" s="1"/>
  <c r="Q67" i="15"/>
  <c r="N65" i="40"/>
  <c r="O63" i="40"/>
  <c r="O65" i="40" s="1"/>
  <c r="M70" i="39"/>
  <c r="N68" i="39"/>
  <c r="C57" i="69"/>
  <c r="C56" i="69" s="1"/>
  <c r="C102" i="79"/>
  <c r="C21" i="79"/>
  <c r="G19" i="79"/>
  <c r="D22" i="79"/>
  <c r="B6" i="70"/>
  <c r="X24" i="31" s="1"/>
  <c r="B3" i="15"/>
  <c r="Q75" i="15"/>
  <c r="Q62" i="15"/>
  <c r="C20" i="79"/>
  <c r="B3" i="83" l="1"/>
  <c r="O68" i="39"/>
  <c r="O70" i="39" s="1"/>
  <c r="N70" i="39"/>
  <c r="F7" i="39" s="1"/>
  <c r="H7" i="40"/>
  <c r="J7" i="40"/>
  <c r="F7" i="40"/>
  <c r="C103" i="79"/>
  <c r="G20" i="79"/>
  <c r="G21" i="79"/>
  <c r="C32" i="79"/>
  <c r="AC7" i="40" l="1"/>
  <c r="V42" i="40" s="1"/>
  <c r="I42" i="40" s="1"/>
  <c r="W7" i="40"/>
  <c r="S7" i="39"/>
  <c r="AA7" i="39"/>
  <c r="R47" i="39" s="1"/>
  <c r="AA7" i="40"/>
  <c r="R42" i="40" s="1"/>
  <c r="S7" i="40"/>
  <c r="U7" i="40"/>
  <c r="AB7" i="40"/>
  <c r="T42" i="40" s="1"/>
  <c r="G42" i="40" s="1"/>
  <c r="H7" i="39"/>
  <c r="J7" i="39"/>
  <c r="H118" i="79"/>
  <c r="C35" i="79"/>
  <c r="F118" i="79" s="1"/>
  <c r="AC7" i="39" l="1"/>
  <c r="V47" i="39" s="1"/>
  <c r="I47" i="39" s="1"/>
  <c r="W7" i="39"/>
  <c r="G46" i="40"/>
  <c r="H46" i="40" s="1"/>
  <c r="G47" i="40"/>
  <c r="H47" i="40" s="1"/>
  <c r="E47" i="39"/>
  <c r="R48" i="39"/>
  <c r="AB7" i="39"/>
  <c r="T47" i="39" s="1"/>
  <c r="G47" i="39" s="1"/>
  <c r="U7" i="39"/>
  <c r="R43" i="40"/>
  <c r="E42" i="40"/>
  <c r="I46" i="40"/>
  <c r="J46" i="40" s="1"/>
  <c r="I47" i="40"/>
  <c r="J47" i="40" s="1"/>
  <c r="C34" i="79"/>
  <c r="D118" i="79" s="1"/>
  <c r="D119" i="79" s="1"/>
  <c r="I118" i="79"/>
  <c r="C104" i="79"/>
  <c r="H119" i="79"/>
  <c r="H101" i="79"/>
  <c r="F119" i="79"/>
  <c r="G118" i="79"/>
  <c r="C42" i="40" l="1"/>
  <c r="C43" i="40"/>
  <c r="G51" i="39"/>
  <c r="H51" i="39" s="1"/>
  <c r="G52" i="39"/>
  <c r="H52" i="39" s="1"/>
  <c r="E52" i="39"/>
  <c r="F52" i="39" s="1"/>
  <c r="E51" i="39"/>
  <c r="F51" i="39" s="1"/>
  <c r="I52" i="39"/>
  <c r="J52" i="39" s="1"/>
  <c r="I51" i="39"/>
  <c r="J51" i="39" s="1"/>
  <c r="E46" i="40"/>
  <c r="F46" i="40" s="1"/>
  <c r="E47" i="40"/>
  <c r="F47" i="40" s="1"/>
  <c r="C47" i="39"/>
  <c r="C48" i="39"/>
  <c r="H107" i="79"/>
  <c r="M48" i="79"/>
  <c r="D45" i="79"/>
  <c r="E118" i="79"/>
  <c r="C105" i="79"/>
  <c r="H102" i="79"/>
  <c r="B61" i="39" l="1"/>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78" i="79"/>
  <c r="C73" i="79" s="1"/>
  <c r="C93" i="79"/>
  <c r="C86" i="79" s="1"/>
  <c r="C85" i="79"/>
  <c r="C72" i="79"/>
  <c r="C64" i="79"/>
  <c r="C63" i="79" s="1"/>
  <c r="C67" i="79" s="1"/>
  <c r="C68" i="79" s="1"/>
  <c r="D54" i="79" s="1"/>
  <c r="D55" i="79"/>
  <c r="M53" i="79" s="1"/>
  <c r="D53" i="79"/>
  <c r="D52" i="79"/>
  <c r="D122" i="79"/>
  <c r="D123" i="79" s="1"/>
  <c r="H108" i="79"/>
  <c r="M49" i="79"/>
  <c r="C95" i="79" l="1"/>
  <c r="C96" i="79" s="1"/>
  <c r="E96" i="79" s="1"/>
  <c r="E97" i="79" s="1"/>
  <c r="L66" i="79"/>
  <c r="M66" i="79" s="1"/>
  <c r="L65" i="79"/>
  <c r="M65" i="79" s="1"/>
  <c r="L64" i="79"/>
  <c r="M64" i="79" s="1"/>
  <c r="L68" i="79"/>
  <c r="M68" i="79" s="1"/>
  <c r="L67" i="79"/>
  <c r="M67" i="79" s="1"/>
  <c r="L63" i="79"/>
  <c r="M63" i="79" s="1"/>
  <c r="C79" i="79"/>
  <c r="M69" i="79" l="1"/>
  <c r="N69" i="79" s="1"/>
  <c r="C97" i="79"/>
  <c r="D58" i="79" s="1"/>
  <c r="D56" i="79" s="1"/>
  <c r="M54" i="79" s="1"/>
  <c r="N57" i="79" s="1"/>
  <c r="C80" i="79"/>
  <c r="E80" i="79" s="1"/>
  <c r="E81" i="79" s="1"/>
  <c r="C81" i="79" l="1"/>
  <c r="N58" i="79"/>
  <c r="P57" i="79"/>
  <c r="N59" i="79"/>
  <c r="H111" i="79" l="1"/>
  <c r="D126" i="79" s="1"/>
  <c r="D127" i="79" s="1"/>
  <c r="N61" i="79"/>
  <c r="H112" i="79" s="1"/>
  <c r="N60" i="79"/>
  <c r="R29" i="31"/>
  <c r="S29" i="31" s="1"/>
  <c r="R26" i="31"/>
  <c r="S26" i="31" s="1"/>
  <c r="R25" i="31"/>
  <c r="S25" i="31" s="1"/>
  <c r="R31" i="31"/>
  <c r="S31" i="31" s="1"/>
  <c r="R30" i="31"/>
  <c r="S30" i="31" s="1"/>
  <c r="R28" i="31"/>
  <c r="S28" i="31" s="1"/>
  <c r="R27" i="31"/>
  <c r="S27" i="31" s="1"/>
  <c r="S24" i="31"/>
  <c r="W24" i="31" s="1"/>
  <c r="Y24" i="31" s="1"/>
  <c r="S22" i="31" l="1"/>
  <c r="R22" i="31" l="1"/>
  <c r="B21" i="31" s="1"/>
  <c r="W25" i="31"/>
  <c r="B20" i="31"/>
  <c r="D20" i="84"/>
  <c r="D19" i="84"/>
  <c r="D20" i="9"/>
  <c r="D19" i="9"/>
  <c r="D102" i="84" l="1"/>
  <c r="J24" i="84"/>
  <c r="D21" i="84"/>
  <c r="D103" i="84"/>
  <c r="D103" i="9"/>
  <c r="J24" i="9"/>
  <c r="D102" i="9"/>
  <c r="D21" i="9"/>
  <c r="J5" i="81"/>
  <c r="J24" i="81" l="1"/>
  <c r="J16" i="81" s="1"/>
  <c r="J25" i="81" s="1"/>
  <c r="J26" i="81" s="1"/>
  <c r="J29" i="81" s="1"/>
  <c r="Q47" i="81" l="1"/>
  <c r="Q53" i="81" s="1"/>
  <c r="Q65" i="81"/>
  <c r="Q75" i="81" s="1"/>
  <c r="Q56" i="81"/>
  <c r="Q62" i="81" s="1"/>
  <c r="B2" i="81"/>
  <c r="AO7" i="1"/>
  <c r="B7" i="70" l="1"/>
  <c r="B3" i="81"/>
  <c r="B2" i="70" l="1"/>
  <c r="X25" i="31"/>
  <c r="C19" i="84"/>
  <c r="C19" i="9"/>
  <c r="C102" i="84" l="1"/>
  <c r="D22" i="84"/>
  <c r="C21" i="84"/>
  <c r="G19" i="84"/>
  <c r="B3" i="70"/>
  <c r="Y25" i="31"/>
  <c r="Y26" i="31" s="1"/>
  <c r="C102" i="9"/>
  <c r="G19" i="9"/>
  <c r="G21" i="9" s="1"/>
  <c r="C21" i="9"/>
  <c r="D22" i="9"/>
  <c r="D35" i="9"/>
  <c r="C20" i="9"/>
  <c r="D34" i="9"/>
  <c r="D35" i="84"/>
  <c r="D34" i="84"/>
  <c r="C20" i="84"/>
  <c r="G20" i="84" l="1"/>
  <c r="C103" i="84"/>
  <c r="G20" i="9"/>
  <c r="C103" i="9"/>
  <c r="C32" i="84"/>
  <c r="J23" i="84"/>
  <c r="G21" i="84"/>
  <c r="C32" i="9"/>
  <c r="H118" i="9" s="1"/>
  <c r="J23" i="9"/>
  <c r="C35" i="84" l="1"/>
  <c r="F118" i="84" s="1"/>
  <c r="H118" i="84"/>
  <c r="D15" i="74" s="1"/>
  <c r="G15" i="74" s="1"/>
  <c r="C35" i="9"/>
  <c r="F118" i="9" s="1"/>
  <c r="F119" i="9" s="1"/>
  <c r="F5" i="52" s="1"/>
  <c r="B53" i="72" s="1"/>
  <c r="H4" i="52"/>
  <c r="H119" i="9"/>
  <c r="H5" i="52" s="1"/>
  <c r="C104" i="9"/>
  <c r="D14" i="74"/>
  <c r="I118" i="9"/>
  <c r="H101" i="9"/>
  <c r="F15" i="74" l="1"/>
  <c r="E15" i="74"/>
  <c r="C34" i="84"/>
  <c r="D118" i="84" s="1"/>
  <c r="D119" i="84" s="1"/>
  <c r="I118" i="84"/>
  <c r="C104" i="84"/>
  <c r="H119" i="84"/>
  <c r="H101" i="84"/>
  <c r="F119" i="84"/>
  <c r="G118" i="84"/>
  <c r="C34" i="9"/>
  <c r="D118" i="9" s="1"/>
  <c r="D119" i="9" s="1"/>
  <c r="D5" i="52" s="1"/>
  <c r="B49" i="72" s="1"/>
  <c r="F4" i="52"/>
  <c r="B51" i="72" s="1"/>
  <c r="G118" i="9"/>
  <c r="G4" i="52" s="1"/>
  <c r="B52" i="72" s="1"/>
  <c r="I4" i="52"/>
  <c r="H102" i="9"/>
  <c r="D7" i="53" s="1"/>
  <c r="B21" i="72" s="1"/>
  <c r="C105" i="9"/>
  <c r="D4" i="52"/>
  <c r="B47" i="72" s="1"/>
  <c r="M48" i="9"/>
  <c r="D45" i="9"/>
  <c r="D5" i="53"/>
  <c r="H107" i="9"/>
  <c r="F14" i="74"/>
  <c r="B5" i="74"/>
  <c r="E14" i="74"/>
  <c r="E118" i="84" l="1"/>
  <c r="C105" i="84"/>
  <c r="H102" i="84"/>
  <c r="H107" i="84"/>
  <c r="D45" i="84"/>
  <c r="M48" i="84"/>
  <c r="E118" i="9"/>
  <c r="E4" i="52" s="1"/>
  <c r="B48" i="72" s="1"/>
  <c r="D6" i="53"/>
  <c r="B22" i="72" s="1"/>
  <c r="B20" i="72"/>
  <c r="D5" i="74"/>
  <c r="C5" i="74"/>
  <c r="D13" i="53"/>
  <c r="H108" i="9"/>
  <c r="D15" i="53" s="1"/>
  <c r="B31" i="72" s="1"/>
  <c r="D122" i="9"/>
  <c r="M49" i="9"/>
  <c r="D53" i="9"/>
  <c r="C64" i="9"/>
  <c r="C63" i="9" s="1"/>
  <c r="C67" i="9" s="1"/>
  <c r="C68" i="9" s="1"/>
  <c r="D54" i="9" s="1"/>
  <c r="C78" i="9"/>
  <c r="C73" i="9" s="1"/>
  <c r="D52" i="9"/>
  <c r="C93" i="9"/>
  <c r="C86" i="9" s="1"/>
  <c r="C72" i="9"/>
  <c r="C85" i="9"/>
  <c r="D55" i="9"/>
  <c r="M53" i="9" s="1"/>
  <c r="D122" i="84" l="1"/>
  <c r="D123" i="84" s="1"/>
  <c r="H108" i="84"/>
  <c r="M49" i="84"/>
  <c r="C78" i="84"/>
  <c r="C73" i="84" s="1"/>
  <c r="D52" i="84"/>
  <c r="C93" i="84"/>
  <c r="C86" i="84" s="1"/>
  <c r="C85" i="84"/>
  <c r="C95" i="84" s="1"/>
  <c r="C72" i="84"/>
  <c r="C79" i="84" s="1"/>
  <c r="C64" i="84"/>
  <c r="C63" i="84" s="1"/>
  <c r="C67" i="84" s="1"/>
  <c r="C68" i="84" s="1"/>
  <c r="D54" i="84" s="1"/>
  <c r="D55" i="84"/>
  <c r="M53" i="84" s="1"/>
  <c r="D53" i="84"/>
  <c r="C95" i="9"/>
  <c r="C96" i="9" s="1"/>
  <c r="E96" i="9" s="1"/>
  <c r="E97" i="9" s="1"/>
  <c r="D123" i="9"/>
  <c r="D9" i="52" s="1"/>
  <c r="G14" i="74"/>
  <c r="B6" i="74" s="1"/>
  <c r="D8" i="52"/>
  <c r="D14" i="53"/>
  <c r="B32" i="72" s="1"/>
  <c r="B30" i="72"/>
  <c r="C79" i="9"/>
  <c r="L68" i="9"/>
  <c r="M68" i="9" s="1"/>
  <c r="L64" i="9"/>
  <c r="M64" i="9" s="1"/>
  <c r="L63" i="9"/>
  <c r="M63" i="9" s="1"/>
  <c r="L66" i="9"/>
  <c r="M66" i="9" s="1"/>
  <c r="L65" i="9"/>
  <c r="M65" i="9" s="1"/>
  <c r="L67" i="9"/>
  <c r="M67" i="9" s="1"/>
  <c r="C80" i="84" l="1"/>
  <c r="E80" i="84" s="1"/>
  <c r="E81" i="84" s="1"/>
  <c r="C96" i="84"/>
  <c r="E96" i="84" s="1"/>
  <c r="E97" i="84" s="1"/>
  <c r="L66" i="84"/>
  <c r="M66" i="84" s="1"/>
  <c r="L65" i="84"/>
  <c r="M65" i="84" s="1"/>
  <c r="L64" i="84"/>
  <c r="M64" i="84" s="1"/>
  <c r="L68" i="84"/>
  <c r="M68" i="84" s="1"/>
  <c r="L67" i="84"/>
  <c r="M67" i="84" s="1"/>
  <c r="L63" i="84"/>
  <c r="M63" i="84" s="1"/>
  <c r="C97" i="9"/>
  <c r="D58" i="9" s="1"/>
  <c r="D56" i="9" s="1"/>
  <c r="M54" i="9" s="1"/>
  <c r="N57" i="9" s="1"/>
  <c r="N58" i="9" s="1"/>
  <c r="C80" i="9"/>
  <c r="E80" i="9" s="1"/>
  <c r="E81" i="9" s="1"/>
  <c r="M69" i="9"/>
  <c r="N69" i="9" s="1"/>
  <c r="C6" i="74"/>
  <c r="D6" i="74"/>
  <c r="M69" i="84" l="1"/>
  <c r="N69" i="84" s="1"/>
  <c r="C97" i="84"/>
  <c r="D58" i="84" s="1"/>
  <c r="D56" i="84" s="1"/>
  <c r="M54" i="84" s="1"/>
  <c r="N57" i="84" s="1"/>
  <c r="C81" i="84"/>
  <c r="P57" i="9"/>
  <c r="N59" i="9"/>
  <c r="N60" i="9" s="1"/>
  <c r="C81" i="9"/>
  <c r="N58" i="84" l="1"/>
  <c r="P57" i="84"/>
  <c r="N59" i="84"/>
  <c r="N61" i="9"/>
  <c r="H112" i="9" s="1"/>
  <c r="D21" i="53" s="1"/>
  <c r="B39" i="72" s="1"/>
  <c r="H111" i="9"/>
  <c r="D19" i="53" s="1"/>
  <c r="H111" i="84" l="1"/>
  <c r="D126" i="84" s="1"/>
  <c r="D127" i="84" s="1"/>
  <c r="N61" i="84"/>
  <c r="H112" i="84" s="1"/>
  <c r="N60" i="84"/>
  <c r="D126" i="9"/>
  <c r="D12" i="52" s="1"/>
  <c r="D20" i="53"/>
  <c r="B40" i="72" s="1"/>
  <c r="B38" i="72"/>
  <c r="D127" i="9" l="1"/>
  <c r="D13" i="52" s="1"/>
  <c r="I14" i="74"/>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<sst xmlns="http://schemas.openxmlformats.org/spreadsheetml/2006/main" count="8911" uniqueCount="3216">
  <si>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</si>
  <si>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</si>
  <si>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</si>
  <si>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</si>
  <si>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</si>
  <si>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</si>
  <si>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</si>
  <si>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</si>
  <si>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</si>
  <si>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</si>
  <si>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</si>
  <si>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</si>
  <si>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</si>
  <si>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</si>
  <si>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</si>
  <si>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</si>
  <si>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</si>
  <si>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</si>
  <si>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</si>
  <si>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</si>
  <si>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</si>
  <si>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</si>
  <si>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</si>
  <si>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</si>
  <si>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</si>
  <si>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</si>
  <si>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</si>
  <si>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</si>
  <si>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</si>
  <si>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</si>
  <si>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</si>
  <si>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</si>
  <si>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</si>
  <si>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</si>
  <si>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</si>
  <si>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</si>
  <si>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</si>
  <si>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</si>
  <si>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</si>
  <si>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</si>
  <si>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</si>
  <si>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</si>
  <si>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</si>
  <si>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</si>
  <si>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</si>
  <si>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</si>
  <si>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</si>
  <si>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</si>
  <si>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</si>
  <si>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</si>
  <si>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</si>
  <si>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</si>
  <si>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</si>
  <si>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</si>
  <si>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</si>
  <si>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</si>
  <si>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</si>
  <si>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</si>
  <si>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</si>
  <si>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</si>
  <si>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</si>
  <si>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</si>
  <si>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</si>
  <si>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</si>
  <si>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</si>
  <si>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</si>
  <si>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</si>
  <si>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</si>
  <si>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</si>
  <si>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</si>
  <si>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</si>
  <si>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</si>
  <si>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</si>
  <si>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</si>
  <si>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</si>
  <si>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</si>
  <si>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</si>
  <si>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</si>
  <si>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</si>
  <si>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</si>
  <si>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</si>
  <si>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</si>
  <si>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</si>
  <si>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</si>
  <si>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</si>
  <si>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</si>
  <si>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</si>
  <si>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</si>
  <si>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</si>
  <si>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</si>
  <si>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</si>
  <si>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</si>
  <si>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</si>
  <si>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</si>
  <si>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</si>
  <si>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</si>
  <si>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</si>
  <si>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</si>
  <si>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</si>
  <si>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</si>
  <si>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</si>
  <si>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</si>
  <si>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</si>
  <si>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</si>
  <si>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</si>
  <si>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</si>
  <si>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</si>
  <si>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</si>
  <si>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</si>
  <si>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</si>
  <si>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</si>
  <si>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</si>
  <si>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</si>
  <si>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</si>
  <si>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</si>
  <si>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</si>
  <si>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</si>
  <si>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</si>
  <si>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</si>
  <si>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</si>
  <si>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</si>
  <si>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</si>
  <si>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</si>
  <si>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</si>
  <si>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</si>
  <si>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</si>
  <si>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</si>
  <si>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</si>
  <si>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</si>
  <si>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</si>
  <si>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</si>
  <si>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</si>
  <si>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</si>
  <si>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</si>
  <si>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</si>
  <si>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</si>
  <si>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</si>
  <si>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</si>
  <si>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</si>
  <si>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</si>
  <si>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</si>
  <si>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</si>
  <si>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</si>
  <si>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</si>
  <si>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</si>
  <si>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</si>
  <si>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</si>
  <si>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</si>
  <si>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</si>
  <si>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</si>
  <si>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</si>
  <si>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</si>
  <si>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</si>
  <si>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</si>
  <si>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</si>
  <si>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</si>
  <si>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</si>
  <si>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</si>
  <si>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</si>
  <si>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</si>
  <si>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</si>
  <si>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</si>
  <si>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</si>
  <si>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</si>
  <si>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</si>
  <si>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</si>
  <si>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</si>
  <si>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</si>
  <si>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</si>
  <si>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</si>
  <si>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</si>
  <si>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</si>
  <si>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</si>
  <si>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</si>
  <si>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</si>
  <si>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</si>
  <si>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</si>
  <si>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</si>
  <si>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</si>
  <si>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</si>
  <si>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</si>
  <si>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</si>
  <si>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</si>
  <si>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</si>
  <si>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</si>
  <si>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</si>
  <si>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</si>
  <si>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</si>
  <si>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</si>
  <si>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</si>
  <si>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</si>
  <si>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</si>
  <si>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</si>
  <si>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</si>
  <si>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</si>
  <si>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</si>
  <si>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</si>
  <si>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</si>
  <si>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</si>
  <si>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</si>
  <si>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</si>
  <si>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</si>
  <si>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</si>
  <si>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</si>
  <si>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</si>
  <si>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</si>
  <si>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</si>
  <si>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</si>
  <si>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</si>
  <si>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</si>
  <si>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</si>
  <si>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</si>
  <si>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</si>
  <si>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</si>
  <si>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</si>
  <si>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</si>
  <si>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</si>
  <si>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</si>
  <si>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</si>
  <si>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</si>
  <si>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</si>
  <si>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</si>
  <si>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</si>
  <si>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</si>
  <si>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</si>
  <si>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</si>
  <si>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</si>
  <si>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</si>
  <si>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</si>
  <si>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</si>
  <si>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</si>
  <si>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</si>
  <si>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</si>
  <si>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</si>
  <si>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</si>
  <si>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</si>
  <si>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</si>
  <si>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</si>
  <si>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</si>
  <si>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</si>
  <si>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</si>
  <si>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</si>
  <si>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</si>
  <si>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</si>
  <si>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</si>
  <si>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</si>
  <si>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</si>
  <si>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</si>
  <si>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</si>
  <si>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</si>
  <si>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</si>
  <si>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</si>
  <si>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</si>
  <si>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</si>
  <si>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</si>
  <si>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</si>
  <si>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</si>
  <si>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</si>
  <si>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</si>
  <si>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</si>
  <si>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</si>
  <si>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</si>
  <si>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</si>
  <si>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</si>
  <si>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</si>
  <si>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</si>
  <si>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</si>
  <si>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</si>
  <si>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</si>
  <si>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</si>
  <si>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</si>
  <si>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</si>
  <si>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</si>
  <si>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</si>
  <si>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</si>
  <si>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</si>
  <si>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</si>
  <si>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</si>
  <si>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</si>
  <si>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</si>
  <si>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</si>
  <si>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</si>
  <si>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</si>
  <si>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</si>
  <si>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</si>
  <si>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</si>
  <si>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</si>
  <si>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</si>
  <si>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</si>
  <si>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</si>
  <si>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</si>
  <si>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</si>
  <si>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</si>
  <si>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</si>
  <si>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</si>
  <si>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</si>
  <si>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</si>
  <si>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</si>
  <si>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</si>
  <si>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</si>
  <si>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</si>
  <si>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</si>
  <si>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</si>
  <si>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</si>
  <si>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</si>
  <si>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</si>
  <si>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</si>
  <si>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</si>
  <si>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</si>
  <si>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</si>
  <si>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</si>
  <si>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</si>
  <si>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</si>
  <si>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</si>
  <si>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</si>
  <si>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</si>
  <si>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</si>
  <si>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</si>
  <si>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</si>
  <si>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</si>
  <si>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</si>
  <si>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</si>
  <si>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</si>
  <si>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</si>
  <si>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</si>
  <si>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</si>
  <si>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</si>
  <si>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</si>
  <si>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</si>
  <si>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</si>
  <si>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</si>
  <si>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</si>
  <si>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</si>
  <si>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</si>
  <si>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</si>
  <si>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</si>
  <si>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</si>
  <si>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</si>
  <si>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</si>
  <si>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</si>
  <si>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</si>
  <si>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</si>
  <si>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</si>
  <si>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</si>
  <si>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</si>
  <si>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</si>
  <si>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</si>
  <si>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</si>
  <si>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</si>
  <si>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</si>
  <si>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</si>
  <si>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</si>
  <si>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</si>
  <si>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</si>
  <si>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</si>
  <si>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</si>
  <si>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</si>
  <si>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</si>
  <si>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</si>
  <si>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</si>
  <si>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</si>
  <si>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</si>
  <si>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</si>
  <si>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</si>
  <si>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</si>
  <si>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</si>
  <si>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</si>
  <si>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</si>
  <si>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</si>
  <si>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</si>
  <si>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</si>
  <si>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</si>
  <si>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</si>
  <si>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</si>
  <si>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</si>
  <si>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</si>
  <si>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</si>
  <si>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</si>
  <si>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</si>
  <si>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</si>
  <si>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</si>
  <si>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</si>
  <si>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</si>
  <si>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</si>
  <si>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</si>
  <si>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</si>
  <si>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</si>
  <si>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</si>
  <si>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</si>
  <si>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</si>
  <si>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</si>
  <si>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</si>
  <si>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</si>
  <si>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</si>
  <si>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</si>
  <si>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</si>
  <si>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</si>
  <si>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</si>
  <si>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</si>
  <si>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</si>
  <si>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</si>
  <si>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</si>
  <si>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</si>
  <si>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</si>
  <si>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</si>
  <si>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</si>
  <si>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</si>
  <si>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</si>
  <si>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</si>
  <si>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</si>
  <si>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</si>
  <si>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</si>
  <si>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</si>
  <si>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</si>
  <si>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</si>
  <si>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</si>
  <si>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</si>
  <si>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</si>
  <si>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</si>
  <si>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</si>
  <si>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</si>
  <si>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</si>
  <si>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</si>
  <si>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</si>
  <si>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</si>
  <si>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</si>
  <si>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</si>
  <si>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</si>
  <si>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</si>
  <si>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</si>
  <si>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</si>
  <si>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</si>
  <si>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</si>
  <si>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</si>
  <si>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</si>
  <si>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</si>
  <si>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</si>
  <si>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</si>
  <si>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</si>
  <si>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</si>
  <si>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</si>
  <si>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</si>
  <si>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</si>
  <si>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</si>
  <si>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</si>
  <si>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</si>
  <si>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</si>
  <si>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</si>
  <si>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</si>
  <si>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</si>
  <si>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</si>
  <si>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</si>
  <si>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</si>
  <si>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</si>
  <si>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</si>
  <si>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</si>
  <si>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</si>
  <si>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</si>
  <si>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</si>
  <si>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</si>
  <si>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</si>
  <si>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</si>
  <si>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</si>
  <si>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</si>
  <si>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</si>
  <si>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</si>
  <si>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</si>
  <si>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</si>
  <si>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</si>
  <si>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</si>
  <si>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</si>
  <si>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</si>
  <si>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</si>
  <si>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</si>
  <si>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</si>
  <si>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</si>
  <si>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</si>
  <si>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</si>
  <si>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</si>
  <si>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</si>
  <si>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</si>
  <si>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</si>
  <si>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</si>
  <si>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</si>
  <si>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</si>
  <si>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</si>
  <si>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</si>
  <si>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</si>
  <si>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</si>
  <si>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</si>
  <si>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</si>
  <si>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</si>
  <si>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</si>
  <si>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</si>
  <si>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</si>
  <si>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</si>
  <si>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</si>
  <si>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</si>
  <si>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</si>
  <si>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</si>
  <si>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</si>
  <si>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</si>
  <si>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</si>
  <si>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</si>
  <si>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</si>
  <si>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</si>
  <si>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</si>
  <si>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</si>
  <si>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</si>
  <si>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</si>
  <si>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</si>
  <si>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</si>
  <si>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</si>
  <si>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</si>
  <si>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</si>
  <si>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</si>
  <si>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</si>
  <si>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</si>
  <si>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</si>
  <si>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</si>
  <si>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</si>
  <si>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</si>
  <si>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</si>
  <si>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</si>
  <si>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</si>
  <si>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</si>
  <si>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</si>
  <si>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</si>
  <si>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</si>
  <si>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</si>
  <si>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</si>
  <si>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</si>
  <si>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</si>
  <si>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</si>
  <si>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</si>
  <si>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</si>
  <si>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</si>
  <si>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</si>
  <si>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</si>
  <si>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</si>
  <si>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</si>
  <si>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</si>
  <si>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</si>
  <si>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</si>
  <si>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</si>
  <si>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</si>
  <si>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</si>
  <si>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</si>
  <si>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</si>
  <si>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</si>
  <si>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</si>
  <si>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</si>
  <si>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</si>
  <si>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</si>
  <si>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</si>
  <si>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</si>
  <si>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</si>
  <si>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</si>
  <si>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</si>
  <si>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</si>
  <si>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</si>
  <si>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</si>
  <si>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</si>
  <si>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</si>
  <si>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</si>
  <si>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</si>
  <si>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</si>
  <si>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</si>
  <si>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</si>
  <si>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</si>
  <si>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</si>
  <si>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</si>
  <si>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</si>
  <si>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</si>
  <si>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</si>
  <si>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</si>
  <si>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</si>
  <si>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</si>
  <si>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</si>
  <si>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</si>
  <si>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</si>
  <si>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</si>
  <si>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</si>
  <si>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</si>
  <si>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</si>
  <si>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</si>
  <si>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</si>
  <si>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</si>
  <si>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</si>
  <si>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</si>
  <si>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</si>
  <si>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</si>
  <si>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</si>
  <si>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</si>
  <si>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</si>
  <si>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</si>
  <si>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</si>
  <si>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</si>
  <si>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</si>
  <si>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</si>
  <si>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</si>
  <si>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</si>
  <si>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</si>
  <si>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</si>
  <si>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</si>
  <si>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</si>
  <si>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</si>
  <si>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</si>
  <si>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</si>
  <si>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</si>
  <si>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</si>
  <si>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</si>
  <si>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</si>
  <si>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</si>
  <si>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</si>
  <si>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</si>
  <si>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</si>
  <si>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</si>
  <si>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</si>
  <si>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</si>
  <si>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</si>
  <si>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</si>
  <si>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</si>
  <si>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</si>
  <si>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</si>
  <si>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</si>
  <si>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</si>
  <si>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</si>
  <si>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</si>
  <si>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</si>
  <si>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</si>
  <si>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</si>
  <si>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</si>
  <si>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</si>
  <si>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</si>
  <si>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</si>
  <si>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</si>
  <si>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</si>
  <si>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</si>
  <si>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</si>
  <si>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</si>
  <si>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</si>
  <si>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</si>
  <si>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</si>
  <si>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</si>
  <si>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</si>
  <si>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</si>
  <si>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</si>
  <si>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</si>
  <si>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</si>
  <si>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</si>
  <si>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</si>
  <si>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</si>
  <si>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</si>
  <si>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</si>
  <si>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</si>
  <si>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</si>
  <si>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</si>
  <si>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</si>
  <si>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</si>
  <si>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</si>
  <si>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</si>
  <si>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</si>
  <si>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</si>
  <si>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</si>
  <si>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</si>
  <si>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</si>
  <si>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</si>
  <si>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</si>
  <si>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</si>
  <si>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</si>
  <si>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</si>
  <si>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</si>
  <si>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</si>
  <si>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</si>
  <si>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</si>
  <si>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</si>
  <si>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</si>
  <si>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</si>
  <si>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</si>
  <si>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</si>
  <si>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</si>
  <si>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</si>
  <si>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</si>
  <si>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</si>
  <si>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</si>
  <si>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</si>
  <si>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</si>
  <si>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</si>
  <si>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</si>
  <si>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</si>
  <si>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</si>
  <si>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</si>
  <si>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</si>
  <si>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</si>
  <si>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</si>
  <si>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</si>
  <si>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</si>
  <si>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</si>
  <si>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</si>
  <si>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</si>
  <si>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</si>
  <si>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</si>
  <si>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</si>
  <si>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</si>
  <si>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</si>
  <si>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</si>
  <si>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</si>
  <si>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</si>
  <si>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</si>
  <si>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</si>
  <si>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</si>
  <si>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</si>
  <si>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</si>
  <si>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</si>
  <si>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</si>
  <si>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</si>
  <si>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</si>
  <si>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</si>
  <si>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</si>
  <si>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</si>
  <si>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</si>
  <si>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</si>
  <si>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</si>
  <si>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</si>
  <si>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</si>
  <si>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</si>
  <si>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</si>
  <si>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</si>
  <si>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</si>
  <si>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</si>
  <si>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</si>
  <si>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</si>
  <si>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</si>
  <si>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</si>
  <si>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</si>
  <si>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</si>
  <si>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</si>
  <si>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</si>
  <si>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</si>
  <si>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</si>
  <si>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</si>
  <si>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</si>
  <si>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</si>
  <si>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</si>
  <si>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</si>
  <si>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</si>
  <si>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</si>
  <si>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</si>
  <si>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</si>
  <si>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</si>
  <si>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</si>
  <si>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</si>
  <si>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</si>
  <si>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</si>
  <si>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</si>
  <si>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</si>
  <si>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</si>
  <si>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</si>
  <si>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</si>
  <si>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</si>
  <si>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</si>
  <si>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</si>
  <si>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</si>
  <si>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</si>
  <si>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</si>
  <si>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</si>
  <si>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</si>
  <si>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</si>
  <si>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</si>
  <si>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</si>
  <si>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</si>
  <si>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</si>
  <si>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</si>
  <si>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</si>
  <si>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</si>
  <si>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</si>
  <si>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</si>
  <si>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</si>
  <si>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</si>
  <si>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</si>
  <si>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</si>
  <si>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</si>
  <si>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</si>
  <si>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</si>
  <si>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</si>
  <si>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</si>
  <si>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</si>
  <si>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</si>
  <si>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</si>
  <si>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</si>
  <si>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</si>
  <si>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</si>
  <si>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</si>
  <si>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</si>
  <si>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</si>
  <si>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</si>
  <si>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</si>
  <si>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</si>
  <si>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</si>
  <si>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</si>
  <si>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</si>
  <si>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</si>
  <si>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</si>
  <si>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</si>
  <si>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</si>
  <si>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</si>
  <si>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</si>
  <si>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</si>
  <si>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</si>
  <si>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</si>
  <si>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</si>
  <si>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</si>
  <si>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</si>
  <si>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</si>
  <si>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</si>
  <si>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</si>
  <si>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</si>
  <si>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</si>
  <si>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</si>
  <si>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</si>
  <si>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</si>
  <si>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</si>
  <si>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</si>
  <si>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</si>
  <si>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</si>
  <si>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</si>
  <si>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</si>
  <si>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</si>
  <si>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</si>
  <si>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</si>
  <si>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</si>
  <si>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</si>
  <si>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</si>
  <si>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</si>
  <si>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</si>
  <si>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</si>
  <si>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</si>
  <si>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</si>
  <si>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</si>
  <si>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</si>
  <si>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</si>
  <si>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</si>
  <si>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</si>
  <si>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</si>
  <si>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</si>
  <si>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</si>
  <si>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</si>
  <si>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</si>
  <si>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</si>
  <si>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</si>
  <si>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</si>
  <si>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</si>
  <si>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</si>
  <si>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</si>
  <si>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</si>
  <si>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</si>
  <si>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</si>
  <si>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</si>
  <si>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</si>
  <si>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</si>
  <si>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</si>
  <si>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</si>
  <si>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</si>
  <si>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</si>
  <si>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</si>
  <si>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</si>
  <si>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</si>
  <si>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</si>
  <si>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</si>
  <si>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</si>
  <si>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</si>
  <si>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</si>
  <si>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</si>
  <si>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</si>
  <si>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</si>
  <si>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</si>
  <si>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</si>
  <si>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</si>
  <si>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</si>
  <si>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</si>
  <si>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</si>
  <si>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</si>
  <si>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</si>
  <si>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</si>
  <si>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</si>
  <si>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</si>
  <si>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</si>
  <si>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</si>
  <si>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</si>
  <si>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</si>
  <si>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</si>
  <si>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</si>
  <si>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</si>
  <si>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</si>
  <si>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</si>
  <si>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</si>
  <si>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</si>
  <si>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</si>
  <si>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</si>
  <si>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</si>
  <si>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</si>
  <si>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</si>
  <si>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</si>
  <si>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</si>
  <si>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</si>
  <si>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</si>
  <si>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</si>
  <si>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</si>
  <si>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</si>
  <si>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</si>
  <si>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</si>
  <si>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</si>
  <si>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</si>
  <si>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</si>
  <si>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</si>
  <si>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</si>
  <si>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</si>
  <si>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</si>
  <si>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</si>
  <si>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</si>
  <si>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</si>
  <si>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</si>
  <si>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</si>
  <si>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</si>
  <si>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</si>
  <si>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</si>
  <si>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</si>
  <si>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</si>
  <si>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</si>
  <si>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</si>
  <si>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</si>
  <si>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</si>
  <si>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</si>
  <si>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</si>
  <si>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</si>
  <si>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</si>
  <si>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</si>
  <si>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</si>
  <si>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</si>
  <si>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</si>
  <si>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</si>
  <si>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</si>
  <si>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</si>
  <si>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</si>
  <si>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</si>
  <si>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</si>
  <si>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</si>
  <si>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</si>
  <si>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</si>
  <si>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</si>
  <si>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</si>
  <si>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</si>
  <si>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</si>
  <si>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</si>
  <si>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</si>
  <si>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</si>
  <si>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</si>
  <si>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</si>
  <si>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</si>
  <si>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</si>
  <si>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</si>
  <si>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</si>
  <si>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</si>
  <si>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</si>
  <si>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</si>
  <si>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</si>
  <si>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</si>
  <si>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</si>
  <si>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</si>
  <si>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</si>
  <si>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</si>
  <si>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</si>
  <si>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</si>
  <si>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</si>
  <si>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</si>
  <si>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</si>
  <si>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</si>
  <si>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</si>
  <si>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</si>
  <si>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</si>
  <si>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</si>
  <si>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</si>
  <si>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</si>
  <si>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</si>
  <si>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</si>
  <si>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</si>
  <si>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</si>
  <si>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</si>
  <si>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</si>
  <si>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</si>
  <si>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</si>
  <si>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</si>
  <si>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</si>
  <si>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</si>
  <si>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</si>
  <si>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</si>
  <si>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</si>
  <si>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</si>
  <si>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</si>
  <si>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</si>
  <si>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</si>
  <si>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</si>
  <si>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</si>
  <si>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</si>
  <si>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</si>
  <si>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</si>
  <si>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</si>
  <si>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</si>
  <si>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</si>
  <si>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</si>
  <si>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</si>
  <si>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</si>
  <si>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</si>
  <si>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</si>
  <si>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</si>
  <si>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</si>
  <si>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</si>
  <si>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</si>
  <si>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</si>
  <si>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</si>
  <si>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</si>
  <si>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</si>
  <si>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</si>
  <si>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</si>
  <si>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</si>
  <si>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</si>
  <si>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</si>
  <si>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</si>
  <si>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</si>
  <si>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</si>
  <si>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</si>
  <si>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</si>
  <si>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</si>
  <si>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</si>
  <si>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</si>
  <si>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</si>
  <si>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</si>
  <si>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</si>
  <si>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</si>
  <si>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</si>
  <si>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</si>
  <si>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</si>
  <si>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</si>
  <si>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</si>
  <si>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</si>
  <si>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</si>
  <si>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</si>
  <si>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</si>
  <si>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</si>
  <si>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</si>
  <si>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</si>
  <si>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</si>
  <si>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</si>
  <si>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</si>
  <si>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</si>
  <si>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</si>
  <si>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</si>
  <si>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</si>
  <si>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</si>
  <si>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</si>
  <si>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</si>
  <si>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</si>
  <si>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</si>
  <si>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</si>
  <si>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</si>
  <si>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</si>
  <si>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</si>
  <si>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</si>
  <si>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</si>
  <si>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</si>
  <si>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</si>
  <si>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</si>
  <si>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</si>
  <si>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</si>
  <si>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</si>
  <si>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</si>
  <si>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</si>
  <si>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</si>
  <si>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</si>
  <si>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</si>
  <si>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</si>
  <si>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</si>
  <si>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</si>
  <si>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</si>
  <si>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</si>
  <si>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</si>
  <si>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</si>
  <si>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</si>
  <si>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</si>
  <si>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</si>
  <si>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</si>
  <si>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</si>
  <si>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</si>
  <si>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</si>
  <si>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</si>
  <si>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</si>
  <si>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</si>
  <si>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</si>
  <si>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</si>
  <si>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</si>
  <si>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</si>
  <si>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</si>
  <si>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</si>
  <si>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</si>
  <si>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</si>
  <si>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</si>
  <si>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</si>
  <si>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</si>
  <si>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</si>
  <si>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</si>
  <si>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</si>
  <si>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</si>
  <si>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</si>
  <si>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</si>
  <si>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</si>
  <si>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</si>
  <si>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</si>
  <si>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</si>
  <si>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</si>
  <si>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</si>
  <si>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</si>
  <si>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</si>
  <si>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</si>
  <si>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</si>
  <si>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</si>
  <si>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</si>
  <si>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</si>
  <si>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</si>
  <si>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</si>
  <si>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</si>
  <si>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</si>
  <si>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</si>
  <si>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</si>
  <si>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</si>
  <si>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</si>
  <si>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</si>
  <si>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</si>
  <si>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</si>
  <si>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</si>
  <si>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</si>
  <si>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</si>
  <si>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</si>
  <si>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</si>
  <si>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</si>
  <si>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</si>
  <si>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</si>
  <si>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</si>
  <si>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</si>
  <si>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</si>
  <si>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</si>
  <si>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</si>
  <si>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</si>
  <si>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</si>
  <si>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</si>
  <si>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</si>
  <si>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</si>
  <si>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</si>
  <si>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</si>
  <si>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</si>
  <si>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</si>
  <si>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</si>
  <si>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</si>
  <si>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</si>
  <si>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</si>
  <si>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</si>
  <si>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</si>
  <si>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</si>
  <si>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</si>
  <si>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</si>
  <si>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</si>
  <si>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</si>
  <si>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</si>
  <si>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</si>
  <si>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</si>
  <si>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</si>
  <si>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</si>
  <si>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</si>
  <si>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</si>
  <si>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</si>
  <si>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</si>
  <si>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</si>
  <si>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</si>
  <si>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</si>
  <si>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</si>
  <si>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</si>
  <si>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</si>
  <si>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</si>
  <si>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</si>
  <si>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</si>
  <si>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</si>
  <si>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</si>
  <si>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</si>
  <si>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</si>
  <si>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</si>
  <si>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</si>
  <si>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</si>
  <si>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</si>
  <si>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</si>
  <si>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</si>
  <si>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</si>
  <si>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</si>
  <si>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</si>
  <si>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</si>
  <si>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</si>
  <si>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</si>
  <si>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</si>
  <si>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</si>
  <si>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</si>
  <si>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</si>
  <si>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</si>
  <si>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</si>
  <si>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</si>
  <si>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</si>
  <si>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</si>
  <si>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</si>
  <si>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</si>
  <si>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</si>
  <si>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</si>
  <si>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</si>
  <si>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</si>
  <si>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</si>
  <si>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</si>
  <si>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</si>
  <si>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</si>
  <si>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</si>
  <si>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</si>
  <si>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</si>
  <si>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</si>
  <si>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</si>
  <si>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</si>
  <si>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</si>
  <si>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</si>
  <si>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</si>
  <si>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</si>
  <si>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</si>
  <si>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</si>
  <si>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</si>
  <si>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</si>
  <si>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</si>
  <si>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</si>
  <si>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</si>
  <si>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</si>
  <si>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</si>
  <si>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</si>
  <si>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</si>
  <si>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</si>
  <si>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</si>
  <si>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</si>
  <si>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</si>
  <si>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</si>
  <si>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</si>
  <si>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</si>
  <si>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</si>
  <si>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</si>
  <si>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</si>
  <si>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</si>
  <si>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</si>
  <si>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</si>
  <si>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</si>
  <si>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</si>
  <si>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</si>
  <si>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</si>
  <si>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</si>
  <si>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</si>
  <si>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</si>
  <si>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</si>
  <si>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</si>
  <si>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</si>
  <si>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</si>
  <si>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</si>
  <si>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</si>
  <si>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</si>
  <si>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</si>
  <si>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</si>
  <si>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</si>
  <si>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</si>
  <si>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</si>
  <si>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</si>
  <si>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</si>
  <si>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</si>
  <si>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</si>
  <si>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</si>
  <si>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</si>
  <si>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</si>
  <si>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</si>
  <si>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</si>
  <si>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</si>
  <si>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</si>
  <si>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</si>
  <si>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</si>
  <si>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</si>
  <si>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</si>
  <si>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</si>
  <si>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</si>
  <si>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</si>
  <si>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</si>
  <si>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</si>
  <si>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</si>
  <si>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</si>
  <si>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</si>
  <si>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</si>
  <si>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</si>
  <si>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</si>
  <si>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</si>
  <si>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</si>
  <si>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</si>
  <si>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</si>
  <si>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</si>
  <si>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</si>
  <si>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</si>
  <si>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</si>
  <si>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</si>
  <si>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</si>
  <si>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</si>
  <si>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</si>
  <si>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</si>
  <si>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</si>
  <si>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</si>
  <si>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</si>
  <si>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</si>
  <si>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</si>
  <si>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</si>
  <si>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</si>
  <si>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</si>
  <si>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</si>
  <si>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</si>
  <si>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</si>
  <si>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</si>
  <si>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</si>
  <si>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</si>
  <si>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</si>
  <si>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</si>
  <si>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</si>
  <si>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</si>
  <si>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</si>
  <si>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</si>
  <si>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</si>
  <si>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</si>
  <si>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</si>
  <si>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</si>
  <si>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</si>
  <si>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</si>
  <si>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</si>
  <si>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</si>
  <si>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</si>
  <si>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</si>
  <si>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</si>
  <si>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</si>
  <si>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</si>
  <si>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</si>
  <si>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</si>
  <si>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</si>
  <si>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</si>
  <si>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</si>
  <si>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</si>
  <si>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</si>
  <si>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</si>
  <si>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</si>
  <si>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</si>
  <si>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</si>
  <si>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</si>
  <si>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</si>
  <si>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</si>
  <si>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</si>
  <si>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</si>
  <si>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</si>
  <si>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</si>
  <si>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</si>
  <si>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</si>
  <si>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</si>
  <si>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</si>
  <si>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</si>
  <si>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</si>
  <si>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</si>
  <si>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</si>
  <si>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</si>
  <si>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</si>
  <si>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</si>
  <si>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</si>
  <si>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</si>
  <si>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</si>
  <si>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</si>
  <si>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</si>
  <si>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</si>
  <si>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</si>
  <si>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</si>
  <si>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</si>
  <si>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</si>
  <si>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</si>
  <si>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</si>
  <si>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</si>
  <si>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</si>
  <si>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</si>
  <si>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</si>
  <si>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</si>
  <si>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</si>
  <si>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</si>
  <si>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</si>
  <si>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</si>
  <si>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</si>
  <si>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</si>
  <si>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</si>
  <si>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</si>
  <si>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</si>
  <si>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</si>
  <si>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</si>
  <si>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</si>
  <si>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</si>
  <si>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</si>
  <si>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</si>
  <si>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</si>
  <si>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</si>
  <si>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</si>
  <si>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</si>
  <si>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</si>
  <si>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</si>
  <si>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</si>
  <si>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</si>
  <si>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</si>
  <si>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</si>
  <si>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</si>
  <si>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</si>
  <si>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</si>
  <si>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</si>
  <si>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</si>
  <si>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</si>
  <si>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</si>
  <si>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</si>
  <si>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</si>
  <si>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</si>
  <si>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</si>
  <si>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</si>
  <si>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</si>
  <si>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</si>
  <si>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</si>
  <si>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</si>
  <si>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</si>
  <si>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</si>
  <si>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</si>
  <si>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</si>
  <si>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</si>
  <si>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</si>
  <si>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</si>
  <si>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</si>
  <si>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</si>
  <si>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</si>
  <si>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</si>
  <si>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</si>
  <si>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</si>
  <si>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</si>
  <si>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</si>
  <si>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</si>
  <si>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</si>
  <si>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</si>
  <si>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</si>
  <si>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</si>
  <si>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</si>
  <si>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</si>
  <si>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</si>
  <si>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</si>
  <si>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</si>
  <si>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</si>
  <si>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</si>
  <si>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</si>
  <si>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</si>
  <si>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</si>
  <si>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</si>
  <si>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</si>
  <si>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</si>
  <si>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</si>
  <si>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</si>
  <si>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</si>
  <si>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</si>
  <si>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</si>
  <si>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</si>
  <si>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</si>
  <si>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</si>
  <si>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</si>
  <si>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</si>
  <si>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</si>
  <si>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</si>
  <si>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</si>
  <si>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</si>
  <si>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</si>
  <si>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</si>
  <si>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</si>
  <si>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</si>
  <si>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</si>
  <si>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</si>
  <si>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</si>
  <si>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</si>
  <si>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</si>
  <si>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</si>
  <si>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</si>
  <si>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</si>
  <si>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</si>
  <si>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</si>
  <si>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</si>
  <si>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</si>
  <si>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</si>
  <si>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</si>
  <si>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</si>
  <si>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</si>
  <si>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</si>
  <si>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</si>
  <si>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</si>
  <si>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</si>
  <si>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</si>
  <si>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</si>
  <si>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</si>
  <si>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</si>
  <si>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</si>
  <si>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</si>
  <si>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</si>
  <si>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</si>
  <si>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</si>
  <si>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</si>
  <si>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</si>
  <si>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</si>
  <si>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</si>
  <si>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</si>
  <si>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</si>
  <si>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</si>
  <si>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</si>
  <si>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</si>
  <si>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</si>
  <si>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</si>
  <si>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</si>
  <si>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</si>
  <si>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</si>
  <si>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</si>
  <si>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</si>
  <si>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</si>
  <si>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</si>
  <si>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</si>
  <si>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</si>
  <si>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</si>
  <si>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</si>
  <si>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</si>
  <si>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</si>
  <si>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</si>
  <si>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</si>
  <si>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</si>
  <si>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</si>
  <si>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</si>
  <si>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</si>
  <si>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</si>
  <si>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</si>
  <si>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</si>
  <si>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</si>
  <si>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</si>
  <si>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</si>
  <si>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</si>
  <si>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</si>
  <si>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</si>
  <si>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</si>
  <si>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</si>
  <si>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</si>
  <si>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</si>
  <si>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</si>
  <si>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</si>
  <si>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</si>
  <si>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</si>
  <si>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</si>
  <si>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</si>
  <si>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</si>
  <si>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</si>
  <si>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</si>
  <si>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</si>
  <si>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</si>
  <si>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</si>
  <si>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</si>
  <si>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</si>
  <si>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</si>
  <si>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</si>
  <si>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</si>
  <si>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</si>
  <si>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</si>
  <si>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</si>
  <si>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</si>
  <si>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</si>
  <si>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</si>
  <si>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</si>
  <si>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</si>
  <si>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</si>
  <si>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</si>
  <si>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</si>
  <si>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</si>
  <si>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</si>
  <si>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</si>
  <si>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</si>
  <si>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</si>
  <si>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</si>
  <si>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</si>
  <si>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</si>
  <si>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</si>
  <si>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</si>
  <si>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</si>
  <si>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</si>
  <si>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</si>
  <si>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</si>
  <si>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</si>
  <si>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</si>
  <si>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</si>
  <si>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</si>
  <si>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</si>
  <si>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</si>
  <si>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</si>
  <si>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</si>
  <si>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</si>
  <si>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</si>
  <si>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</si>
  <si>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</si>
  <si>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</si>
  <si>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</si>
  <si>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</si>
  <si>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</si>
  <si>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</si>
  <si>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</si>
  <si>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</si>
  <si>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</si>
  <si>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</si>
  <si>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</si>
  <si>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</si>
  <si>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</si>
  <si>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</si>
  <si>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</si>
  <si>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</si>
  <si>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</si>
  <si>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</si>
  <si>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</si>
  <si>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</si>
  <si>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</si>
  <si>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</si>
  <si>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</si>
  <si>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</si>
  <si>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</si>
  <si>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</si>
  <si>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</si>
  <si>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</si>
  <si>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</si>
  <si>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</si>
  <si>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</si>
  <si>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</si>
  <si>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</si>
  <si>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</si>
  <si>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</si>
  <si>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</si>
  <si>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</si>
  <si>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</si>
  <si>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</si>
  <si>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</si>
  <si>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</si>
  <si>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</si>
  <si>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</si>
  <si>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</si>
  <si>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</si>
  <si>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</si>
  <si>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</si>
  <si>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</si>
  <si>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</si>
  <si>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</si>
  <si>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</si>
  <si>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</si>
  <si>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</si>
  <si>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</si>
  <si>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</si>
  <si>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</si>
  <si>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</si>
  <si>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</si>
  <si>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</si>
  <si>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</si>
  <si>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</si>
  <si>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</si>
  <si>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</si>
  <si>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</si>
  <si>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</si>
  <si>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</si>
  <si>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</si>
  <si>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</si>
  <si>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</si>
  <si>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</si>
  <si>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</si>
  <si>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</si>
  <si>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</si>
  <si>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</si>
  <si>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</si>
  <si>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</si>
  <si>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</si>
  <si>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</si>
  <si>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</si>
  <si>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</si>
  <si>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</si>
  <si>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</si>
  <si>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</si>
  <si>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</si>
  <si>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</si>
  <si>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</si>
  <si>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</si>
  <si>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</si>
  <si>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</si>
  <si>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</si>
  <si>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</si>
  <si>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</si>
  <si>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</si>
  <si>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</si>
  <si>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</si>
  <si>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</si>
  <si>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</si>
  <si>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</si>
  <si>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</si>
  <si>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</si>
  <si>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</si>
  <si>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</si>
  <si>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</si>
  <si>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</si>
  <si>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</si>
  <si>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</si>
  <si>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</si>
  <si>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</si>
  <si>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</si>
  <si>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</si>
  <si>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</si>
  <si>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</si>
  <si>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</si>
  <si>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</si>
  <si>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</si>
  <si>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</si>
  <si>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</si>
  <si>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</si>
  <si>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</si>
  <si>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</si>
  <si>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</si>
  <si>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</si>
  <si>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</si>
  <si>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</si>
  <si>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</si>
  <si>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</si>
  <si>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</si>
  <si>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</si>
  <si>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</si>
  <si>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</si>
  <si>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</si>
  <si>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</si>
  <si>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</si>
  <si>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</si>
  <si>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</si>
  <si>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</si>
  <si>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</si>
  <si>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</si>
  <si>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</si>
  <si>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</si>
  <si>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</si>
  <si>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</si>
  <si>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</si>
  <si>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</si>
  <si>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</si>
  <si>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</si>
  <si>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</si>
  <si>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</si>
  <si>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</si>
  <si>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</si>
  <si>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</si>
  <si>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</si>
  <si>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</si>
  <si>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</si>
  <si>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</si>
  <si>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</si>
  <si>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</si>
  <si>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</si>
  <si>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</si>
  <si>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</si>
  <si>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</si>
  <si>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</si>
  <si>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</si>
  <si>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</si>
  <si>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</si>
  <si>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</si>
  <si>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</si>
  <si>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</si>
  <si>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</si>
  <si>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</si>
  <si>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</si>
  <si>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</si>
  <si>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</si>
  <si>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</si>
  <si>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</si>
  <si>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</si>
  <si>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</si>
  <si>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</si>
  <si>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</si>
  <si>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</si>
  <si>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</si>
  <si>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</si>
  <si>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</si>
  <si>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</si>
  <si>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</si>
  <si>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</si>
  <si>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</si>
  <si>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</si>
  <si>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</si>
  <si>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</si>
  <si>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</si>
  <si>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</si>
  <si>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</si>
  <si>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</si>
  <si>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</si>
  <si>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</si>
  <si>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</si>
  <si>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</si>
  <si>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</si>
  <si>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</si>
  <si>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</si>
  <si>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</si>
  <si>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</si>
  <si>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</si>
  <si>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</si>
  <si>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</si>
  <si>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</si>
  <si>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</si>
  <si>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</si>
  <si>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</si>
  <si>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</si>
  <si>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</si>
  <si>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</si>
  <si>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</si>
  <si>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</si>
  <si>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</si>
  <si>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</si>
  <si>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</si>
  <si>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</si>
  <si>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</si>
  <si>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</si>
  <si>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</si>
  <si>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</si>
  <si>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</si>
  <si>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</si>
  <si>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</si>
  <si>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</si>
  <si>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</si>
  <si>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</si>
  <si>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</si>
  <si>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</si>
  <si>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</si>
  <si>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</si>
  <si>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</si>
  <si>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</si>
  <si>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</si>
  <si>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</si>
  <si>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</si>
  <si>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</si>
  <si>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</si>
  <si>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</si>
  <si>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</si>
  <si>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</si>
  <si>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</si>
  <si>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</si>
  <si>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</si>
  <si>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</si>
  <si>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</si>
  <si>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</si>
  <si>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</si>
  <si>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</si>
  <si>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</si>
  <si>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</si>
  <si>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</si>
  <si>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</si>
  <si>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</si>
  <si>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</si>
  <si>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</si>
  <si>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</si>
  <si>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</si>
  <si>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</si>
  <si>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</si>
  <si>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</si>
  <si>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</si>
  <si>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</si>
  <si>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</si>
  <si>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</si>
  <si>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</si>
  <si>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</si>
  <si>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</si>
  <si>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</si>
  <si>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</si>
  <si>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</si>
  <si>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</si>
  <si>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</si>
  <si>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</si>
  <si>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</si>
  <si>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</si>
  <si>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</si>
  <si>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</si>
  <si>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</si>
  <si>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</si>
  <si>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</si>
  <si>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</si>
  <si>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</si>
  <si>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</si>
  <si>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</si>
  <si>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</si>
  <si>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</si>
  <si>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</si>
  <si>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</si>
  <si>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</si>
  <si>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</si>
  <si>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</si>
  <si>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</si>
  <si>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</si>
  <si>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</si>
  <si>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</si>
  <si>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</si>
  <si>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</si>
  <si>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</si>
  <si>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</si>
  <si>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</si>
  <si>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</si>
  <si>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</si>
  <si>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</si>
  <si>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</si>
  <si>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</si>
  <si>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</si>
  <si>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</si>
  <si>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</si>
  <si>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</si>
  <si>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</si>
  <si>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</si>
  <si>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</si>
  <si>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</si>
  <si>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</si>
  <si>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</si>
  <si>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</si>
  <si>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</si>
  <si>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</si>
  <si>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</si>
  <si>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</si>
  <si>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</si>
  <si>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</si>
  <si>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</si>
  <si>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</si>
  <si>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</si>
  <si>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</si>
  <si>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</si>
  <si>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</si>
  <si>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</si>
  <si>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</si>
  <si>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</si>
  <si>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</si>
  <si>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</si>
  <si>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</si>
  <si>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</si>
  <si>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</si>
  <si>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</si>
  <si>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</si>
  <si>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</si>
  <si>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</si>
  <si>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</si>
  <si>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</si>
  <si>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</si>
  <si>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</si>
  <si>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</si>
  <si>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</si>
  <si>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</si>
  <si>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</si>
  <si>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</si>
  <si>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</si>
  <si>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</si>
  <si>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</si>
  <si>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</si>
  <si>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</si>
  <si>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</si>
  <si>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</si>
  <si>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</si>
  <si>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</si>
  <si>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</si>
  <si>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</si>
  <si>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</si>
  <si>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</si>
  <si>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</si>
  <si>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</si>
  <si>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</si>
  <si>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</si>
  <si>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</si>
  <si>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</si>
  <si>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</si>
  <si>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</si>
  <si>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</si>
  <si>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</si>
  <si>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</si>
  <si>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</si>
  <si>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</si>
  <si>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</si>
  <si>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</si>
  <si>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</si>
  <si>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</si>
  <si>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</si>
  <si>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</si>
  <si>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</si>
  <si>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</si>
  <si>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</si>
  <si>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</si>
  <si>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</si>
  <si>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</si>
  <si>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</si>
  <si>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</si>
  <si>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</si>
  <si>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</si>
  <si>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</si>
  <si>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</si>
  <si>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</si>
  <si>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</si>
  <si>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</si>
  <si>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</si>
  <si>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</si>
  <si>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</si>
  <si>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</si>
  <si>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</si>
  <si>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</si>
  <si>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</si>
  <si>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</si>
  <si>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</si>
  <si>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</si>
  <si>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</si>
  <si>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</si>
  <si>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</si>
  <si>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</si>
  <si>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</si>
  <si>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</si>
  <si>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</si>
  <si>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</si>
  <si>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</si>
  <si>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</si>
  <si>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</si>
  <si>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</si>
  <si>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</si>
  <si>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</si>
  <si>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</si>
  <si>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</si>
  <si>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</si>
  <si>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</si>
  <si>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</si>
  <si>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</si>
  <si>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</si>
  <si>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</si>
  <si>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</si>
  <si>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</si>
  <si>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</si>
  <si>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</si>
  <si>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</si>
  <si>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</si>
  <si>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</si>
  <si>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</si>
  <si>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</si>
  <si>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</si>
  <si>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</si>
  <si>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</si>
  <si>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</si>
  <si>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</si>
  <si>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</si>
  <si>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</si>
  <si>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</si>
  <si>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</si>
  <si>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</si>
  <si>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</si>
  <si>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</si>
  <si>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</si>
  <si>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</si>
  <si>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</si>
  <si>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</si>
  <si>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</si>
  <si>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</si>
  <si>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</si>
  <si>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</si>
  <si>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</si>
  <si>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</si>
  <si>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</si>
  <si>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</si>
  <si>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</si>
  <si>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</si>
  <si>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</si>
  <si>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</si>
  <si>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</si>
  <si>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</si>
  <si>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</si>
  <si>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</si>
  <si>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</si>
  <si>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</si>
  <si>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</si>
  <si>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</si>
  <si>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</si>
  <si>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</si>
  <si>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</si>
  <si>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</si>
  <si>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</si>
  <si>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</si>
  <si>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</si>
  <si>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</si>
  <si>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</si>
  <si>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</si>
  <si>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</si>
  <si>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</si>
  <si>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</si>
  <si>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</si>
  <si>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</si>
  <si>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</si>
  <si>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</si>
  <si>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</si>
  <si>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</si>
  <si>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</si>
  <si>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</si>
  <si>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</si>
  <si>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</si>
  <si>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</si>
  <si>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</si>
  <si>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</si>
  <si>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</si>
  <si>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</si>
  <si>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</si>
  <si>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</si>
  <si>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</si>
  <si>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</si>
  <si>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</si>
  <si>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</si>
  <si>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</si>
  <si>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</si>
  <si>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</si>
  <si>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</si>
  <si>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</si>
  <si>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</si>
  <si>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</si>
  <si>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</si>
  <si>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</si>
  <si>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</si>
  <si>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</si>
  <si>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</si>
  <si>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</si>
  <si>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</si>
  <si>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</si>
  <si>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</si>
  <si>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</si>
  <si>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</si>
  <si>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</si>
  <si>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</si>
  <si>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</si>
  <si>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</si>
  <si>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</si>
  <si>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</si>
  <si>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</si>
  <si>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</si>
  <si>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</si>
  <si>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</si>
  <si>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</si>
  <si>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</si>
  <si>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</si>
  <si>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</si>
  <si>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</si>
  <si>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</si>
  <si>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</si>
  <si>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</si>
  <si>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</si>
  <si>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</si>
  <si>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</si>
  <si>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</si>
  <si>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</si>
  <si>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</si>
  <si>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</si>
  <si>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</si>
  <si>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</si>
  <si>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</si>
  <si>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</si>
  <si>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</si>
  <si>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</si>
  <si>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</si>
  <si>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</si>
  <si>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</si>
  <si>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</si>
  <si>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</si>
  <si>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</si>
  <si>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</si>
  <si>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</si>
  <si>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</si>
  <si>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</si>
  <si>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</si>
  <si>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</si>
  <si>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</si>
  <si>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</si>
  <si>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</si>
  <si>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</si>
  <si>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</si>
  <si>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</si>
  <si>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</si>
  <si>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</si>
  <si>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</si>
  <si>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</si>
  <si>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</si>
  <si>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</si>
  <si>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</si>
  <si>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</si>
  <si>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</si>
  <si>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</si>
  <si>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</si>
  <si>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</si>
  <si>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</si>
  <si>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</si>
  <si>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</si>
  <si>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</si>
  <si>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</si>
  <si>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</si>
  <si>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</si>
  <si>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</si>
  <si>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</si>
  <si>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</si>
  <si>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</si>
  <si>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</si>
  <si>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</si>
  <si>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</si>
  <si>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</si>
  <si>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</si>
  <si>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</si>
  <si>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</si>
  <si>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</si>
  <si>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</si>
  <si>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</si>
  <si>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</si>
  <si>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</si>
  <si>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</si>
  <si>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</si>
  <si>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</si>
  <si>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</si>
  <si>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</si>
  <si>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</si>
  <si>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</si>
  <si>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</si>
  <si>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</si>
  <si>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</si>
  <si>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</si>
  <si>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</si>
  <si>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</si>
  <si>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</si>
  <si>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</si>
  <si>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</si>
  <si>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</si>
  <si>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</si>
  <si>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</si>
  <si>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</si>
  <si>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</si>
  <si>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</si>
  <si>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</si>
  <si>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</si>
  <si>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</si>
  <si>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</si>
  <si>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</si>
  <si>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</si>
  <si>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</si>
  <si>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</si>
  <si>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</si>
  <si>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</si>
  <si>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</si>
  <si>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</si>
  <si>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</si>
  <si>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</si>
  <si>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</si>
  <si>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</si>
  <si>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</si>
  <si>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</si>
  <si>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</si>
  <si>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</si>
  <si>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</si>
  <si>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</si>
  <si>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</si>
  <si>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</si>
  <si>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</si>
  <si>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</si>
  <si>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</si>
  <si>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</si>
  <si>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</si>
  <si>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</si>
  <si>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</si>
  <si>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</si>
  <si>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</si>
  <si>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</si>
  <si>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</si>
  <si>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</si>
  <si>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</si>
  <si>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</si>
  <si>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</si>
  <si>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</si>
  <si>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</si>
  <si>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</si>
  <si>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</si>
  <si>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</si>
  <si>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</si>
  <si>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</si>
  <si>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</si>
  <si>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</si>
  <si>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</si>
  <si>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</si>
  <si>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</si>
  <si>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</si>
  <si>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</si>
  <si>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</si>
  <si>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</si>
  <si>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</si>
  <si>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</si>
  <si>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</si>
  <si>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</si>
  <si>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</si>
  <si>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</si>
  <si>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</si>
  <si>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</si>
  <si>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</si>
  <si>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</si>
  <si>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</si>
  <si>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</si>
  <si>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</si>
  <si>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</si>
  <si>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</si>
  <si>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</si>
  <si>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</si>
  <si>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</si>
  <si>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</si>
  <si>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</si>
  <si>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</si>
  <si>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</si>
  <si>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</si>
  <si>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</si>
  <si>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</si>
  <si>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</si>
  <si>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</si>
  <si>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</si>
  <si>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</si>
  <si>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</si>
  <si>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</si>
  <si>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</si>
  <si>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</si>
  <si>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</si>
  <si>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</si>
  <si>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</si>
  <si>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</si>
  <si>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</si>
  <si>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</si>
  <si>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</si>
  <si>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</si>
  <si>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</si>
  <si>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</si>
  <si>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</si>
  <si>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</si>
  <si>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</si>
  <si>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</si>
  <si>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</si>
  <si>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</si>
  <si>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</si>
  <si>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</si>
  <si>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</si>
  <si>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</si>
  <si>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</si>
  <si>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</si>
  <si>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</si>
  <si>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</si>
  <si>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</si>
  <si>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</si>
  <si>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</si>
  <si>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</si>
  <si>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</si>
  <si>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</si>
  <si>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</si>
  <si>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</si>
  <si>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</si>
  <si>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</si>
  <si>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</si>
  <si>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</si>
  <si>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</si>
  <si>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</si>
  <si>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</si>
  <si>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</si>
  <si>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</si>
  <si>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</si>
  <si>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</si>
  <si>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</si>
  <si>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</si>
  <si>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</si>
  <si>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</si>
  <si>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</si>
  <si>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</si>
  <si>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</si>
  <si>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</si>
  <si>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</si>
  <si>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</si>
  <si>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</si>
  <si>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</si>
  <si>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</si>
  <si>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</si>
  <si>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</si>
  <si>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</si>
  <si>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</si>
  <si>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</si>
  <si>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</si>
  <si>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</si>
  <si>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</si>
  <si>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</si>
  <si>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</si>
  <si>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</si>
  <si>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</si>
  <si>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</si>
  <si>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</si>
  <si>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</si>
  <si>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</si>
  <si>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</si>
  <si>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</si>
  <si>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</si>
  <si>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</si>
  <si>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</si>
  <si>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</si>
  <si>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</si>
  <si>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</si>
  <si>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</si>
  <si>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</si>
  <si>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</si>
  <si>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</si>
  <si>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</si>
  <si>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</si>
  <si>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</si>
  <si>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</si>
  <si>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</si>
  <si>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</si>
  <si>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</si>
  <si>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</si>
  <si>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</si>
  <si>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</si>
  <si>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</si>
  <si>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</si>
  <si>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</si>
  <si>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</si>
  <si>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</si>
  <si>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</si>
  <si>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</si>
  <si>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</si>
  <si>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</si>
  <si>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</si>
  <si>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</si>
  <si>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</si>
  <si>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</si>
  <si>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</si>
  <si>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</si>
  <si>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</si>
  <si>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</si>
  <si>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</si>
  <si>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</si>
  <si>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</si>
  <si>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</si>
  <si>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</si>
  <si>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</si>
  <si>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</si>
  <si>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</si>
  <si>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</si>
  <si>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</si>
  <si>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</si>
  <si>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</si>
  <si>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</si>
  <si>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</si>
  <si>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</si>
  <si>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</si>
  <si>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</si>
  <si>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</si>
  <si>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</si>
  <si>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</si>
  <si>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</si>
  <si>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</si>
  <si>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</si>
  <si>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</si>
  <si>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</si>
  <si>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</si>
  <si>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</si>
  <si>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</si>
  <si>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</si>
  <si>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</si>
  <si>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</si>
  <si>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</si>
  <si>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</si>
  <si>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</si>
  <si>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</si>
  <si>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</si>
  <si>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</si>
  <si>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</si>
  <si>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</si>
  <si>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</si>
  <si>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</si>
  <si>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</si>
  <si>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</si>
  <si>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</si>
  <si>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</si>
  <si>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</si>
  <si>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</si>
  <si>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</si>
  <si>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</si>
  <si>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</si>
  <si>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</si>
  <si>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</si>
  <si>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</si>
  <si>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</si>
  <si>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</si>
  <si>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</si>
  <si>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</si>
  <si>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</si>
  <si>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</si>
  <si>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</si>
  <si>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</si>
  <si>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</si>
  <si>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</si>
  <si>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</si>
  <si>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</si>
  <si>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</si>
  <si>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</si>
  <si>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</si>
  <si>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</si>
  <si>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</si>
  <si>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</si>
  <si>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</si>
  <si>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</si>
  <si>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</si>
  <si>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</si>
  <si>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</si>
  <si>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</si>
  <si>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</si>
  <si>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</si>
  <si>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</si>
  <si>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</si>
  <si>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</si>
  <si>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</si>
  <si>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</si>
  <si>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</si>
  <si>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</si>
  <si>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</si>
  <si>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</si>
  <si>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</si>
  <si>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</si>
  <si>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</si>
  <si>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</si>
  <si>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</si>
  <si>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</si>
  <si>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</si>
  <si>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</si>
  <si>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</si>
  <si>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</si>
  <si>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</si>
  <si>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</si>
  <si>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</si>
  <si>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</si>
  <si>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</si>
  <si>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</si>
  <si>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</si>
  <si>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</si>
  <si>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</si>
  <si>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</si>
  <si>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</si>
  <si>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</si>
  <si>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</si>
  <si>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</si>
  <si>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</si>
  <si>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</si>
  <si>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</si>
  <si>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</si>
  <si>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</si>
  <si>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</si>
  <si>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</si>
  <si>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</si>
  <si>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</si>
  <si>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</si>
  <si>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</si>
  <si>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</si>
  <si>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</si>
  <si>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</si>
  <si>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</si>
  <si>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</si>
  <si>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</si>
  <si>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</si>
  <si>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</si>
  <si>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</si>
  <si>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</si>
  <si>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</si>
  <si>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</si>
  <si>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</si>
  <si>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</si>
  <si>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</si>
  <si>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</si>
  <si>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</si>
  <si>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</si>
  <si>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</si>
  <si>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</si>
  <si>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</si>
  <si>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</si>
  <si>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</si>
  <si>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</si>
  <si>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</si>
  <si>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</si>
  <si>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</si>
  <si>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</si>
  <si>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</si>
  <si>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</si>
  <si>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</si>
  <si>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</si>
  <si>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</si>
  <si>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</si>
  <si>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</si>
  <si>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</si>
  <si>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</si>
  <si>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</si>
  <si>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</si>
  <si>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</si>
  <si>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</si>
  <si>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</si>
  <si>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</si>
  <si>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</si>
  <si>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</si>
  <si>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</si>
  <si>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</si>
  <si>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</si>
  <si>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</si>
  <si>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</si>
  <si>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</si>
  <si>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</si>
  <si>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</si>
  <si>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</si>
  <si>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</si>
  <si>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</si>
  <si>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</si>
  <si>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</si>
  <si>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</si>
  <si>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</si>
  <si>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</si>
  <si>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</si>
  <si>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</si>
  <si>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</si>
  <si>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</si>
  <si>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</si>
  <si>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</si>
  <si>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</si>
  <si>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</si>
  <si>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</si>
  <si>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</si>
  <si>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</si>
  <si>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</si>
  <si>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</si>
  <si>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</si>
  <si>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</si>
  <si>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</si>
  <si>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</si>
  <si>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</si>
  <si>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</si>
  <si>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</si>
  <si>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</si>
  <si>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</si>
  <si>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</si>
  <si>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</si>
  <si>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</si>
  <si>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</si>
  <si>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</si>
  <si>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</si>
  <si>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</si>
  <si>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</si>
  <si>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</si>
  <si>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</si>
  <si>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</si>
  <si>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</si>
  <si>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</si>
  <si>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</si>
  <si>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</si>
  <si>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</si>
  <si>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</si>
  <si>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</si>
  <si>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</si>
  <si>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</si>
  <si>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</si>
  <si>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</si>
  <si>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</si>
  <si>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</si>
  <si>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</si>
  <si>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</si>
  <si>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</si>
  <si>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</si>
  <si>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</si>
  <si>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</si>
  <si>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</si>
  <si>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</si>
  <si>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</si>
  <si>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</si>
  <si>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</si>
  <si>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</si>
  <si>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</si>
  <si>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</si>
  <si>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</si>
  <si>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</si>
  <si>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</si>
  <si>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</si>
  <si>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</si>
  <si>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</si>
  <si>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</si>
  <si>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</si>
  <si>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</si>
  <si>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</si>
  <si>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</si>
  <si>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</si>
  <si>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</si>
  <si>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</si>
  <si>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</si>
  <si>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</si>
  <si>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</si>
  <si>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</si>
  <si>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</si>
  <si>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</si>
  <si>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</si>
  <si>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</si>
  <si>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</si>
  <si>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</si>
  <si>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</si>
  <si>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</si>
  <si>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</si>
  <si>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</si>
  <si>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</si>
  <si>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</si>
  <si>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</si>
  <si>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</si>
  <si>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</si>
  <si>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</si>
  <si>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</si>
  <si>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</si>
  <si>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</si>
  <si>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</si>
  <si>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</si>
  <si>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</si>
  <si>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</si>
  <si>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</si>
  <si>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</si>
  <si>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</si>
  <si>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</si>
  <si>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</si>
  <si>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</si>
  <si>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</si>
  <si>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</si>
  <si>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</si>
  <si>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</si>
  <si>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</si>
  <si>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</si>
  <si>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</si>
  <si>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</si>
  <si>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</si>
  <si>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</si>
  <si>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</si>
  <si>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</si>
  <si>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</si>
  <si>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</si>
  <si>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</si>
  <si>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</si>
  <si>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</si>
  <si>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</si>
  <si>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</si>
  <si>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</si>
  <si>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</si>
  <si>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</si>
  <si>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</si>
  <si>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</si>
  <si>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</si>
  <si>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</si>
  <si>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</si>
  <si>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</si>
  <si>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</si>
  <si>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</si>
  <si>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</si>
  <si>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</si>
  <si>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</si>
  <si>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</si>
  <si>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</si>
  <si>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</si>
  <si>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</si>
  <si>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</si>
  <si>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</si>
  <si>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</si>
  <si>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</si>
  <si>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</si>
  <si>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</si>
  <si>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</si>
  <si>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</si>
  <si>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</si>
  <si>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</si>
  <si>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</si>
  <si>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</si>
  <si>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</si>
  <si>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</si>
  <si>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</si>
  <si>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</si>
  <si>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</si>
  <si>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</si>
  <si>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</si>
  <si>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</si>
  <si>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</si>
  <si>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</si>
  <si>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</si>
  <si>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</si>
  <si>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</si>
  <si>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</si>
  <si>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</si>
  <si>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</si>
  <si>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</si>
  <si>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</si>
  <si>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</si>
  <si>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</si>
  <si>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</si>
  <si>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</si>
  <si>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</si>
  <si>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</si>
  <si>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</si>
  <si>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</si>
  <si>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</si>
  <si>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</si>
  <si>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</si>
  <si>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</si>
  <si>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</si>
  <si>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</si>
  <si>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</si>
  <si>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</si>
  <si>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</si>
  <si>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</si>
  <si>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</si>
  <si>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</si>
  <si>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</si>
  <si>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</si>
  <si>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</si>
  <si>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</si>
  <si>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</si>
  <si>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</si>
  <si>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</si>
  <si>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</si>
  <si>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</si>
  <si>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</si>
  <si>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</si>
  <si>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</si>
  <si>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</si>
  <si>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</si>
  <si>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</si>
  <si>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</si>
  <si>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</si>
  <si>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</si>
  <si>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</si>
  <si>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</si>
  <si>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</si>
  <si>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</si>
  <si>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</si>
  <si>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</si>
  <si>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</si>
  <si>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</si>
  <si>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</si>
  <si>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</si>
  <si>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</si>
  <si>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</si>
  <si>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</si>
  <si>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</si>
  <si>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</si>
  <si>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</si>
  <si>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</si>
  <si>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</si>
  <si>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</si>
  <si>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</si>
  <si>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</si>
  <si>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</si>
  <si>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</si>
  <si>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</si>
  <si>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</si>
  <si>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</si>
  <si>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</si>
  <si>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</si>
  <si>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</si>
  <si>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</si>
  <si>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</si>
  <si>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</si>
  <si>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</si>
  <si>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</si>
  <si>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</si>
  <si>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</si>
  <si>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</si>
  <si>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</si>
  <si>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</si>
  <si>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</si>
  <si>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</si>
  <si>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</si>
  <si>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</si>
  <si>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</si>
  <si>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</si>
  <si>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</si>
  <si>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</si>
  <si>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</si>
  <si>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</si>
  <si>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</si>
  <si>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</si>
  <si>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</si>
  <si>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</si>
  <si>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</si>
  <si>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</si>
  <si>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</si>
  <si>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</si>
  <si>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</si>
  <si>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</si>
  <si>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</si>
  <si>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</si>
  <si>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</si>
  <si>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</si>
  <si>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</si>
  <si>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</si>
  <si>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</si>
  <si>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</si>
  <si>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</si>
  <si>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</si>
  <si>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</si>
  <si>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</si>
  <si>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</si>
  <si>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</si>
  <si>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</si>
  <si>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</si>
  <si>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</si>
  <si>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</si>
  <si>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</si>
  <si>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</si>
  <si>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</si>
  <si>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</si>
  <si>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</si>
  <si>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</si>
  <si>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</si>
  <si>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</si>
  <si>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</si>
  <si>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</si>
  <si>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</si>
  <si>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</si>
  <si>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</si>
  <si>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</si>
  <si>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</si>
  <si>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</si>
  <si>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</si>
  <si>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</si>
  <si>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</si>
  <si>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</si>
  <si>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</si>
  <si>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</si>
  <si>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</si>
  <si>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</si>
  <si>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</si>
  <si>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</si>
  <si>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</si>
  <si>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</si>
  <si>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</si>
  <si>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</si>
  <si>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</si>
  <si>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</si>
  <si>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</si>
  <si>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</si>
  <si>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</si>
  <si>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</si>
  <si>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</si>
  <si>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</si>
  <si>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</si>
  <si>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</si>
  <si>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</si>
  <si>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</si>
  <si>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</si>
  <si>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</si>
  <si>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</si>
  <si>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</si>
  <si>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</si>
  <si>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</si>
  <si>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</si>
  <si>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</si>
  <si>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</si>
  <si>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</si>
  <si>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</si>
  <si>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</si>
  <si>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</si>
  <si>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</si>
  <si>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</si>
  <si>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</si>
  <si>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</si>
  <si>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</si>
  <si>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</si>
  <si>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</si>
  <si>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</si>
  <si>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</si>
  <si>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</si>
  <si>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</si>
  <si>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</si>
  <si>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</si>
  <si>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</si>
  <si>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</si>
  <si>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</si>
  <si>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</si>
  <si>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</si>
  <si>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</si>
  <si>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</si>
  <si>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</si>
  <si>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</si>
  <si>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</si>
  <si>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</si>
  <si>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</si>
  <si>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</si>
  <si>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</si>
  <si>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</si>
  <si>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</si>
  <si>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</si>
  <si>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</si>
  <si>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</si>
  <si>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</si>
  <si>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</si>
  <si>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</si>
  <si>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</si>
  <si>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</si>
  <si>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</si>
  <si>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</si>
  <si>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</si>
  <si>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</si>
  <si>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</si>
  <si>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</si>
  <si>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</si>
  <si>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</si>
  <si>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</si>
  <si>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</si>
  <si>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</si>
  <si>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</si>
  <si>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</si>
  <si>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</si>
  <si>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</si>
  <si>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</si>
  <si>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</si>
  <si>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</si>
  <si>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</si>
  <si>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</si>
  <si>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</si>
  <si>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</si>
  <si>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</si>
  <si>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</si>
  <si>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</si>
  <si>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</si>
  <si>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</si>
  <si>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</si>
  <si>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</si>
  <si>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</si>
  <si>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</si>
  <si>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</si>
  <si>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</si>
  <si>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</si>
  <si>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</si>
  <si>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</si>
  <si>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</si>
  <si>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</si>
  <si>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</si>
  <si>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</si>
  <si>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土地使用权证号</t>
  </si>
  <si>
    <t>工程规划证号/房产证</t>
  </si>
  <si>
    <t>建设内容/楼号</t>
  </si>
  <si>
    <t>分摊土地面积</t>
  </si>
  <si>
    <t>建筑面积</t>
  </si>
  <si>
    <t>住宅</t>
  </si>
  <si>
    <t>住宅、储藏室</t>
  </si>
  <si>
    <t>京丰国用（2012出）第00123号</t>
    <phoneticPr fontId="144" type="noConversion"/>
  </si>
  <si>
    <t>B53</t>
    <phoneticPr fontId="144" type="noConversion"/>
  </si>
  <si>
    <t>4号楼</t>
  </si>
  <si>
    <t>5号楼</t>
  </si>
  <si>
    <t>8号楼</t>
  </si>
  <si>
    <t>9号楼</t>
  </si>
  <si>
    <t>10号楼</t>
  </si>
  <si>
    <t>B54</t>
  </si>
  <si>
    <t>1号楼</t>
  </si>
  <si>
    <t>2号楼</t>
  </si>
  <si>
    <t>3号楼</t>
  </si>
  <si>
    <t>4号楼</t>
    <phoneticPr fontId="4" type="noConversion"/>
  </si>
  <si>
    <t>总计</t>
    <phoneticPr fontId="144" type="noConversion"/>
  </si>
  <si>
    <t>11号楼</t>
    <phoneticPr fontId="144" type="noConversion"/>
  </si>
  <si>
    <t>中国华融资产管理股份有限公司北京市分公司</t>
    <phoneticPr fontId="7" type="noConversion"/>
  </si>
  <si>
    <t>吴薇</t>
  </si>
  <si>
    <t>郑燚</t>
  </si>
  <si>
    <t>北京万年基业建设投资有限公司</t>
    <phoneticPr fontId="7" type="noConversion"/>
  </si>
  <si>
    <t>抵押</t>
  </si>
  <si>
    <t>房地产抵押价值</t>
  </si>
  <si>
    <t>北京市</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</si>
  <si>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号楼商业用房房地产</t>
    </r>
    <phoneticPr fontId="7" type="noConversion"/>
  </si>
  <si>
    <t>企业</t>
  </si>
  <si>
    <t>出让</t>
  </si>
  <si>
    <t>商业</t>
    <phoneticPr fontId="7" type="noConversion"/>
  </si>
  <si>
    <t>商业项目</t>
  </si>
  <si>
    <t>无</t>
  </si>
  <si>
    <t>否</t>
  </si>
  <si>
    <t>现房</t>
  </si>
  <si>
    <t>通路</t>
  </si>
  <si>
    <t>通电</t>
  </si>
  <si>
    <t>通讯</t>
  </si>
  <si>
    <t>通上水</t>
  </si>
  <si>
    <t>通下水</t>
  </si>
  <si>
    <t>燃气</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</si>
  <si>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</si>
  <si>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</si>
  <si>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是</t>
  </si>
  <si>
    <t>地上</t>
  </si>
  <si>
    <t>地下</t>
  </si>
  <si>
    <t>项目局部</t>
  </si>
  <si>
    <t>押一</t>
  </si>
  <si>
    <t>按租金收入计税</t>
  </si>
  <si>
    <t>钢混</t>
  </si>
  <si>
    <t>非生产用房</t>
  </si>
  <si>
    <t>收益法</t>
  </si>
  <si>
    <t>较好</t>
  </si>
  <si>
    <t>较好</t>
    <phoneticPr fontId="42" type="noConversion"/>
  </si>
  <si>
    <t>七通</t>
  </si>
  <si>
    <t>七通</t>
    <phoneticPr fontId="26" type="noConversion"/>
  </si>
  <si>
    <t>一般</t>
  </si>
  <si>
    <t>一般</t>
    <phoneticPr fontId="42" type="noConversion"/>
  </si>
  <si>
    <t>比较法-商业</t>
  </si>
  <si>
    <t>售价</t>
  </si>
  <si>
    <r>
      <t>4</t>
    </r>
    <r>
      <rPr>
        <sz val="10"/>
        <color indexed="8"/>
        <rFont val="宋体"/>
        <family val="3"/>
        <charset val="134"/>
      </rPr>
      <t>号楼</t>
    </r>
    <r>
      <rPr>
        <sz val="10"/>
        <color indexed="8"/>
        <rFont val="Arial"/>
        <family val="2"/>
      </rPr>
      <t>B102</t>
    </r>
    <phoneticPr fontId="4"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</si>
  <si>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</si>
  <si>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</si>
  <si>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</si>
  <si>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</si>
  <si>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</si>
  <si>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多面临街</t>
    <phoneticPr fontId="4" type="noConversion"/>
  </si>
  <si>
    <t>双面临街</t>
    <phoneticPr fontId="4" type="noConversion"/>
  </si>
  <si>
    <t>单面临街</t>
    <phoneticPr fontId="4" type="noConversion"/>
  </si>
  <si>
    <t>不临街</t>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</si>
  <si>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</si>
  <si>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4" type="noConversion"/>
  </si>
  <si>
    <t>商业街商业</t>
    <phoneticPr fontId="4" type="noConversion"/>
  </si>
  <si>
    <t>独栋商业</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</si>
  <si>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</si>
  <si>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</si>
  <si>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</si>
  <si>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</si>
  <si>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</si>
  <si>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</si>
  <si>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</si>
  <si>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</si>
  <si>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</si>
  <si>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</si>
  <si>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</si>
  <si>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r>
      <t>1-2</t>
    </r>
    <r>
      <rPr>
        <sz val="10"/>
        <color indexed="8"/>
        <rFont val="宋体"/>
        <family val="3"/>
        <charset val="134"/>
      </rPr>
      <t>层</t>
    </r>
    <phoneticPr fontId="4" type="noConversion"/>
  </si>
  <si>
    <t>下沉式广场</t>
    <phoneticPr fontId="4" type="noConversion"/>
  </si>
  <si>
    <t>1-2层</t>
  </si>
  <si>
    <t>下沉式广场</t>
  </si>
  <si>
    <t>园博府商业</t>
    <phoneticPr fontId="4" type="noConversion"/>
  </si>
  <si>
    <t>正常</t>
  </si>
  <si>
    <t>商业</t>
    <phoneticPr fontId="32" type="noConversion"/>
  </si>
  <si>
    <t>30-40（含）</t>
  </si>
  <si>
    <t>一般</t>
    <phoneticPr fontId="26" type="noConversion"/>
  </si>
  <si>
    <t>总部基地</t>
    <phoneticPr fontId="4" type="noConversion"/>
  </si>
  <si>
    <t>单面临街</t>
  </si>
  <si>
    <t>大</t>
    <phoneticPr fontId="32" type="noConversion"/>
  </si>
  <si>
    <t>较大</t>
    <phoneticPr fontId="32" type="noConversion"/>
  </si>
  <si>
    <t>一般</t>
    <phoneticPr fontId="32" type="noConversion"/>
  </si>
  <si>
    <t>较小</t>
    <phoneticPr fontId="32" type="noConversion"/>
  </si>
  <si>
    <t>小</t>
    <phoneticPr fontId="32" type="noConversion"/>
  </si>
  <si>
    <t>钢混</t>
    <phoneticPr fontId="32" type="noConversion"/>
  </si>
  <si>
    <t>写字楼底商</t>
  </si>
  <si>
    <t>写字楼底商</t>
    <phoneticPr fontId="4" type="noConversion"/>
  </si>
  <si>
    <t>住宅底商</t>
  </si>
  <si>
    <t>住宅底商</t>
    <phoneticPr fontId="32" type="noConversion"/>
  </si>
  <si>
    <t>普装</t>
  </si>
  <si>
    <t>资和信商业</t>
    <phoneticPr fontId="32" type="noConversion"/>
  </si>
  <si>
    <t>可餐饮</t>
  </si>
  <si>
    <t>1层</t>
  </si>
  <si>
    <t>简装</t>
  </si>
  <si>
    <t>独栋商业</t>
  </si>
  <si>
    <t>典型户型修正</t>
  </si>
  <si>
    <t>典型户型修正</t>
    <phoneticPr fontId="17" type="noConversion"/>
  </si>
  <si>
    <t>20-30（含）</t>
  </si>
  <si>
    <t>不可餐饮</t>
  </si>
  <si>
    <t>起始</t>
    <phoneticPr fontId="144" type="noConversion"/>
  </si>
  <si>
    <t>终止</t>
    <phoneticPr fontId="144" type="noConversion"/>
  </si>
  <si>
    <t>年租金</t>
    <phoneticPr fontId="144" type="noConversion"/>
  </si>
  <si>
    <t>收益年期</t>
    <phoneticPr fontId="144" type="noConversion"/>
  </si>
  <si>
    <t>建筑面积</t>
    <phoneticPr fontId="144" type="noConversion"/>
  </si>
  <si>
    <t>日租金</t>
    <phoneticPr fontId="144" type="noConversion"/>
  </si>
  <si>
    <t>收益法（3号楼）</t>
  </si>
  <si>
    <t>收益法（3号楼）</t>
    <phoneticPr fontId="17" type="noConversion"/>
  </si>
  <si>
    <t>收益法（汇总）</t>
  </si>
  <si>
    <t>需扣减承租人权益</t>
  </si>
  <si>
    <t>收益法 (4号楼)</t>
  </si>
  <si>
    <t>收益法 (4号楼)</t>
    <phoneticPr fontId="17" type="noConversion"/>
  </si>
  <si>
    <t>自定义</t>
  </si>
  <si>
    <t>合计</t>
    <phoneticPr fontId="144" type="noConversion"/>
  </si>
  <si>
    <t>序号</t>
    <phoneticPr fontId="144" type="noConversion"/>
  </si>
  <si>
    <t>坐落</t>
    <phoneticPr fontId="144" type="noConversion"/>
  </si>
  <si>
    <t>丰台区万兴路1号院3号楼</t>
    <phoneticPr fontId="144" type="noConversion"/>
  </si>
  <si>
    <t>丰台区万兴路1号院4号楼B01</t>
    <phoneticPr fontId="144" type="noConversion"/>
  </si>
  <si>
    <t>丰台区万兴路1号院4号楼B02</t>
  </si>
  <si>
    <t>丰台区万兴路1号院4号楼B03</t>
  </si>
  <si>
    <t>丰台区万兴路1号院4号楼B04</t>
  </si>
  <si>
    <t>丰台区万兴路1号院4号楼B05</t>
  </si>
  <si>
    <t>丰台区万兴路1号院4号楼B06</t>
  </si>
  <si>
    <t>丰台区万兴路1号院4号楼B07</t>
  </si>
  <si>
    <t>建筑面积</t>
    <phoneticPr fontId="144" type="noConversion"/>
  </si>
  <si>
    <t>楼层</t>
    <phoneticPr fontId="144" type="noConversion"/>
  </si>
  <si>
    <t>——</t>
    <phoneticPr fontId="144" type="noConversion"/>
  </si>
  <si>
    <t>0（-1）</t>
    <phoneticPr fontId="144" type="noConversion"/>
  </si>
  <si>
    <t>规划用途</t>
    <phoneticPr fontId="144" type="noConversion"/>
  </si>
  <si>
    <t>商业</t>
    <phoneticPr fontId="144" type="noConversion"/>
  </si>
  <si>
    <t>实际用途</t>
    <phoneticPr fontId="144" type="noConversion"/>
  </si>
  <si>
    <t>办公</t>
    <phoneticPr fontId="144" type="noConversion"/>
  </si>
  <si>
    <t>海淀区苏州街55号8层802</t>
    <phoneticPr fontId="144" type="noConversion"/>
  </si>
  <si>
    <t>海淀区苏州街55号8层803</t>
    <phoneticPr fontId="144" type="noConversion"/>
  </si>
  <si>
    <t>12（-3）</t>
    <phoneticPr fontId="144" type="noConversion"/>
  </si>
  <si>
    <t>综合</t>
    <phoneticPr fontId="144" type="noConversion"/>
  </si>
  <si>
    <r>
      <rPr>
        <sz val="12"/>
        <color theme="9" tint="-0.249977111117893"/>
        <rFont val="宋体"/>
        <family val="3"/>
        <charset val="134"/>
      </rPr>
      <t>商业</t>
    </r>
    <r>
      <rPr>
        <sz val="12"/>
        <color theme="9" tint="-0.249977111117893"/>
        <rFont val="Arial"/>
        <family val="2"/>
      </rPr>
      <t>31.46</t>
    </r>
    <r>
      <rPr>
        <sz val="12"/>
        <color theme="9" tint="-0.249977111117893"/>
        <rFont val="宋体"/>
        <family val="3"/>
        <charset val="134"/>
      </rPr>
      <t>年</t>
    </r>
    <phoneticPr fontId="7" type="noConversion"/>
  </si>
  <si>
    <t>写字楼底商</t>
    <phoneticPr fontId="32" type="noConversion"/>
  </si>
  <si>
    <t>丰台科技园</t>
    <phoneticPr fontId="4" type="noConversion"/>
  </si>
  <si>
    <t>下沉式广场</t>
    <phoneticPr fontId="26" type="noConversion"/>
  </si>
  <si>
    <t>收益比率</t>
  </si>
  <si>
    <t>比较</t>
    <phoneticPr fontId="26" type="noConversion"/>
  </si>
  <si>
    <t>收益</t>
    <phoneticPr fontId="2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</si>
  <si>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</si>
  <si>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</si>
  <si>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144" type="noConversion"/>
  </si>
  <si>
    <t>负1层</t>
  </si>
  <si>
    <r>
      <t>4</t>
    </r>
    <r>
      <rPr>
        <sz val="10"/>
        <color indexed="8"/>
        <rFont val="宋体"/>
        <family val="3"/>
        <charset val="134"/>
      </rPr>
      <t>号楼</t>
    </r>
    <r>
      <rPr>
        <sz val="10"/>
        <color indexed="8"/>
        <rFont val="Arial"/>
        <family val="2"/>
      </rPr>
      <t>B101</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</si>
</sst>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14" fillId="5" borderId="5" xfId="10" applyFont="1" applyFill="1" applyBorder="1" applyAlignment="1">
      <alignment vertical="center" wrapText="1"/>
    </xf>
    <xf numFmtId="0" fontId="114" fillId="5" borderId="54" xfId="10" applyFont="1" applyFill="1" applyBorder="1" applyAlignment="1">
      <alignment vertical="center" wrapText="1"/>
    </xf>
    <xf numFmtId="0" fontId="114" fillId="5" borderId="3" xfId="10" applyFont="1" applyFill="1" applyBorder="1" applyAlignment="1">
      <alignment horizontal="center" vertical="center"/>
    </xf>
    <xf numFmtId="0" fontId="114" fillId="0" borderId="0" xfId="10" applyFont="1">
      <alignment vertical="center"/>
    </xf>
    <xf numFmtId="179" fontId="120" fillId="0" borderId="1" xfId="10" applyNumberFormat="1" applyFont="1" applyBorder="1" applyAlignment="1">
      <alignment horizontal="center" vertical="center"/>
    </xf>
    <xf numFmtId="0" fontId="114" fillId="0" borderId="1" xfId="10" applyFont="1" applyBorder="1" applyAlignment="1">
      <alignment horizontal="center" vertical="center"/>
    </xf>
    <xf numFmtId="179" fontId="114" fillId="0" borderId="1" xfId="10" applyNumberFormat="1" applyFont="1" applyBorder="1" applyAlignment="1">
      <alignment horizontal="center" vertical="center"/>
    </xf>
    <xf numFmtId="0" fontId="114" fillId="0" borderId="3" xfId="10" applyFont="1" applyBorder="1">
      <alignment vertical="center"/>
    </xf>
    <xf numFmtId="0" fontId="114" fillId="0" borderId="1" xfId="10" applyFont="1" applyFill="1" applyBorder="1" applyAlignment="1">
      <alignment horizontal="center" vertical="center"/>
    </xf>
    <xf numFmtId="0" fontId="114" fillId="0" borderId="22" xfId="10" applyFont="1" applyBorder="1">
      <alignment vertical="center"/>
    </xf>
    <xf numFmtId="179" fontId="114" fillId="5" borderId="1" xfId="10" applyNumberFormat="1" applyFont="1" applyFill="1" applyBorder="1" applyAlignment="1">
      <alignment horizontal="center" vertical="center"/>
    </xf>
    <xf numFmtId="0" fontId="114" fillId="5" borderId="1" xfId="10" applyFont="1" applyFill="1" applyBorder="1" applyAlignment="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0" fillId="0" borderId="0" xfId="0" applyAlignment="1">
      <alignment horizontal="center" vertical="center"/>
    </xf>
    <xf numFmtId="0" fontId="100" fillId="0" borderId="0" xfId="0" applyFont="1" applyAlignment="1">
      <alignment horizontal="center" vertical="center"/>
    </xf>
    <xf numFmtId="14" fontId="0" fillId="0" borderId="0" xfId="0" applyNumberFormat="1" applyAlignment="1">
      <alignment horizontal="center" vertical="center"/>
    </xf>
    <xf numFmtId="14" fontId="100" fillId="0" borderId="0" xfId="0" applyNumberFormat="1" applyFont="1" applyAlignment="1">
      <alignment horizontal="center" vertical="center"/>
    </xf>
    <xf numFmtId="2" fontId="0" fillId="0" borderId="0" xfId="0" applyNumberFormat="1" applyAlignment="1">
      <alignment horizontal="center" vertical="center"/>
    </xf>
    <xf numFmtId="2" fontId="48" fillId="0" borderId="23" xfId="0" applyNumberFormat="1" applyFont="1" applyBorder="1" applyAlignment="1" applyProtection="1">
      <alignment vertical="center"/>
      <protection locked="0"/>
    </xf>
    <xf numFmtId="0" fontId="114" fillId="0" borderId="0" xfId="0" applyFont="1" applyAlignment="1">
      <alignment horizontal="center" vertical="center"/>
    </xf>
    <xf numFmtId="0" fontId="114" fillId="0" borderId="1" xfId="0" applyFont="1" applyBorder="1" applyAlignment="1">
      <alignment horizontal="center" vertical="center"/>
    </xf>
    <xf numFmtId="0" fontId="99" fillId="2" borderId="6" xfId="0"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0" fillId="0" borderId="13" xfId="10" applyFont="1" applyBorder="1" applyAlignment="1">
      <alignment horizontal="center" vertical="center" wrapText="1"/>
    </xf>
    <xf numFmtId="0" fontId="120" fillId="0" borderId="15" xfId="10" applyFont="1" applyBorder="1" applyAlignment="1">
      <alignment horizontal="center" vertical="center" wrapText="1"/>
    </xf>
    <xf numFmtId="0" fontId="120" fillId="0" borderId="2" xfId="10" applyFont="1" applyBorder="1" applyAlignment="1">
      <alignment horizontal="center" vertical="center" wrapText="1"/>
    </xf>
    <xf numFmtId="0" fontId="120" fillId="0" borderId="5" xfId="10" applyFont="1" applyBorder="1" applyAlignment="1">
      <alignment horizontal="center" vertical="center"/>
    </xf>
    <xf numFmtId="0" fontId="120" fillId="0" borderId="54" xfId="10" applyFont="1" applyBorder="1" applyAlignment="1">
      <alignment horizontal="center" vertical="center"/>
    </xf>
    <xf numFmtId="0" fontId="120" fillId="0" borderId="13" xfId="10" applyFont="1" applyBorder="1" applyAlignment="1">
      <alignment horizontal="center" vertical="center"/>
    </xf>
    <xf numFmtId="0" fontId="120" fillId="0" borderId="2" xfId="10" applyFont="1" applyBorder="1" applyAlignment="1">
      <alignment horizontal="center" vertical="center"/>
    </xf>
    <xf numFmtId="179" fontId="120" fillId="0" borderId="5" xfId="10" applyNumberFormat="1" applyFont="1" applyBorder="1" applyAlignment="1">
      <alignment horizontal="center" vertical="center"/>
    </xf>
    <xf numFmtId="179" fontId="120" fillId="0" borderId="54" xfId="10" applyNumberFormat="1" applyFont="1" applyBorder="1" applyAlignment="1">
      <alignment horizontal="center" vertical="center"/>
    </xf>
    <xf numFmtId="179" fontId="120" fillId="0" borderId="3" xfId="10" applyNumberFormat="1" applyFont="1" applyBorder="1" applyAlignment="1">
      <alignment horizontal="center" vertical="center"/>
    </xf>
    <xf numFmtId="0" fontId="114" fillId="0" borderId="13" xfId="10" applyFont="1" applyBorder="1" applyAlignment="1">
      <alignment horizontal="center" vertical="center" wrapText="1"/>
    </xf>
    <xf numFmtId="0" fontId="114" fillId="0" borderId="15" xfId="10" applyFont="1" applyBorder="1" applyAlignment="1">
      <alignment horizontal="center" vertical="center" wrapText="1"/>
    </xf>
    <xf numFmtId="0" fontId="114" fillId="0" borderId="13" xfId="10" applyFont="1" applyBorder="1" applyAlignment="1">
      <alignment horizontal="center" vertical="center"/>
    </xf>
    <xf numFmtId="0" fontId="114" fillId="0" borderId="15" xfId="10" applyFont="1" applyBorder="1" applyAlignment="1">
      <alignment horizontal="center" vertical="center"/>
    </xf>
    <xf numFmtId="0" fontId="114" fillId="7" borderId="13" xfId="10" applyFont="1" applyFill="1" applyBorder="1" applyAlignment="1">
      <alignment horizontal="center" vertical="center"/>
    </xf>
    <xf numFmtId="0" fontId="114" fillId="7" borderId="15" xfId="1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0" borderId="1" xfId="0" applyFont="1" applyBorder="1" applyAlignment="1">
      <alignment horizontal="center" vertical="center"/>
    </xf>
    <xf numFmtId="0" fontId="81" fillId="7" borderId="0" xfId="0" applyFont="1" applyFill="1" applyAlignment="1" applyProtection="1">
      <alignment horizontal="center" vertical="center" wrapText="1"/>
      <protection locked="0"/>
    </xf>
    <xf numFmtId="9" fontId="51" fillId="7" borderId="0" xfId="0" applyNumberFormat="1"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152964</xdr:colOff>
      <xdr:row>20</xdr:row>
      <xdr:rowOff>171000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696763" cy="3600000"/>
        </a:xfrm>
        <a:prstGeom prst="rect">
          <a:avLst/>
        </a:prstGeom>
      </xdr:spPr>
    </xdr:pic>
    <xdr:clientData/>
  </xdr:twoCellAnchor>
  <xdr:twoCellAnchor editAs="oneCell">
    <xdr:from>
      <xdr:col>0</xdr:col>
      <xdr:colOff>1</xdr:colOff>
      <xdr:row>21</xdr:row>
      <xdr:rowOff>0</xdr:rowOff>
    </xdr:from>
    <xdr:to>
      <xdr:col>11</xdr:col>
      <xdr:colOff>142875</xdr:colOff>
      <xdr:row>31</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600450"/>
          <a:ext cx="7686674" cy="1761905"/>
        </a:xfrm>
        <a:prstGeom prst="rect">
          <a:avLst/>
        </a:prstGeom>
      </xdr:spPr>
    </xdr:pic>
    <xdr:clientData/>
  </xdr:twoCellAnchor>
  <xdr:twoCellAnchor editAs="oneCell">
    <xdr:from>
      <xdr:col>0</xdr:col>
      <xdr:colOff>0</xdr:colOff>
      <xdr:row>36</xdr:row>
      <xdr:rowOff>0</xdr:rowOff>
    </xdr:from>
    <xdr:to>
      <xdr:col>11</xdr:col>
      <xdr:colOff>136200</xdr:colOff>
      <xdr:row>56</xdr:row>
      <xdr:rowOff>171000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7680000" cy="3600000"/>
        </a:xfrm>
        <a:prstGeom prst="rect">
          <a:avLst/>
        </a:prstGeom>
      </xdr:spPr>
    </xdr:pic>
    <xdr:clientData/>
  </xdr:twoCellAnchor>
  <xdr:twoCellAnchor editAs="oneCell">
    <xdr:from>
      <xdr:col>0</xdr:col>
      <xdr:colOff>0</xdr:colOff>
      <xdr:row>57</xdr:row>
      <xdr:rowOff>0</xdr:rowOff>
    </xdr:from>
    <xdr:to>
      <xdr:col>11</xdr:col>
      <xdr:colOff>170486</xdr:colOff>
      <xdr:row>67</xdr:row>
      <xdr:rowOff>75976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2650"/>
          <a:ext cx="7714286" cy="1790476"/>
        </a:xfrm>
        <a:prstGeom prst="rect">
          <a:avLst/>
        </a:prstGeom>
      </xdr:spPr>
    </xdr:pic>
    <xdr:clientData/>
  </xdr:twoCellAnchor>
  <xdr:twoCellAnchor editAs="oneCell">
    <xdr:from>
      <xdr:col>0</xdr:col>
      <xdr:colOff>0</xdr:colOff>
      <xdr:row>72</xdr:row>
      <xdr:rowOff>0</xdr:rowOff>
    </xdr:from>
    <xdr:to>
      <xdr:col>11</xdr:col>
      <xdr:colOff>422018</xdr:colOff>
      <xdr:row>92</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7965818" cy="3600000"/>
        </a:xfrm>
        <a:prstGeom prst="rect">
          <a:avLst/>
        </a:prstGeom>
      </xdr:spPr>
    </xdr:pic>
    <xdr:clientData/>
  </xdr:twoCellAnchor>
  <xdr:twoCellAnchor editAs="oneCell">
    <xdr:from>
      <xdr:col>0</xdr:col>
      <xdr:colOff>0</xdr:colOff>
      <xdr:row>93</xdr:row>
      <xdr:rowOff>0</xdr:rowOff>
    </xdr:from>
    <xdr:to>
      <xdr:col>11</xdr:col>
      <xdr:colOff>84772</xdr:colOff>
      <xdr:row>102</xdr:row>
      <xdr:rowOff>161712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944850"/>
          <a:ext cx="7628572" cy="1704762"/>
        </a:xfrm>
        <a:prstGeom prst="rect">
          <a:avLst/>
        </a:prstGeom>
      </xdr:spPr>
    </xdr:pic>
    <xdr:clientData/>
  </xdr:twoCellAnchor>
  <xdr:twoCellAnchor editAs="oneCell">
    <xdr:from>
      <xdr:col>0</xdr:col>
      <xdr:colOff>0</xdr:colOff>
      <xdr:row>107</xdr:row>
      <xdr:rowOff>0</xdr:rowOff>
    </xdr:from>
    <xdr:to>
      <xdr:col>11</xdr:col>
      <xdr:colOff>201467</xdr:colOff>
      <xdr:row>127</xdr:row>
      <xdr:rowOff>171000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7745267" cy="3600000"/>
        </a:xfrm>
        <a:prstGeom prst="rect">
          <a:avLst/>
        </a:prstGeom>
      </xdr:spPr>
    </xdr:pic>
    <xdr:clientData/>
  </xdr:twoCellAnchor>
  <xdr:twoCellAnchor editAs="oneCell">
    <xdr:from>
      <xdr:col>0</xdr:col>
      <xdr:colOff>0</xdr:colOff>
      <xdr:row>128</xdr:row>
      <xdr:rowOff>0</xdr:rowOff>
    </xdr:from>
    <xdr:to>
      <xdr:col>11</xdr:col>
      <xdr:colOff>237153</xdr:colOff>
      <xdr:row>138</xdr:row>
      <xdr:rowOff>9310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7780953" cy="1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2253;&#21338;&#24220;3.4&#21495;&#27004;-&#38047;&#22999;&#65288;&#26368;&#32456;&#65289;-&#24352;&#24535;&#32753;20181130-1527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3号楼</v>
          </cell>
        </row>
        <row r="20">
          <cell r="C20" t="str">
            <v>4号楼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1-2层</v>
          </cell>
          <cell r="D92" t="str">
            <v>1层</v>
          </cell>
        </row>
        <row r="100">
          <cell r="B100" t="str">
            <v>商业类型</v>
          </cell>
          <cell r="C100" t="str">
            <v>商业街商业</v>
          </cell>
          <cell r="D100" t="str">
            <v>独栋商业</v>
          </cell>
          <cell r="E100" t="str">
            <v>底商</v>
          </cell>
        </row>
        <row r="105">
          <cell r="B105" t="str">
            <v>建筑结构</v>
          </cell>
          <cell r="C105" t="str">
            <v>钢</v>
          </cell>
          <cell r="D105" t="str">
            <v>钢混</v>
          </cell>
          <cell r="E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1-2层</v>
          </cell>
          <cell r="D17" t="str">
            <v>下沉式广场</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北京市丰台区万兴路1号院3、4号楼商业用房房地产房地产抵押价值预评估</v>
      </c>
    </row>
    <row r="3" spans="1:2" s="1592" customFormat="1">
      <c r="A3" s="1590" t="s">
        <v>1217</v>
      </c>
      <c r="B3" s="1591" t="str">
        <f>'预评函-封皮'!B40</f>
        <v>北京万年基业建设投资有限公司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受贵公司委托，我公司对北京市丰台区万兴路1号院3、4号楼商业用房房地产房地产抵押价值进行了预评估。</v>
      </c>
    </row>
    <row r="7" spans="1:2" s="1592" customFormat="1">
      <c r="A7" s="1590" t="s">
        <v>1260</v>
      </c>
      <c r="B7" s="1591" t="str">
        <f>'预评函-1'!A7</f>
        <v>估价对象为北京市丰台区万兴路1号院3、4号楼商业用房房地产房地产，为所有。根据《国有土地使用证》[]，估价对象（分摊）出让国有建设用地使用权面积为4009平方米，建筑面积为4376.09平方米。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为估价委托人在向中国华融资产管理股份有限公司北京市分公司办理贷款手续过程中，确定房地产抵押贷款额度提供参考依据而评估房地产抵押价值。</v>
      </c>
    </row>
    <row r="12" spans="1:2" s="1592" customFormat="1">
      <c r="A12" s="1590" t="s">
        <v>1222</v>
      </c>
      <c r="B12" s="1591" t="str">
        <f>'预评函-1'!A15</f>
        <v>2019年9月26日</v>
      </c>
    </row>
    <row r="13" spans="1:2" s="1592" customFormat="1">
      <c r="A13" s="1590" t="s">
        <v>1223</v>
      </c>
      <c r="B13" s="1591" t="str">
        <f>'预评函-1'!A18</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本次评估采用的主估价方法为收益法和比较法。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4573</v>
      </c>
    </row>
    <row r="21" spans="1:2" s="1592" customFormat="1">
      <c r="A21" s="1590" t="s">
        <v>1231</v>
      </c>
      <c r="B21" s="1591">
        <f ca="1">'预评函-2'!D7</f>
        <v>34116</v>
      </c>
    </row>
    <row r="22" spans="1:2" s="1592" customFormat="1">
      <c r="A22" s="1590" t="s">
        <v>1232</v>
      </c>
      <c r="B22" s="1591" t="str">
        <f ca="1">'预评函-2'!D6</f>
        <v>肆仟伍佰柒拾叁万元整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4573</v>
      </c>
    </row>
    <row r="31" spans="1:2" s="1592" customFormat="1">
      <c r="A31" s="1590" t="s">
        <v>1270</v>
      </c>
      <c r="B31" s="1591">
        <f ca="1">'预评函-2'!D15</f>
        <v>10450</v>
      </c>
    </row>
    <row r="32" spans="1:2" s="1592" customFormat="1">
      <c r="A32" s="1590" t="s">
        <v>1237</v>
      </c>
      <c r="B32" s="1591" t="str">
        <f ca="1">'预评函-2'!D14</f>
        <v>肆仟伍佰柒拾叁万元整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北京市丰台区万兴路1号院3、4号楼商业用房房地产房地产</v>
      </c>
    </row>
    <row r="42" spans="1:2" s="1592" customFormat="1" ht="31.2">
      <c r="A42" s="1590" t="s">
        <v>1284</v>
      </c>
      <c r="B42" s="1591" t="str">
        <f>'预评函-3'!B2</f>
        <v>建筑面积</v>
      </c>
    </row>
    <row r="43" spans="1:2" s="1592" customFormat="1">
      <c r="A43" s="1590" t="s">
        <v>1285</v>
      </c>
      <c r="B43" s="1591">
        <f>'预评函-3'!B4</f>
        <v>4376.09</v>
      </c>
    </row>
    <row r="44" spans="1:2" s="1592" customFormat="1" ht="31.2">
      <c r="A44" s="1590" t="s">
        <v>1269</v>
      </c>
      <c r="B44" s="1591" t="str">
        <f>'预评函-3'!C2</f>
        <v>(分摊)土地面积</v>
      </c>
    </row>
    <row r="45" spans="1:2" s="1592" customFormat="1">
      <c r="A45" s="1590" t="s">
        <v>1241</v>
      </c>
      <c r="B45" s="1591">
        <f>'预评函-3'!C4</f>
        <v>4009</v>
      </c>
    </row>
    <row r="46" spans="1:2" s="1592" customFormat="1">
      <c r="A46" s="1590" t="s">
        <v>1267</v>
      </c>
      <c r="B46" s="1591" t="str">
        <f>'预评函-3'!D2</f>
        <v>出让国有建设用地使用权价值</v>
      </c>
    </row>
    <row r="47" spans="1:2" s="1592" customFormat="1">
      <c r="A47" s="1590" t="s">
        <v>1242</v>
      </c>
      <c r="B47" s="1591">
        <f ca="1">'预评函-3'!D4</f>
        <v>4573</v>
      </c>
    </row>
    <row r="48" spans="1:2" s="1592" customFormat="1">
      <c r="A48" s="1590" t="s">
        <v>1243</v>
      </c>
      <c r="B48" s="1591">
        <f ca="1">'预评函-3'!E4</f>
        <v>34116</v>
      </c>
    </row>
    <row r="49" spans="1:2" s="1592" customFormat="1">
      <c r="A49" s="1590" t="s">
        <v>1244</v>
      </c>
      <c r="B49" s="1591" t="str">
        <f ca="1">'预评函-3'!D5</f>
        <v>肆仟伍佰柒拾叁万元整</v>
      </c>
    </row>
    <row r="50" spans="1:2" s="1592" customFormat="1">
      <c r="A50" s="1590" t="s">
        <v>1268</v>
      </c>
      <c r="B50" s="1591" t="str">
        <f>'预评函-3'!F2</f>
        <v>在建建筑物价值</v>
      </c>
    </row>
    <row r="51" spans="1:2" s="1592" customFormat="1">
      <c r="A51" s="1590" t="s">
        <v>1245</v>
      </c>
      <c r="B51" s="1591">
        <f ca="1">'预评函-3'!F4</f>
        <v>0</v>
      </c>
    </row>
    <row r="52" spans="1:2" s="1592" customFormat="1">
      <c r="A52" s="1590" t="s">
        <v>1246</v>
      </c>
      <c r="B52" s="1591">
        <f ca="1">'预评函-3'!G4</f>
        <v>0</v>
      </c>
    </row>
    <row r="53" spans="1:2" s="1592" customFormat="1">
      <c r="A53" s="1590" t="s">
        <v>1274</v>
      </c>
      <c r="B53" s="1591" t="str">
        <f ca="1">'预评函-3'!F5</f>
        <v>零元整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1141</v>
      </c>
      <c r="R1" s="2008" t="s">
        <v>1135</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1137</v>
      </c>
      <c r="S2" s="2014" t="s">
        <v>1707</v>
      </c>
      <c r="T2" s="2014" t="s">
        <v>1708</v>
      </c>
      <c r="U2" s="2014" t="s">
        <v>1707</v>
      </c>
      <c r="V2" s="2014" t="s">
        <v>1709</v>
      </c>
      <c r="W2" s="2014" t="s">
        <v>1707</v>
      </c>
    </row>
    <row r="3" spans="1:23">
      <c r="A3" s="2012" t="s">
        <v>1710</v>
      </c>
      <c r="B3" s="2015" t="s">
        <v>1142</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1136</v>
      </c>
      <c r="S3" s="2014" t="s">
        <v>1715</v>
      </c>
      <c r="T3" s="2014" t="s">
        <v>1716</v>
      </c>
      <c r="U3" s="2014" t="s">
        <v>1715</v>
      </c>
      <c r="V3" s="2014" t="s">
        <v>1717</v>
      </c>
      <c r="W3" s="2014" t="s">
        <v>1715</v>
      </c>
    </row>
    <row r="4" spans="1:23">
      <c r="A4" s="2012" t="s">
        <v>1718</v>
      </c>
      <c r="B4" s="2012" t="s">
        <v>1719</v>
      </c>
      <c r="C4" s="2013" t="s">
        <v>762</v>
      </c>
      <c r="D4" s="2014" t="s">
        <v>865</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1138</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1139</v>
      </c>
      <c r="S5" s="2014" t="s">
        <v>1730</v>
      </c>
      <c r="T5" s="2014" t="s">
        <v>1731</v>
      </c>
      <c r="U5" s="2014" t="s">
        <v>1730</v>
      </c>
      <c r="W5" s="2014" t="s">
        <v>1730</v>
      </c>
    </row>
    <row r="6" spans="1:23">
      <c r="A6" s="2012" t="s">
        <v>1732</v>
      </c>
      <c r="B6" s="2015" t="s">
        <v>1143</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1140</v>
      </c>
      <c r="S6" s="2014" t="s">
        <v>1735</v>
      </c>
      <c r="T6" s="2014"/>
      <c r="U6" s="2014" t="s">
        <v>1735</v>
      </c>
      <c r="W6" s="2014" t="s">
        <v>1735</v>
      </c>
    </row>
    <row r="7" spans="1:23">
      <c r="A7" s="2012" t="s">
        <v>1736</v>
      </c>
      <c r="B7" s="2015" t="s">
        <v>1144</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3165</v>
      </c>
      <c r="C18" s="2013"/>
    </row>
    <row r="19" spans="1:3">
      <c r="A19" s="2012" t="s">
        <v>1762</v>
      </c>
      <c r="B19" s="2012" t="s">
        <v>3175</v>
      </c>
      <c r="C19" s="2013"/>
    </row>
    <row r="20" spans="1:3">
      <c r="A20" s="2012" t="s">
        <v>1763</v>
      </c>
      <c r="B20" s="2012" t="s">
        <v>3179</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商业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3"/>
      <c r="B54" s="2020" t="s">
        <v>861</v>
      </c>
      <c r="C54" s="2017" t="s">
        <v>1277</v>
      </c>
    </row>
    <row r="55" spans="1:4">
      <c r="A55" s="3073"/>
      <c r="B55" s="2020" t="s">
        <v>862</v>
      </c>
      <c r="C55" s="2017" t="s">
        <v>1278</v>
      </c>
    </row>
    <row r="56" spans="1:4">
      <c r="A56" s="3073"/>
      <c r="B56" s="2020" t="s">
        <v>863</v>
      </c>
      <c r="C56" s="2017" t="s">
        <v>1282</v>
      </c>
    </row>
    <row r="57" spans="1:4">
      <c r="A57" s="307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9" sqref="E9"/>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74" t="str">
        <f>IF(B10="北京市","北京市",C10)&amp;F10&amp;IF(结果表!G1="在建","出让国有建设用地使用权及在建建筑物",IF(结果表!G1="土地","出让国有建设用地使用权",))&amp;B9&amp;"预评估"</f>
        <v>北京市丰台区万兴路1号院3、4号楼商业用房房地产房地产抵押价值预评估</v>
      </c>
      <c r="C1" s="3075"/>
      <c r="D1" s="3075"/>
      <c r="E1" s="3075"/>
      <c r="F1" s="3075"/>
      <c r="G1" s="3075"/>
      <c r="H1" s="3075"/>
      <c r="I1" s="307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北京市丰台区万兴路1号院3、4号楼商业用房房地产房地产抵押价值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北京市丰台区万兴路1号院3、4号楼商业用房房地产房地产</v>
      </c>
    </row>
    <row r="3" spans="1:19" ht="18" customHeight="1">
      <c r="A3" s="2033" t="s">
        <v>1772</v>
      </c>
      <c r="B3" s="2034"/>
      <c r="C3" s="2035" t="s">
        <v>1773</v>
      </c>
      <c r="D3" s="2034">
        <v>43734</v>
      </c>
      <c r="E3" s="2024"/>
      <c r="F3" s="2024"/>
      <c r="G3" s="2024"/>
      <c r="H3" s="2024"/>
      <c r="I3" s="2024"/>
      <c r="J3" s="2024"/>
      <c r="K3" s="2025"/>
      <c r="L3" s="2026"/>
      <c r="M3" s="2026"/>
      <c r="N3" s="2027"/>
      <c r="O3" s="2028"/>
      <c r="P3" s="2027"/>
      <c r="Q3" s="2027"/>
      <c r="R3" s="2027"/>
      <c r="S3" s="2029"/>
    </row>
    <row r="4" spans="1:19" ht="18" customHeight="1" thickBot="1">
      <c r="A4" s="2036" t="s">
        <v>1774</v>
      </c>
      <c r="B4" s="2037" t="s">
        <v>3073</v>
      </c>
      <c r="C4" s="1036">
        <f ca="1">SUMIF(注册房地产估价师,B4,估价师及机构信息!B3:B24)</f>
        <v>1419970001</v>
      </c>
      <c r="D4" s="2037" t="s">
        <v>3074</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1775</v>
      </c>
      <c r="B5" s="2980" t="s">
        <v>3075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79" t="s">
        <v>3072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81" t="s">
        <v>3075</v>
      </c>
      <c r="C7" s="2046"/>
      <c r="D7" s="2047"/>
      <c r="E7" s="2032"/>
      <c r="F7" s="2040"/>
      <c r="G7" s="2040"/>
      <c r="H7" s="2040"/>
      <c r="I7" s="2040"/>
      <c r="J7" s="2040"/>
      <c r="K7" s="2049"/>
      <c r="L7" s="2026"/>
      <c r="M7" s="2026"/>
      <c r="N7" s="2027"/>
      <c r="O7" s="2028"/>
      <c r="P7" s="2027"/>
      <c r="Q7" s="2027"/>
      <c r="R7" s="2027"/>
    </row>
    <row r="8" spans="1:19" ht="18" customHeight="1">
      <c r="A8" s="2045" t="s">
        <v>1778</v>
      </c>
      <c r="B8" s="2050" t="s">
        <v>3076</v>
      </c>
      <c r="C8" s="2051"/>
      <c r="D8" s="3077" t="s">
        <v>1779</v>
      </c>
      <c r="E8" s="2052" t="s">
        <v>3077</v>
      </c>
      <c r="F8" s="2053"/>
      <c r="G8" s="2024"/>
      <c r="H8" s="2024"/>
      <c r="I8" s="2024"/>
      <c r="J8" s="2040"/>
      <c r="K8" s="2041"/>
      <c r="L8" s="2026"/>
      <c r="M8" s="2026"/>
      <c r="N8" s="2027"/>
      <c r="O8" s="2028"/>
      <c r="P8" s="2027"/>
      <c r="Q8" s="2027"/>
      <c r="R8" s="2027"/>
    </row>
    <row r="9" spans="1:19" ht="18" customHeight="1" thickBot="1">
      <c r="A9" s="2038" t="s">
        <v>1780</v>
      </c>
      <c r="B9" s="2054" t="s">
        <v>3077</v>
      </c>
      <c r="C9" s="2055"/>
      <c r="D9" s="3078"/>
      <c r="E9" s="2054"/>
      <c r="F9" s="2056"/>
      <c r="G9" s="2057"/>
      <c r="H9" s="2057"/>
      <c r="I9" s="2057"/>
      <c r="J9" s="2040"/>
      <c r="K9" s="2049"/>
      <c r="L9" s="2026"/>
      <c r="M9" s="2026"/>
      <c r="N9" s="2027"/>
      <c r="O9" s="2028"/>
      <c r="P9" s="2027"/>
      <c r="Q9" s="2027"/>
      <c r="R9" s="2027"/>
    </row>
    <row r="10" spans="1:19" ht="18" customHeight="1" thickTop="1">
      <c r="A10" s="2058" t="s">
        <v>1781</v>
      </c>
      <c r="B10" s="2059" t="s">
        <v>3078</v>
      </c>
      <c r="C10" s="2060"/>
      <c r="D10" s="2044"/>
      <c r="E10" s="2061" t="s">
        <v>1782</v>
      </c>
      <c r="F10" s="2062" t="s">
        <v>3079</v>
      </c>
      <c r="G10" s="2063"/>
      <c r="H10" s="2064"/>
      <c r="I10" s="2044"/>
      <c r="J10" s="2040"/>
      <c r="K10" s="2049"/>
      <c r="L10" s="2026"/>
      <c r="M10" s="2026"/>
      <c r="N10" s="2027"/>
      <c r="O10" s="2028"/>
      <c r="P10" s="2027"/>
      <c r="Q10" s="2027"/>
      <c r="R10" s="2027"/>
    </row>
    <row r="11" spans="1:19" ht="18" customHeight="1">
      <c r="A11" s="2065" t="s">
        <v>1783</v>
      </c>
      <c r="B11" s="2066" t="s">
        <v>3080</v>
      </c>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3081</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c r="E13" s="2075">
        <v>55220</v>
      </c>
      <c r="F13" s="2075"/>
      <c r="G13" s="2075"/>
      <c r="H13" s="2075"/>
      <c r="I13" s="1046"/>
      <c r="J13" s="2040"/>
      <c r="K13" s="2049"/>
      <c r="L13" s="2026"/>
      <c r="M13" s="2026"/>
      <c r="N13" s="2027"/>
      <c r="O13" s="2028"/>
      <c r="P13" s="2027"/>
      <c r="Q13" s="2027"/>
      <c r="R13" s="2027"/>
    </row>
    <row r="14" spans="1:19" ht="18" customHeight="1">
      <c r="A14" s="2072"/>
      <c r="B14" s="2073"/>
      <c r="C14" s="2074" t="s">
        <v>1793</v>
      </c>
      <c r="D14" s="1049"/>
      <c r="E14" s="1049">
        <v>40</v>
      </c>
      <c r="F14" s="1049"/>
      <c r="G14" s="1049"/>
      <c r="H14" s="1049"/>
      <c r="I14" s="1049"/>
      <c r="J14" s="2040"/>
      <c r="K14" s="2076"/>
      <c r="L14" s="2026"/>
      <c r="M14" s="2026"/>
      <c r="N14" s="2027"/>
      <c r="O14" s="2028"/>
      <c r="P14" s="2027"/>
      <c r="Q14" s="2027"/>
      <c r="R14" s="2027"/>
    </row>
    <row r="15" spans="1:19" ht="18" customHeight="1">
      <c r="A15" s="2058"/>
      <c r="B15" s="2077"/>
      <c r="C15" s="2074" t="s">
        <v>1794</v>
      </c>
      <c r="D15" s="1048" t="str">
        <f>IF(B12="出让",IF(D13="","",ROUNDDOWN(MIN((D13-$D$3)/365,D14),2)),D14)</f>
        <v/>
      </c>
      <c r="E15" s="1048">
        <f>IF(B12="出让",IF(E13="","",ROUNDDOWN(MIN((E13-$D$3)/365,E14),2)),E14)</f>
        <v>31.46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84" t="s">
        <v>3082</v>
      </c>
      <c r="C16" s="3085"/>
      <c r="D16" s="3086"/>
      <c r="E16" s="2081" t="s">
        <v>1796</v>
      </c>
      <c r="F16" s="3087" t="s">
        <v>3204</v>
      </c>
      <c r="G16" s="3088"/>
      <c r="H16" s="3088"/>
      <c r="I16" s="3089"/>
      <c r="J16" s="2027"/>
      <c r="K16" s="2078"/>
      <c r="L16" s="2079"/>
      <c r="M16" s="2079"/>
      <c r="N16" s="2080"/>
      <c r="O16" s="2079"/>
      <c r="P16" s="2080"/>
      <c r="Q16" s="2027"/>
      <c r="R16" s="2027"/>
    </row>
    <row r="17" spans="1:22" ht="18" customHeight="1">
      <c r="A17" s="2082" t="s">
        <v>1797</v>
      </c>
      <c r="B17" s="2033" t="s">
        <v>1798</v>
      </c>
      <c r="C17" s="1053">
        <f>'数据-汇总表'!E3</f>
        <v>4376.09</v>
      </c>
      <c r="D17" s="2083" t="s">
        <v>1799</v>
      </c>
      <c r="E17" s="3090" t="s">
        <v>1800</v>
      </c>
      <c r="F17" s="3091"/>
      <c r="G17" s="3091"/>
      <c r="H17" s="3091"/>
      <c r="I17" s="3092"/>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4009</v>
      </c>
      <c r="D18" s="2086" t="s">
        <v>1799</v>
      </c>
      <c r="E18" s="3093" t="s">
        <v>1803</v>
      </c>
      <c r="F18" s="3094"/>
      <c r="G18" s="3094"/>
      <c r="H18" s="3094"/>
      <c r="I18" s="3095"/>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80" t="s">
        <v>1808</v>
      </c>
      <c r="C20" s="3081"/>
      <c r="D20" s="3082" t="s">
        <v>1809</v>
      </c>
      <c r="E20" s="3083"/>
      <c r="F20" s="2093" t="s">
        <v>1810</v>
      </c>
      <c r="G20" s="2040"/>
      <c r="H20" s="2040"/>
      <c r="I20" s="2040"/>
      <c r="J20" s="2040"/>
      <c r="K20" s="3079"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1813</v>
      </c>
      <c r="D21" s="2096" t="s">
        <v>1814</v>
      </c>
      <c r="E21" s="2097" t="s">
        <v>1813</v>
      </c>
      <c r="F21" s="2098"/>
      <c r="G21" s="2040"/>
      <c r="H21" s="2040"/>
      <c r="I21" s="2040"/>
      <c r="J21" s="2040"/>
      <c r="K21" s="307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7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97" t="s">
        <v>1823</v>
      </c>
      <c r="B27" s="2058" t="s">
        <v>1824</v>
      </c>
      <c r="C27" s="2115" t="s">
        <v>3083</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97"/>
      <c r="B28" s="2033" t="s">
        <v>1825</v>
      </c>
      <c r="C28" s="2117" t="s">
        <v>3084</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97"/>
      <c r="B29" s="2033" t="s">
        <v>1826</v>
      </c>
      <c r="C29" s="2120" t="s">
        <v>3085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98"/>
      <c r="B30" s="2033" t="s">
        <v>1827</v>
      </c>
      <c r="C30" s="3099"/>
      <c r="D30" s="3100"/>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101" t="s">
        <v>1828</v>
      </c>
      <c r="B31" s="2122" t="s">
        <v>3086</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102"/>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102"/>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3087</v>
      </c>
      <c r="C34" s="2129" t="s">
        <v>3088</v>
      </c>
      <c r="D34" s="2129" t="s">
        <v>3089</v>
      </c>
      <c r="E34" s="2129" t="s">
        <v>3090</v>
      </c>
      <c r="F34" s="2129" t="s">
        <v>3091</v>
      </c>
      <c r="G34" s="2129" t="s">
        <v>3092</v>
      </c>
      <c r="H34" s="2129"/>
      <c r="I34" s="2040"/>
      <c r="J34" s="2040"/>
      <c r="K34" s="1794">
        <f>COUNTIF(B34:H34,"——")</f>
        <v>0</v>
      </c>
      <c r="L34" s="2070" t="s">
        <v>1830</v>
      </c>
      <c r="M34" s="2070" t="s">
        <v>1831</v>
      </c>
      <c r="N34" s="2070" t="s">
        <v>1832</v>
      </c>
      <c r="O34" s="2070" t="s">
        <v>1833</v>
      </c>
      <c r="P34" s="2070" t="s">
        <v>1834</v>
      </c>
      <c r="Q34" s="2070" t="s">
        <v>1835</v>
      </c>
      <c r="R34" s="2070" t="s">
        <v>1836</v>
      </c>
      <c r="S34" s="3096" t="s">
        <v>1837</v>
      </c>
      <c r="T34" s="2130" t="str">
        <f>NUMBERSTRING(7-K34,1)&amp;"通"</f>
        <v>七通</v>
      </c>
      <c r="U34" s="2027"/>
      <c r="V34" s="2027"/>
    </row>
    <row r="35" spans="1:22" ht="18" customHeight="1">
      <c r="A35" s="2131"/>
      <c r="B35" s="3103" t="s">
        <v>1838</v>
      </c>
      <c r="C35" s="3103"/>
      <c r="D35" s="3103"/>
      <c r="E35" s="3103"/>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6"/>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c r="C37" s="2136"/>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c r="C38" s="2138"/>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f>面积!E13+面积!E14</f>
        <v>4009</v>
      </c>
      <c r="B3" s="14">
        <f>IF(C3="否",G5-AT5,G5)</f>
        <v>4376.09</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1874</v>
      </c>
      <c r="B5" s="1802"/>
      <c r="C5" s="1802"/>
      <c r="D5" s="1805"/>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1875</v>
      </c>
      <c r="B6" s="2170"/>
      <c r="C6" s="2170"/>
      <c r="D6" s="2171"/>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1894</v>
      </c>
      <c r="I9" s="2187" t="s">
        <v>3096</v>
      </c>
      <c r="J9" s="980"/>
      <c r="K9" s="2187" t="s">
        <v>3097</v>
      </c>
      <c r="L9" s="980"/>
      <c r="M9" s="2187"/>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3.2">
      <c r="A10" s="2178"/>
      <c r="B10" s="2178"/>
      <c r="C10" s="2178"/>
      <c r="D10" s="2178"/>
      <c r="E10" s="2178"/>
      <c r="F10" s="2178"/>
      <c r="G10" s="1291"/>
      <c r="H10" s="28"/>
      <c r="I10" s="2187" t="s">
        <v>1373</v>
      </c>
      <c r="J10" s="980"/>
      <c r="K10" s="2193" t="s">
        <v>1373</v>
      </c>
      <c r="L10" s="980"/>
      <c r="M10" s="2193"/>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1271" t="s">
        <v>3093</v>
      </c>
      <c r="D13" s="2209" t="s">
        <v>3095</v>
      </c>
      <c r="E13" s="16">
        <f>IF($C$3="是",ROUND($A$3*G13/$B$3,2),ROUND($A$3*(G13-AT13)/$B$3,2))</f>
        <v>1227.98</v>
      </c>
      <c r="F13" s="32"/>
      <c r="G13" s="33">
        <f>H13+AC13+AT13</f>
        <v>1340.42</v>
      </c>
      <c r="H13" s="20">
        <f>SUMIF(I$12:AB$12,"总值",I13:AB13)</f>
        <v>1340.42</v>
      </c>
      <c r="I13" s="2210">
        <f>面积!J13</f>
        <v>1340.42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3号楼</v>
      </c>
      <c r="AY13" s="1805">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1271" t="s">
        <v>3094</v>
      </c>
      <c r="D14" s="2209" t="s">
        <v>3095</v>
      </c>
      <c r="E14" s="16">
        <f>IF($C$3="是",ROUND($A$3*G14/$B$3,2),ROUND($A$3*(G14-AT14)/$B$3,2))</f>
        <v>2781.02</v>
      </c>
      <c r="F14" s="32"/>
      <c r="G14" s="33">
        <f>H14+AC14+AT14</f>
        <v>3035.67</v>
      </c>
      <c r="H14" s="20">
        <f>SUMIF(I$12:AB$12,"总值",I14:AB14)</f>
        <v>3035.67</v>
      </c>
      <c r="I14" s="2210"/>
      <c r="J14" s="2210"/>
      <c r="K14" s="2210">
        <f>面积!J14</f>
        <v>3035.67</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4号楼</v>
      </c>
      <c r="AY14" s="1805">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46.8">
      <c r="A3" s="3104"/>
      <c r="B3" s="3104"/>
      <c r="C3" s="3104"/>
      <c r="D3" s="3105"/>
      <c r="E3" s="31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1933</v>
      </c>
      <c r="B1" s="1391"/>
      <c r="C1" s="1391"/>
      <c r="D1" s="1391"/>
      <c r="E1" s="1391"/>
      <c r="F1" s="1391"/>
      <c r="G1" s="1391"/>
      <c r="H1" s="1391"/>
      <c r="I1" s="1391"/>
      <c r="J1" s="1391"/>
      <c r="K1" s="1391"/>
      <c r="L1" s="1391"/>
      <c r="M1" s="1391"/>
      <c r="N1" s="1391"/>
      <c r="O1" s="1391"/>
      <c r="P1" s="1391"/>
    </row>
    <row r="2" spans="1:16" ht="14.4">
      <c r="A2" s="3115" t="s">
        <v>1934</v>
      </c>
      <c r="B2" s="3115"/>
      <c r="C2" s="3115"/>
      <c r="D2" s="966" t="s">
        <v>1910</v>
      </c>
      <c r="E2" s="2223" t="s">
        <v>1911</v>
      </c>
      <c r="F2" s="1391"/>
      <c r="G2" s="2224"/>
      <c r="H2" s="2225"/>
      <c r="I2" s="2226" t="s">
        <v>1935</v>
      </c>
      <c r="J2" s="1391"/>
      <c r="K2" s="1391"/>
      <c r="L2" s="1391"/>
      <c r="M2" s="1391"/>
      <c r="N2" s="1426"/>
      <c r="O2" s="1391"/>
      <c r="P2" s="1391"/>
    </row>
    <row r="3" spans="1:16" ht="15" thickBot="1">
      <c r="A3" s="3116" t="s">
        <v>1908</v>
      </c>
      <c r="B3" s="3116"/>
      <c r="C3" s="3116"/>
      <c r="D3" s="46">
        <f>'数据-基础表'!AY6</f>
        <v>4009</v>
      </c>
      <c r="E3" s="46">
        <f>'数据-基础表'!AZ5</f>
        <v>4376.09</v>
      </c>
      <c r="F3" s="1391"/>
      <c r="G3" s="1398"/>
      <c r="H3" s="1246" t="s">
        <v>1909</v>
      </c>
      <c r="I3" s="55">
        <f>ROUND('数据-基础表'!B3/'数据-基础表'!A3,2)</f>
        <v>1.0900000000000001</v>
      </c>
      <c r="J3" s="1391"/>
      <c r="K3" s="1391"/>
      <c r="L3" s="1391"/>
      <c r="M3" s="1391"/>
      <c r="N3" s="1426"/>
      <c r="O3" s="1391"/>
      <c r="P3" s="1391"/>
    </row>
    <row r="4" spans="1:16" ht="14.4">
      <c r="A4" s="3117"/>
      <c r="B4" s="3118"/>
      <c r="C4" s="3119"/>
      <c r="D4" s="2227" t="s">
        <v>1910</v>
      </c>
      <c r="E4" s="2228" t="s">
        <v>1911</v>
      </c>
      <c r="F4" s="1391"/>
      <c r="G4" s="2229" t="s">
        <v>1936</v>
      </c>
      <c r="H4" s="1246" t="s">
        <v>1916</v>
      </c>
      <c r="I4" s="55">
        <f>ROUND(SUMIF('数据-基础表'!I9:AS9,"地上",'数据-基础表'!I5:AS5)/'数据-基础表'!A3,2)</f>
        <v>0.33</v>
      </c>
      <c r="J4" s="1391"/>
      <c r="K4" s="1391"/>
      <c r="L4" s="1391"/>
      <c r="M4" s="1391"/>
      <c r="N4" s="1426"/>
      <c r="O4" s="1391"/>
      <c r="P4" s="1391"/>
    </row>
    <row r="5" spans="1:16" ht="14.4">
      <c r="A5" s="47" t="s">
        <v>1912</v>
      </c>
      <c r="B5" s="3120" t="s">
        <v>1913</v>
      </c>
      <c r="C5" s="3120"/>
      <c r="D5" s="48">
        <f>ROUND($D$3*E5/$E$3,2)</f>
        <v>0</v>
      </c>
      <c r="E5" s="49">
        <f>SUMIF('数据-基础表'!$11:$11,"住宅",'数据-基础表'!$5:$5)</f>
        <v>0</v>
      </c>
      <c r="F5" s="1391"/>
      <c r="G5" s="1398"/>
      <c r="H5" s="1246" t="s">
        <v>1909</v>
      </c>
      <c r="I5" s="55">
        <f>ROUND(E31/D31,2)</f>
        <v>1.0900000000000001</v>
      </c>
      <c r="J5" s="1391"/>
      <c r="K5" s="1391"/>
      <c r="L5" s="1391"/>
      <c r="M5" s="1391"/>
      <c r="N5" s="1391"/>
      <c r="O5" s="1391"/>
      <c r="P5" s="1391"/>
    </row>
    <row r="6" spans="1:16" ht="15" thickBot="1">
      <c r="A6" s="2230"/>
      <c r="B6" s="3120" t="s">
        <v>1914</v>
      </c>
      <c r="C6" s="3120"/>
      <c r="D6" s="48">
        <f>ROUND($D$3*E6/$E$3,2)</f>
        <v>4009</v>
      </c>
      <c r="E6" s="49">
        <f>E3-E5</f>
        <v>4376.09</v>
      </c>
      <c r="F6" s="1391"/>
      <c r="G6" s="2231" t="s">
        <v>1915</v>
      </c>
      <c r="H6" s="1398" t="s">
        <v>1916</v>
      </c>
      <c r="I6" s="938">
        <f>ROUND(F31/D31,2)</f>
        <v>0.33</v>
      </c>
      <c r="J6" s="1391"/>
      <c r="K6" s="1391"/>
      <c r="L6" s="1391"/>
      <c r="M6" s="1391"/>
      <c r="N6" s="1391"/>
      <c r="O6" s="1391"/>
      <c r="P6" s="1391"/>
    </row>
    <row r="7" spans="1:16" ht="14.4">
      <c r="A7" s="3112"/>
      <c r="B7" s="3113"/>
      <c r="C7" s="3114"/>
      <c r="D7" s="2227" t="s">
        <v>1910</v>
      </c>
      <c r="E7" s="2232" t="s">
        <v>1917</v>
      </c>
      <c r="F7" s="1391"/>
      <c r="G7" s="2224" t="s">
        <v>1918</v>
      </c>
      <c r="H7" s="64"/>
      <c r="I7" s="420"/>
      <c r="J7" s="1391"/>
      <c r="K7" s="1391"/>
      <c r="L7" s="1391"/>
      <c r="M7" s="1391"/>
      <c r="N7" s="1391"/>
      <c r="O7" s="1391"/>
      <c r="P7" s="1391"/>
    </row>
    <row r="8" spans="1:16" ht="14.4">
      <c r="A8" s="47" t="s">
        <v>1919</v>
      </c>
      <c r="B8" s="50" t="s">
        <v>1920</v>
      </c>
      <c r="C8" s="48" t="s">
        <v>1921</v>
      </c>
      <c r="D8" s="48">
        <f t="shared" ref="D8:D15" si="0">ROUND($D$3*E8/$E$3,2)</f>
        <v>1227.98</v>
      </c>
      <c r="E8" s="51">
        <f>SUMIF('数据-基础表'!BB10:BK10,"地上",'数据-基础表'!BB5:BK5)</f>
        <v>1340.42</v>
      </c>
      <c r="F8" s="1391"/>
      <c r="G8" s="2233"/>
      <c r="H8" s="2233"/>
      <c r="I8" s="1391"/>
      <c r="J8" s="1391"/>
      <c r="K8" s="1391"/>
      <c r="L8" s="1391"/>
      <c r="M8" s="1391"/>
      <c r="N8" s="1391"/>
      <c r="O8" s="1391"/>
      <c r="P8" s="1391"/>
    </row>
    <row r="9" spans="1:16" ht="14.4">
      <c r="A9" s="2234"/>
      <c r="B9" s="2235"/>
      <c r="C9" s="48" t="s">
        <v>1922</v>
      </c>
      <c r="D9" s="48">
        <f t="shared" si="0"/>
        <v>0</v>
      </c>
      <c r="E9" s="52">
        <v>0</v>
      </c>
      <c r="F9" s="1391"/>
      <c r="G9" s="2233"/>
      <c r="H9" s="2233"/>
      <c r="I9" s="1391"/>
      <c r="J9" s="1391"/>
      <c r="K9" s="1391"/>
      <c r="L9" s="1391"/>
      <c r="M9" s="1391"/>
      <c r="N9" s="1391"/>
      <c r="O9" s="1391"/>
      <c r="P9" s="1391"/>
    </row>
    <row r="10" spans="1:16" ht="14.4">
      <c r="A10" s="2234"/>
      <c r="B10" s="2235"/>
      <c r="C10" s="48" t="s">
        <v>1931</v>
      </c>
      <c r="D10" s="48">
        <f t="shared" si="0"/>
        <v>2781.02</v>
      </c>
      <c r="E10" s="51">
        <f>SUMPRODUCT(('数据-基础表'!BB10:BK10="地下")*('数据-基础表'!BB11:BK11="商业")*('数据-基础表'!BB5:BK5))</f>
        <v>3035.67</v>
      </c>
      <c r="F10" s="1391"/>
      <c r="G10" s="2233"/>
      <c r="H10" s="2233"/>
      <c r="I10" s="1391"/>
      <c r="J10" s="1391"/>
      <c r="K10" s="1391"/>
      <c r="L10" s="1391"/>
      <c r="M10" s="1391"/>
      <c r="N10" s="1391"/>
      <c r="O10" s="1391"/>
      <c r="P10" s="1391"/>
    </row>
    <row r="11" spans="1:16" ht="14.4">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1925</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1926</v>
      </c>
      <c r="D16" s="50">
        <f>SUM(D8:D15)</f>
        <v>4009</v>
      </c>
      <c r="E16" s="53">
        <f>SUM(E8:E15)</f>
        <v>4376.09</v>
      </c>
      <c r="F16" s="1391"/>
      <c r="G16" s="2233"/>
      <c r="H16" s="2236" t="s">
        <v>1938</v>
      </c>
      <c r="I16" s="2237"/>
      <c r="J16" s="1391"/>
      <c r="K16" s="3109" t="s">
        <v>1938</v>
      </c>
      <c r="L16" s="3110"/>
      <c r="M16" s="3110"/>
      <c r="N16" s="3110"/>
      <c r="O16" s="3110"/>
      <c r="P16" s="3111"/>
    </row>
    <row r="17" spans="1:19" ht="14.4">
      <c r="A17" s="2238" t="s">
        <v>1939</v>
      </c>
      <c r="B17" s="2239" t="s">
        <v>1940</v>
      </c>
      <c r="C17" s="2240" t="s">
        <v>1941</v>
      </c>
      <c r="D17" s="2241" t="s">
        <v>1929</v>
      </c>
      <c r="E17" s="2242" t="s">
        <v>1930</v>
      </c>
      <c r="F17" s="2243"/>
      <c r="G17" s="2244"/>
      <c r="H17" s="2245" t="s">
        <v>1942</v>
      </c>
      <c r="I17" s="2246" t="s">
        <v>1927</v>
      </c>
      <c r="J17" s="1391"/>
      <c r="K17" s="3106" t="s">
        <v>1943</v>
      </c>
      <c r="L17" s="3107"/>
      <c r="M17" s="3108"/>
      <c r="N17" s="3106" t="s">
        <v>1944</v>
      </c>
      <c r="O17" s="3107"/>
      <c r="P17" s="3108"/>
      <c r="R17" s="2224" t="s">
        <v>1945</v>
      </c>
      <c r="S17" s="64"/>
    </row>
    <row r="18" spans="1:19" ht="14.4">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ht="14.4">
      <c r="A19" s="2255"/>
      <c r="B19" s="50" t="s">
        <v>1928</v>
      </c>
      <c r="C19" s="2256" t="str">
        <f>'数据-基础表'!C13</f>
        <v>3号楼</v>
      </c>
      <c r="D19" s="48">
        <f>ROUND($D$3*E19/$E$3,2)</f>
        <v>1227.98</v>
      </c>
      <c r="E19" s="56">
        <f t="shared" ref="E19:E26" si="1">SUM(F19:G19)</f>
        <v>1340.42</v>
      </c>
      <c r="F19" s="57">
        <f>'数据-基础表'!I13</f>
        <v>1340.42</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1227.98</v>
      </c>
      <c r="S19" s="1247">
        <f t="shared" si="5"/>
        <v>1340.42</v>
      </c>
    </row>
    <row r="20" spans="1:19" ht="14.4">
      <c r="A20" s="2259"/>
      <c r="B20" s="50" t="s">
        <v>1956</v>
      </c>
      <c r="C20" s="2256" t="str">
        <f>'数据-基础表'!C14</f>
        <v>4号楼</v>
      </c>
      <c r="D20" s="48">
        <f t="shared" ref="D20:D26" si="6">ROUND($D$3*E20/$E$3,2)</f>
        <v>2781.02</v>
      </c>
      <c r="E20" s="56">
        <f t="shared" si="1"/>
        <v>3035.67</v>
      </c>
      <c r="F20" s="57"/>
      <c r="G20" s="58">
        <f>'数据-基础表'!K14</f>
        <v>3035.67</v>
      </c>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2781.02</v>
      </c>
      <c r="S20" s="1247">
        <f t="shared" si="5"/>
        <v>3035.67</v>
      </c>
    </row>
    <row r="21" spans="1:19" ht="14.4">
      <c r="A21" s="2259"/>
      <c r="B21" s="50" t="s">
        <v>1956</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ht="14.4">
      <c r="A22" s="2259"/>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ht="14.4">
      <c r="A23" s="2259"/>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ht="14.4">
      <c r="A24" s="2259"/>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ht="14.4">
      <c r="A25" s="2259"/>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ht="14.4">
      <c r="A26" s="2259"/>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 thickBot="1">
      <c r="A27" s="2259"/>
      <c r="B27" s="48"/>
      <c r="C27" s="2262" t="s">
        <v>1957</v>
      </c>
      <c r="D27" s="1392">
        <f>SUM(D19:D26)</f>
        <v>4009</v>
      </c>
      <c r="E27" s="1393">
        <f>IF(SUM(E19:E26)='数据-基础表'!BA5,SUM(E19:E26),IF(F27="地上面积有误","面积有误","地下面积有误"))</f>
        <v>4376.09</v>
      </c>
      <c r="F27" s="1392">
        <f>IF(SUM(F19:F26)=E8,SUM(F19:F26),"地上面积有误")</f>
        <v>1340.42</v>
      </c>
      <c r="G27" s="1394">
        <f>SUM(G19:G26)</f>
        <v>3035.67</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4009</v>
      </c>
      <c r="S27" s="1246">
        <f>IF(SUM(S19:S26)=$E$3,SUM(S19:S26),SUM(S19:S26)&amp;"误差"&amp;ROUND(SUM(S19:S26)-E3,2))</f>
        <v>4376.09</v>
      </c>
    </row>
    <row r="28" spans="1:19" ht="14.4">
      <c r="A28" s="2259"/>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1958</v>
      </c>
      <c r="C29" s="2263"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6" t="s">
        <v>1961</v>
      </c>
      <c r="D31" s="728">
        <f>D27+D30</f>
        <v>4009</v>
      </c>
      <c r="E31" s="728">
        <f>E27+E30</f>
        <v>4376.09</v>
      </c>
      <c r="F31" s="729">
        <f>F27+F30</f>
        <v>1340.42</v>
      </c>
      <c r="G31" s="730">
        <f>G27+G30</f>
        <v>3035.67</v>
      </c>
      <c r="H31" s="1391"/>
      <c r="I31" s="1391"/>
      <c r="J31" s="1391"/>
      <c r="K31" s="1391"/>
      <c r="L31" s="1391"/>
      <c r="M31" s="1391"/>
      <c r="N31" s="1391"/>
      <c r="O31" s="1391"/>
      <c r="P31" s="1391"/>
    </row>
    <row r="32" spans="1:19" ht="14.4">
      <c r="A32" s="2229"/>
      <c r="B32" s="2229" t="s">
        <v>1962</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J24" sqref="AJ24"/>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1963</v>
      </c>
      <c r="B1" s="731"/>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1964</v>
      </c>
      <c r="B2" s="1265">
        <f>项目基本情况!D3</f>
        <v>43734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1971</v>
      </c>
      <c r="B5" s="2286" t="s">
        <v>1972</v>
      </c>
      <c r="C5" s="2287" t="s">
        <v>1973</v>
      </c>
      <c r="D5" s="2288" t="s">
        <v>1974</v>
      </c>
      <c r="E5" s="1267" t="s">
        <v>1975</v>
      </c>
      <c r="F5" s="2289" t="s">
        <v>1976</v>
      </c>
      <c r="G5" s="1267" t="s">
        <v>1977</v>
      </c>
      <c r="H5" s="1267" t="s">
        <v>1978</v>
      </c>
      <c r="I5" s="1267"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6" t="s">
        <v>1991</v>
      </c>
      <c r="V5" s="1267" t="s">
        <v>1992</v>
      </c>
      <c r="W5" s="1267" t="s">
        <v>1993</v>
      </c>
      <c r="X5" s="71"/>
      <c r="Y5" s="70" t="s">
        <v>1994</v>
      </c>
      <c r="Z5" s="2299" t="s">
        <v>1991</v>
      </c>
      <c r="AA5" s="1267" t="s">
        <v>1992</v>
      </c>
      <c r="AB5" s="1267" t="s">
        <v>1993</v>
      </c>
      <c r="AC5" s="71"/>
      <c r="AD5" s="71" t="s">
        <v>1994</v>
      </c>
      <c r="AE5" s="1266" t="s">
        <v>1995</v>
      </c>
      <c r="AF5" s="1267" t="s">
        <v>1996</v>
      </c>
      <c r="AG5" s="70" t="s">
        <v>1997</v>
      </c>
      <c r="AH5" s="1266" t="s">
        <v>1998</v>
      </c>
      <c r="AI5" s="2299" t="s">
        <v>1999</v>
      </c>
      <c r="AJ5" s="2299" t="s">
        <v>2000</v>
      </c>
      <c r="AK5" s="1267" t="s">
        <v>2001</v>
      </c>
      <c r="AL5" s="1267" t="s">
        <v>2002</v>
      </c>
      <c r="AM5" s="70" t="s">
        <v>2003</v>
      </c>
      <c r="AN5" s="2300" t="s">
        <v>2004</v>
      </c>
      <c r="AO5" s="2070" t="s">
        <v>2005</v>
      </c>
      <c r="AP5" s="1248"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3号楼</v>
      </c>
      <c r="B6" s="2303" t="str">
        <f>IF(A6=0,"","经营性")</f>
        <v>经营性</v>
      </c>
      <c r="C6" s="2304" t="s">
        <v>1373</v>
      </c>
      <c r="D6" s="1050">
        <f>SUMIF(项目基本情况!D$12:I$12,C6,项目基本情况!D$14:I$14)</f>
        <v>40</v>
      </c>
      <c r="E6" s="1047">
        <f>IF(B6="","",SUMIF(项目基本情况!D$12:I$12,C6,项目基本情况!D$13:I$13))</f>
        <v>55220</v>
      </c>
      <c r="F6" s="72">
        <f>SUMIF(项目基本情况!D$12:I$12,C6,项目基本情况!D$15:I$15)</f>
        <v>31.46</v>
      </c>
      <c r="G6" s="73">
        <f>IF(ISERROR(ROUND(POWER(1+H6,D6-F6)*(POWER(1+H6,F6)-1)/(POWER(1+H6,D6)-1),3)),0,ROUND(POWER(1+H6,D6-F6)*(POWER(1+H6,F6)-1)/(POWER(1+H6,D6)-1),3))</f>
        <v>0.91400000000000003</v>
      </c>
      <c r="H6" s="801">
        <v>0.05</v>
      </c>
      <c r="I6" s="801">
        <v>5.5E-2</v>
      </c>
      <c r="J6" s="74">
        <v>8.5000000000000006E-2</v>
      </c>
      <c r="K6" s="1250">
        <f>SUMIF('数据-汇总表'!C$19:C$33,A6,'数据-汇总表'!E$19:E$33)</f>
        <v>1340.42</v>
      </c>
      <c r="L6" s="802">
        <v>3000</v>
      </c>
      <c r="M6" s="75">
        <f t="shared" ref="M6:M14" si="0">ROUND(K6*L6/10000,0)</f>
        <v>402</v>
      </c>
      <c r="N6" s="800">
        <f>N19</f>
        <v>0.92</v>
      </c>
      <c r="O6" s="75">
        <f>IF($N$5="成新度","——",ROUND(M6*N6,0))</f>
        <v>370</v>
      </c>
      <c r="P6" s="76">
        <f>IF($N$5="成新度","——",M6-O6)</f>
        <v>32</v>
      </c>
      <c r="Q6" s="803">
        <v>0.15</v>
      </c>
      <c r="R6" s="77">
        <f ca="1">SUMIF('数据-汇总表'!C$19:C$33,A6,'数据-汇总表'!R$19:R$27)</f>
        <v>1227.98</v>
      </c>
      <c r="S6" s="54">
        <f>IF('数据-汇总表'!$I$17="按面积比例",SUMIF('数据-汇总表'!C$19:C$33,A6,'数据-汇总表'!K$19:K$33),SUMIF('数据-汇总表'!C$19:C$33,A6,'数据-汇总表'!N$19:N$33))</f>
        <v>0</v>
      </c>
      <c r="T6" s="1442">
        <f>ROUND($L$14*S6/10000,0)</f>
        <v>0</v>
      </c>
      <c r="U6" s="78">
        <v>5</v>
      </c>
      <c r="V6" s="79">
        <v>3.5000000000000003E-2</v>
      </c>
      <c r="W6" s="79">
        <v>0.1</v>
      </c>
      <c r="X6" s="1260"/>
      <c r="Y6" s="80">
        <f>N6</f>
        <v>0.92</v>
      </c>
      <c r="Z6" s="81"/>
      <c r="AA6" s="74"/>
      <c r="AB6" s="74"/>
      <c r="AC6" s="1260"/>
      <c r="AD6" s="82"/>
      <c r="AE6" s="1261">
        <f ca="1">IF(AN6="",0,SUMIF(INDIRECT("'"&amp;AN6&amp;"'"&amp;"!E:E"),$AE$5,INDIRECT("'"&amp;AN6&amp;"'"&amp;"!F:F")))</f>
        <v>31.46</v>
      </c>
      <c r="AF6" s="1803"/>
      <c r="AG6" s="147">
        <f>IF(AF6="",0,AE6-AF6)</f>
        <v>0</v>
      </c>
      <c r="AH6" s="83"/>
      <c r="AI6" s="85">
        <v>365</v>
      </c>
      <c r="AJ6" s="86"/>
      <c r="AK6" s="87">
        <v>1.4999999999999999E-2</v>
      </c>
      <c r="AL6" s="88">
        <v>1.5E-3</v>
      </c>
      <c r="AM6" s="89">
        <v>0.01</v>
      </c>
      <c r="AN6" s="2305" t="s">
        <v>3174</v>
      </c>
      <c r="AO6" s="55">
        <f ca="1">SUMIF(INDIRECT("'"&amp;AN6&amp;"'"&amp;"!A:A"),"总价",INDIRECT("'"&amp;AN6&amp;"'"&amp;"!B:B"))</f>
        <v>3868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t="str">
        <f>'数据-汇总表'!C20</f>
        <v>4号楼</v>
      </c>
      <c r="B7" s="2303" t="str">
        <f t="shared" ref="B7:B13" si="1">IF(A7=0,"","经营性")</f>
        <v>经营性</v>
      </c>
      <c r="C7" s="2304" t="s">
        <v>1373</v>
      </c>
      <c r="D7" s="1050">
        <f>SUMIF(项目基本情况!D$12:I$12,C7,项目基本情况!D$14:I$14)</f>
        <v>40</v>
      </c>
      <c r="E7" s="1047">
        <f>IF(B7="","",SUMIF(项目基本情况!D$12:I$12,C7,项目基本情况!D$13:I$13))</f>
        <v>55220</v>
      </c>
      <c r="F7" s="72">
        <f>SUMIF(项目基本情况!D$12:I$12,C7,项目基本情况!D$15:I$15)</f>
        <v>31.46</v>
      </c>
      <c r="G7" s="73">
        <f t="shared" ref="G7:G11" si="2">IF(ISERROR(ROUND(POWER(1+H7,D7-F7)*(POWER(1+H7,F7)-1)/(POWER(1+H7,D7)-1),3)),0,ROUND(POWER(1+H7,D7-F7)*(POWER(1+H7,F7)-1)/(POWER(1+H7,D7)-1),3))</f>
        <v>0.91400000000000003</v>
      </c>
      <c r="H7" s="801">
        <f>H6</f>
        <v>0.05</v>
      </c>
      <c r="I7" s="801">
        <f>I6</f>
        <v>5.5E-2</v>
      </c>
      <c r="J7" s="74">
        <f>J6</f>
        <v>8.5000000000000006E-2</v>
      </c>
      <c r="K7" s="1250">
        <f>SUMIF('数据-汇总表'!C$19:C$33,A7,'数据-汇总表'!E$19:E$33)</f>
        <v>3035.67</v>
      </c>
      <c r="L7" s="802">
        <f>L6</f>
        <v>3000</v>
      </c>
      <c r="M7" s="75">
        <f t="shared" si="0"/>
        <v>911</v>
      </c>
      <c r="N7" s="800">
        <f>N6</f>
        <v>0.92</v>
      </c>
      <c r="O7" s="75">
        <f t="shared" ref="O7:O14" si="3">IF($N$5="成新度","——",ROUND(M7*N7,0))</f>
        <v>838</v>
      </c>
      <c r="P7" s="76">
        <f t="shared" ref="P7:P14" si="4">IF($N$5="成新度","——",M7-O7)</f>
        <v>73</v>
      </c>
      <c r="Q7" s="803">
        <f>Q6</f>
        <v>0.15</v>
      </c>
      <c r="R7" s="77">
        <f ca="1">SUMIF('数据-汇总表'!C$19:C$33,A7,'数据-汇总表'!R$19:R$27)</f>
        <v>2781.02</v>
      </c>
      <c r="S7" s="54">
        <f>IF('数据-汇总表'!$I$17="按面积比例",SUMIF('数据-汇总表'!C$19:C$33,A7,'数据-汇总表'!K$19:K$33),SUMIF('数据-汇总表'!C$19:C$33,A7,'数据-汇总表'!N$19:N$33))</f>
        <v>0</v>
      </c>
      <c r="T7" s="1442">
        <f t="shared" ref="T7:T13" si="5">ROUND($L$14*S7/10000,0)</f>
        <v>0</v>
      </c>
      <c r="U7" s="3003">
        <f>租约!F14</f>
        <v>2.2000000000000002</v>
      </c>
      <c r="V7" s="79">
        <v>0</v>
      </c>
      <c r="W7" s="79">
        <v>0</v>
      </c>
      <c r="X7" s="1260"/>
      <c r="Y7" s="80">
        <f>N7</f>
        <v>0.92</v>
      </c>
      <c r="Z7" s="81">
        <f ca="1">ROUND('收益法 (4号楼)'!F49*(1+'数据-取费表'!AA7)^'数据-取费表'!AF7,2)</f>
        <v>6.12</v>
      </c>
      <c r="AA7" s="74">
        <f>V6</f>
        <v>3.5000000000000003E-2</v>
      </c>
      <c r="AB7" s="74">
        <f>W6</f>
        <v>0.1</v>
      </c>
      <c r="AC7" s="1260"/>
      <c r="AD7" s="82">
        <f>N20</f>
        <v>0.77</v>
      </c>
      <c r="AE7" s="1261">
        <f t="shared" ref="AE7:AE13" ca="1" si="6">IF(AN7="",0,SUMIF(INDIRECT("'"&amp;AN7&amp;"'"&amp;"!E:E"),$AE$5,INDIRECT("'"&amp;AN7&amp;"'"&amp;"!F:F")))</f>
        <v>31.46</v>
      </c>
      <c r="AF7" s="1803">
        <v>8.93</v>
      </c>
      <c r="AG7" s="147">
        <f t="shared" ref="AG7:AG13" ca="1" si="7">IF(AF7="",0,AE7-AF7)</f>
        <v>22.53</v>
      </c>
      <c r="AH7" s="83"/>
      <c r="AI7" s="85">
        <v>365</v>
      </c>
      <c r="AJ7" s="86"/>
      <c r="AK7" s="87">
        <f>AK6</f>
        <v>1.4999999999999999E-2</v>
      </c>
      <c r="AL7" s="88">
        <f>AL6</f>
        <v>1.5E-3</v>
      </c>
      <c r="AM7" s="89">
        <f>AM6</f>
        <v>0.01</v>
      </c>
      <c r="AN7" s="2305" t="s">
        <v>3178</v>
      </c>
      <c r="AO7" s="55">
        <f t="shared" ref="AO7:AO13" ca="1" si="8">SUMIF(INDIRECT("'"&amp;AN7&amp;"'"&amp;"!A:A"),"总价",INDIRECT("'"&amp;AN7&amp;"'"&amp;"!B:B"))</f>
        <v>6442</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2009</v>
      </c>
      <c r="B14" s="2303" t="s">
        <v>2010</v>
      </c>
      <c r="C14" s="2308" t="s">
        <v>2009</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2011</v>
      </c>
      <c r="B15" s="2303" t="s">
        <v>2010</v>
      </c>
      <c r="C15" s="2308"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2013</v>
      </c>
      <c r="B16" s="97"/>
      <c r="C16" s="1004"/>
      <c r="D16" s="2310"/>
      <c r="E16" s="97"/>
      <c r="F16" s="97"/>
      <c r="G16" s="98">
        <f>ROUND(SUMPRODUCT(G6:G13,K6:K13)/SUMPRODUCT((G6:G13&gt;0)*(K6:K13)),3)</f>
        <v>0.91400000000000003</v>
      </c>
      <c r="H16" s="99">
        <f>ROUND(SUMPRODUCT(H6:H13,K6:K13)/SUMPRODUCT((H6:H13&gt;0)*(K6:K13)),3)</f>
        <v>0.05</v>
      </c>
      <c r="I16" s="100"/>
      <c r="J16" s="100"/>
      <c r="K16" s="101">
        <f>SUM(K6:K15)</f>
        <v>4376.09</v>
      </c>
      <c r="L16" s="102">
        <f>ROUND(M16*10000/SUM(K6:K14),0)</f>
        <v>3000</v>
      </c>
      <c r="M16" s="102">
        <f>SUM(M6:M14)</f>
        <v>1313</v>
      </c>
      <c r="N16" s="103">
        <f>ROUND(SUMPRODUCT(M6:M14,N6:N14)/M16,3)</f>
        <v>0.92</v>
      </c>
      <c r="O16" s="102">
        <f>SUM(O6:O14)</f>
        <v>1208</v>
      </c>
      <c r="P16" s="102">
        <f>SUM(P6:P14)</f>
        <v>105</v>
      </c>
      <c r="Q16" s="104">
        <f>ROUND(SUMPRODUCT(Q6:Q13,K6:K13)/SUMPRODUCT((Q6:Q13&gt;0)*(K6:K13)),2)</f>
        <v>0.15</v>
      </c>
      <c r="R16" s="1254">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2015</v>
      </c>
      <c r="B19" s="112">
        <v>0</v>
      </c>
      <c r="C19" s="2273" t="s">
        <v>2016</v>
      </c>
      <c r="D19" s="2274"/>
      <c r="E19" s="2273"/>
      <c r="F19" s="2273"/>
      <c r="G19" s="2273"/>
      <c r="H19" s="2273"/>
      <c r="I19" s="2273"/>
      <c r="J19" s="2273"/>
      <c r="K19" s="168"/>
      <c r="L19" s="168"/>
      <c r="M19" s="1580"/>
      <c r="N19" s="1580">
        <f>ROUND(1-(2019-2014)/60,2)</f>
        <v>0.92</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2017</v>
      </c>
      <c r="B20" s="113">
        <v>2</v>
      </c>
      <c r="C20" s="2273" t="s">
        <v>2018</v>
      </c>
      <c r="D20" s="2274"/>
      <c r="E20" s="2273"/>
      <c r="F20" s="2273"/>
      <c r="G20" s="2273"/>
      <c r="H20" s="2273"/>
      <c r="I20" s="2273"/>
      <c r="J20" s="2273"/>
      <c r="K20" s="168"/>
      <c r="L20" s="168"/>
      <c r="M20" s="1580"/>
      <c r="N20" s="1580">
        <f>ROUND(1-(2028-2014)/60,2)</f>
        <v>0.77</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2019</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2020</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2021</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2022</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2023</v>
      </c>
      <c r="B26" s="2316" t="s">
        <v>2024</v>
      </c>
      <c r="C26" s="2317" t="s">
        <v>2025</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2026</v>
      </c>
      <c r="B27" s="116">
        <v>160</v>
      </c>
      <c r="C27" s="1763" t="s">
        <v>2027</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8.8">
      <c r="A28" s="2321" t="s">
        <v>2028</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9.4" thickBot="1">
      <c r="A29" s="2323" t="s">
        <v>2029</v>
      </c>
      <c r="B29" s="121"/>
      <c r="C29" s="1763" t="s">
        <v>2030</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8.8">
      <c r="A30" s="2324" t="s">
        <v>2031</v>
      </c>
      <c r="B30" s="723">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8.8">
      <c r="A31" s="2321" t="s">
        <v>2032</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9.4" thickBot="1">
      <c r="A32" s="2325" t="s">
        <v>2033</v>
      </c>
      <c r="B32" s="724"/>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4">
      <c r="A33" s="2318" t="s">
        <v>2034</v>
      </c>
      <c r="B33" s="725">
        <v>0.03</v>
      </c>
      <c r="C33" s="1762" t="s">
        <v>2035</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4">
      <c r="A34" s="2321" t="s">
        <v>2036</v>
      </c>
      <c r="B34" s="122"/>
      <c r="C34" s="1762" t="s">
        <v>2037</v>
      </c>
      <c r="D34" s="2274" t="s">
        <v>2038</v>
      </c>
      <c r="E34" s="731"/>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4">
      <c r="A35" s="2321" t="s">
        <v>2039</v>
      </c>
      <c r="B35" s="119">
        <v>200</v>
      </c>
      <c r="C35" s="1762" t="s">
        <v>2040</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2041</v>
      </c>
      <c r="B36" s="123">
        <v>1.4999999999999999E-2</v>
      </c>
      <c r="C36" s="1762" t="s">
        <v>2042</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2043</v>
      </c>
      <c r="B37" s="124">
        <v>0.02</v>
      </c>
      <c r="C37" s="1762" t="s">
        <v>2044</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2045</v>
      </c>
      <c r="B38" s="122">
        <v>0.02</v>
      </c>
      <c r="C38" s="1762" t="s">
        <v>2044</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2046</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2047</v>
      </c>
      <c r="B40" s="1299">
        <f ca="1">存贷款利率!G1</f>
        <v>4.7500000000000001E-2</v>
      </c>
      <c r="C40" s="1762" t="s">
        <v>2048</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2049</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2050</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2051</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2052</v>
      </c>
      <c r="B44" s="128">
        <v>7.0000000000000007E-2</v>
      </c>
      <c r="C44" s="1762" t="s">
        <v>2053</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2054</v>
      </c>
      <c r="B45" s="126">
        <v>0.03</v>
      </c>
      <c r="C45" s="1763" t="s">
        <v>2055</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2056</v>
      </c>
      <c r="B46" s="126">
        <v>0.02</v>
      </c>
      <c r="C46" s="1763" t="s">
        <v>2057</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2058</v>
      </c>
      <c r="B47" s="129"/>
      <c r="C47" s="1763" t="s">
        <v>2059</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2060</v>
      </c>
      <c r="B48" s="130">
        <v>0.03</v>
      </c>
      <c r="C48" s="1770" t="s">
        <v>2061</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2062</v>
      </c>
      <c r="B49" s="126">
        <v>5.0000000000000001E-4</v>
      </c>
      <c r="C49" s="1770" t="s">
        <v>2063</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2064</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2065</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2066</v>
      </c>
      <c r="B52" s="133">
        <f>SUMIF(A54:A63,B53,B54:B63)</f>
        <v>3</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2067</v>
      </c>
      <c r="B53" s="2332" t="s">
        <v>523</v>
      </c>
      <c r="C53" s="1426" t="s">
        <v>2068</v>
      </c>
      <c r="D53" s="2333" t="s">
        <v>2069</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2070</v>
      </c>
      <c r="B54" s="84"/>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2071</v>
      </c>
      <c r="B55" s="84"/>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2072</v>
      </c>
      <c r="B56" s="84"/>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2073</v>
      </c>
      <c r="B57" s="84"/>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2074</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2075</v>
      </c>
      <c r="B59" s="84"/>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2076</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2077</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2078</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2079</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121" t="s">
        <v>2080</v>
      </c>
      <c r="B1" s="3122"/>
      <c r="C1" s="3122"/>
      <c r="D1" s="3122"/>
      <c r="E1" s="3122"/>
      <c r="F1" s="3122"/>
      <c r="G1" s="312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2081</v>
      </c>
      <c r="D2" s="2362"/>
      <c r="E2" s="2363"/>
      <c r="F2" s="2282"/>
      <c r="G2" s="2361" t="s">
        <v>2082</v>
      </c>
      <c r="H2" s="2364"/>
      <c r="I2" s="2364"/>
      <c r="J2" s="2364"/>
      <c r="K2" s="2364"/>
      <c r="L2" s="2364"/>
      <c r="M2" s="2364"/>
      <c r="N2" s="2364"/>
      <c r="O2" s="2364"/>
      <c r="P2" s="2364"/>
      <c r="Q2" s="2364"/>
      <c r="R2" s="2364"/>
    </row>
    <row r="3" spans="1:29" ht="43.2">
      <c r="A3" s="415" t="s">
        <v>2083</v>
      </c>
      <c r="B3" s="1267" t="s">
        <v>2084</v>
      </c>
      <c r="C3" s="2366"/>
      <c r="D3" s="2367"/>
      <c r="E3" s="431" t="s">
        <v>2083</v>
      </c>
      <c r="F3" s="2368" t="s">
        <v>2085</v>
      </c>
      <c r="G3" s="2369" t="s">
        <v>2086</v>
      </c>
      <c r="H3" s="2364"/>
      <c r="I3" s="2364"/>
      <c r="J3" s="2364"/>
      <c r="K3" s="2364"/>
      <c r="L3" s="2364"/>
      <c r="M3" s="2364"/>
      <c r="N3" s="2364"/>
      <c r="O3" s="2364"/>
      <c r="P3" s="2364"/>
      <c r="Q3" s="2364"/>
      <c r="R3" s="2364"/>
    </row>
    <row r="4" spans="1:29" ht="43.2">
      <c r="A4" s="431"/>
      <c r="B4" s="1794" t="s">
        <v>2087</v>
      </c>
      <c r="C4" s="2982" t="s">
        <v>3145</v>
      </c>
      <c r="D4" s="2367"/>
      <c r="E4" s="2371"/>
      <c r="F4" s="42" t="s">
        <v>2088</v>
      </c>
      <c r="G4" s="2372" t="s">
        <v>2089</v>
      </c>
      <c r="H4" s="2364"/>
      <c r="I4" s="2364"/>
      <c r="J4" s="2364"/>
      <c r="K4" s="2364"/>
      <c r="L4" s="2364"/>
      <c r="M4" s="2364"/>
      <c r="N4" s="2364"/>
      <c r="O4" s="2364"/>
      <c r="P4" s="2364"/>
      <c r="Q4" s="2364"/>
      <c r="R4" s="2364"/>
    </row>
    <row r="5" spans="1:29" ht="28.8">
      <c r="A5" s="431"/>
      <c r="B5" s="1794" t="s">
        <v>2090</v>
      </c>
      <c r="C5" s="2370"/>
      <c r="D5" s="2367"/>
      <c r="E5" s="2371"/>
      <c r="F5" s="1794" t="s">
        <v>2091</v>
      </c>
      <c r="G5" s="2372" t="s">
        <v>2092</v>
      </c>
      <c r="H5" s="2364"/>
      <c r="I5" s="2364"/>
      <c r="J5" s="2364"/>
      <c r="K5" s="2364"/>
      <c r="L5" s="2364"/>
      <c r="M5" s="2364"/>
      <c r="N5" s="2364"/>
      <c r="O5" s="2364"/>
      <c r="P5" s="2364"/>
      <c r="Q5" s="2364"/>
      <c r="R5" s="2364"/>
    </row>
    <row r="6" spans="1:29" ht="28.8">
      <c r="A6" s="431"/>
      <c r="B6" s="1794" t="s">
        <v>2093</v>
      </c>
      <c r="C6" s="2983" t="s">
        <v>3105</v>
      </c>
      <c r="D6" s="2367"/>
      <c r="E6" s="2371"/>
      <c r="F6" s="1794" t="s">
        <v>2094</v>
      </c>
      <c r="G6" s="2372" t="s">
        <v>2095</v>
      </c>
      <c r="H6" s="2364"/>
      <c r="I6" s="2364"/>
      <c r="J6" s="2364"/>
      <c r="K6" s="2364"/>
      <c r="L6" s="2364"/>
      <c r="M6" s="2364"/>
      <c r="N6" s="2364"/>
      <c r="O6" s="2364"/>
      <c r="P6" s="2364"/>
      <c r="Q6" s="2364"/>
      <c r="R6" s="2364"/>
    </row>
    <row r="7" spans="1:29" ht="43.8" thickBot="1">
      <c r="A7" s="431"/>
      <c r="B7" s="1794" t="s">
        <v>2091</v>
      </c>
      <c r="C7" s="2983" t="s">
        <v>3105</v>
      </c>
      <c r="D7" s="2373"/>
      <c r="E7" s="2374"/>
      <c r="F7" s="2375" t="s">
        <v>2096</v>
      </c>
      <c r="G7" s="2376" t="s">
        <v>2097</v>
      </c>
      <c r="H7" s="2364"/>
      <c r="I7" s="2364"/>
      <c r="J7" s="2364"/>
      <c r="K7" s="2364"/>
      <c r="L7" s="2364"/>
      <c r="M7" s="2364"/>
      <c r="N7" s="2364"/>
      <c r="O7" s="2364"/>
      <c r="P7" s="2364"/>
      <c r="Q7" s="2364"/>
      <c r="R7" s="2364"/>
    </row>
    <row r="8" spans="1:29" ht="14.4">
      <c r="A8" s="431"/>
      <c r="B8" s="1794" t="s">
        <v>2094</v>
      </c>
      <c r="C8" s="2983" t="s">
        <v>3107</v>
      </c>
      <c r="D8" s="2373"/>
      <c r="E8" s="2373"/>
      <c r="F8" s="1132"/>
      <c r="G8" s="1132"/>
      <c r="H8" s="2364"/>
      <c r="I8" s="2364"/>
      <c r="J8" s="2364"/>
      <c r="K8" s="2364"/>
      <c r="L8" s="2364"/>
      <c r="M8" s="2364"/>
      <c r="N8" s="2364"/>
      <c r="O8" s="2364"/>
      <c r="P8" s="2364"/>
      <c r="Q8" s="2364"/>
      <c r="R8" s="2364"/>
    </row>
    <row r="9" spans="1:29" ht="14.4">
      <c r="A9" s="431"/>
      <c r="B9" s="1794" t="s">
        <v>2098</v>
      </c>
      <c r="C9" s="2982" t="s">
        <v>3109</v>
      </c>
      <c r="D9" s="2367"/>
      <c r="E9" s="2373"/>
      <c r="F9" s="1132"/>
      <c r="G9" s="1132"/>
      <c r="H9" s="2364"/>
      <c r="I9" s="2364"/>
      <c r="J9" s="2364"/>
      <c r="K9" s="2364"/>
      <c r="L9" s="2364"/>
      <c r="M9" s="2364"/>
      <c r="N9" s="2364"/>
      <c r="O9" s="2364"/>
      <c r="P9" s="2364"/>
      <c r="Q9" s="2364"/>
      <c r="R9" s="2364"/>
    </row>
    <row r="10" spans="1:29" s="117" customFormat="1" ht="1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2100</v>
      </c>
      <c r="B13" s="2384"/>
      <c r="C13" s="2384"/>
      <c r="D13" s="2391"/>
      <c r="E13" s="2384"/>
      <c r="F13" s="2384"/>
      <c r="G13" s="2384"/>
    </row>
    <row r="14" spans="1:29" ht="15" thickBot="1">
      <c r="A14" s="2395"/>
      <c r="B14" s="2396"/>
      <c r="C14" s="2397" t="s">
        <v>2101</v>
      </c>
      <c r="D14" s="2367"/>
      <c r="E14" s="2398"/>
      <c r="F14" s="2398"/>
      <c r="G14" s="2361" t="s">
        <v>2102</v>
      </c>
    </row>
    <row r="15" spans="1:29" ht="41.4">
      <c r="A15" s="68" t="s">
        <v>2103</v>
      </c>
      <c r="B15" s="1266" t="s">
        <v>2084</v>
      </c>
      <c r="C15" s="2399">
        <f>C3</f>
        <v>0</v>
      </c>
      <c r="D15" s="2367"/>
      <c r="E15" s="2400" t="s">
        <v>2104</v>
      </c>
      <c r="F15" s="1266" t="s">
        <v>2105</v>
      </c>
      <c r="G15" s="135" t="str">
        <f>G3</f>
        <v>估价对象位于XX开发区，园区建设成熟度XX，产业集聚程度XX</v>
      </c>
    </row>
    <row r="16" spans="1:29" ht="41.4">
      <c r="A16" s="645"/>
      <c r="B16" s="2401" t="s">
        <v>2087</v>
      </c>
      <c r="C16" s="2402" t="str">
        <f>C4</f>
        <v>一般</v>
      </c>
      <c r="D16" s="2367"/>
      <c r="E16" s="2403"/>
      <c r="F16" s="2404" t="s">
        <v>2088</v>
      </c>
      <c r="G16" s="136" t="str">
        <f>G4</f>
        <v>估价对象周边道路状况、公共交通通达情况、停车便捷程度，综合评价交通便捷度较好</v>
      </c>
    </row>
    <row r="17" spans="1:18" ht="14.4">
      <c r="A17" s="645"/>
      <c r="B17" s="2401" t="s">
        <v>2090</v>
      </c>
      <c r="C17" s="2402">
        <f>C5</f>
        <v>0</v>
      </c>
      <c r="D17" s="2373"/>
      <c r="E17" s="2403"/>
      <c r="F17" s="2404" t="s">
        <v>2106</v>
      </c>
      <c r="G17" s="1568"/>
    </row>
    <row r="18" spans="1:18" ht="41.4">
      <c r="A18" s="645"/>
      <c r="B18" s="2404" t="s">
        <v>2093</v>
      </c>
      <c r="C18" s="136" t="str">
        <f>C6</f>
        <v>较好</v>
      </c>
      <c r="D18" s="2373"/>
      <c r="E18" s="2403"/>
      <c r="F18" s="2404" t="s">
        <v>2096</v>
      </c>
      <c r="G18" s="136" t="str">
        <f>G7</f>
        <v>该园区内是否有污染型企业，绿化情况，卫生条件，整体环境状况判断</v>
      </c>
    </row>
    <row r="19" spans="1:18" ht="27.6">
      <c r="A19" s="645"/>
      <c r="B19" s="2404" t="s">
        <v>2107</v>
      </c>
      <c r="C19" s="1568"/>
      <c r="D19" s="2367"/>
      <c r="E19" s="2403"/>
      <c r="F19" s="1794" t="s">
        <v>2091</v>
      </c>
      <c r="G19" s="136" t="str">
        <f>G5</f>
        <v>估价对象所在区域公共配套设施齐备情况</v>
      </c>
    </row>
    <row r="20" spans="1:18" ht="27.6">
      <c r="A20" s="645"/>
      <c r="B20" s="2404" t="s">
        <v>2108</v>
      </c>
      <c r="C20" s="2402" t="str">
        <f>C9</f>
        <v>一般</v>
      </c>
      <c r="D20" s="2373"/>
      <c r="E20" s="2403"/>
      <c r="F20" s="1794" t="s">
        <v>2109</v>
      </c>
      <c r="G20" s="136" t="str">
        <f>G6</f>
        <v>估价对象所在区域基础设施水平</v>
      </c>
    </row>
    <row r="21" spans="1:18" ht="14.4">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4376.09</v>
      </c>
      <c r="C1" s="1741"/>
      <c r="D1" s="1741"/>
      <c r="E1" s="1741"/>
      <c r="F1" s="1741"/>
      <c r="G1" s="1739"/>
    </row>
    <row r="2" spans="1:10" ht="16.2">
      <c r="A2" s="1742" t="s">
        <v>1349</v>
      </c>
      <c r="B2" s="1742">
        <f>SUM(C14:C23)</f>
        <v>4009</v>
      </c>
      <c r="C2" s="1741"/>
      <c r="D2" s="1741"/>
      <c r="E2" s="1741"/>
      <c r="F2" s="1741"/>
      <c r="G2" s="1739"/>
    </row>
    <row r="3" spans="1:10" ht="15.6">
      <c r="A3" s="1742" t="s">
        <v>1358</v>
      </c>
      <c r="B3" s="1743">
        <f>项目基本情况!D3</f>
        <v>43734</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12548</v>
      </c>
      <c r="C5" s="1742">
        <f ca="1">ROUND(B5*10000/$B$1,0)</f>
        <v>28674</v>
      </c>
      <c r="D5" s="1742">
        <f ca="1">ROUND(B5*10000/$B$2,0)</f>
        <v>31300</v>
      </c>
      <c r="E5" s="1741"/>
      <c r="F5" s="1739"/>
      <c r="G5" s="1739"/>
    </row>
    <row r="6" spans="1:10" ht="15.6">
      <c r="A6" s="1742" t="s">
        <v>1352</v>
      </c>
      <c r="B6" s="1742">
        <f ca="1">SUM(G14:G23)</f>
        <v>12548</v>
      </c>
      <c r="C6" s="1742">
        <f ca="1">ROUND(B6*10000/$B$1,0)</f>
        <v>28674</v>
      </c>
      <c r="D6" s="1742">
        <f ca="1">ROUND(B6*10000/$B$2,0)</f>
        <v>31300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1340.42</v>
      </c>
      <c r="C14" s="1740">
        <f>结果表!C118</f>
        <v>1227.98</v>
      </c>
      <c r="D14" s="1740">
        <f ca="1">结果表!H118</f>
        <v>4573</v>
      </c>
      <c r="E14" s="1740">
        <f ca="1">ROUND(D14*10000/B14,0)</f>
        <v>34116</v>
      </c>
      <c r="F14" s="1740">
        <f ca="1">ROUND(D14*10000/C14,0)</f>
        <v>37240</v>
      </c>
      <c r="G14" s="1740">
        <f ca="1">结果表!D122</f>
        <v>4573</v>
      </c>
      <c r="H14" s="1740" t="str">
        <f>结果表!D124</f>
        <v>——</v>
      </c>
      <c r="I14" s="1740" t="str">
        <f>结果表!D126</f>
        <v>——</v>
      </c>
      <c r="J14" s="1739"/>
    </row>
    <row r="15" spans="1:10" ht="15.6">
      <c r="A15" s="1738" t="s">
        <v>1345</v>
      </c>
      <c r="B15" s="1745">
        <f>'结果表 (2)'!B118</f>
        <v>3035.67</v>
      </c>
      <c r="C15" s="1745">
        <f>'结果表 (2)'!C118</f>
        <v>2781.02</v>
      </c>
      <c r="D15" s="1745">
        <f ca="1">'结果表 (2)'!H118</f>
        <v>7975</v>
      </c>
      <c r="E15" s="1740">
        <f t="shared" ref="E15:E23" ca="1" si="0">ROUND(D15*10000/B15,0)</f>
        <v>26271</v>
      </c>
      <c r="F15" s="1740">
        <f t="shared" ref="F15:F23" ca="1" si="1">ROUND(D15*10000/C15,0)</f>
        <v>28677</v>
      </c>
      <c r="G15" s="1746">
        <f ca="1">D15</f>
        <v>7975</v>
      </c>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90" zoomScaleNormal="100" zoomScaleSheetLayoutView="90" zoomScalePageLayoutView="80" workbookViewId="0">
      <selection activeCell="H44" sqref="H44"/>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3068</v>
      </c>
      <c r="D1" s="2415"/>
      <c r="E1" s="2415"/>
      <c r="F1" s="2417" t="s">
        <v>2114</v>
      </c>
      <c r="G1" s="2066" t="s">
        <v>3086</v>
      </c>
      <c r="H1" s="2418" t="str">
        <f>IF(G1="现房","——","估价对象范围")</f>
        <v>——</v>
      </c>
      <c r="I1" s="2419" t="s">
        <v>3098</v>
      </c>
    </row>
    <row r="2" spans="1:12" ht="21.75" customHeight="1" thickBot="1">
      <c r="A2" s="3195" t="str">
        <f>项目基本情况!S2</f>
        <v>北京市丰台区万兴路1号院3、4号楼商业用房房地产房地产</v>
      </c>
      <c r="B2" s="3196"/>
      <c r="C2" s="3196"/>
      <c r="D2" s="3196"/>
      <c r="E2" s="3196"/>
      <c r="F2" s="3196"/>
      <c r="G2" s="3196"/>
      <c r="H2" s="3196"/>
      <c r="I2" s="3197"/>
    </row>
    <row r="3" spans="1:12" ht="13.2">
      <c r="A3" s="3198" t="s">
        <v>2115</v>
      </c>
      <c r="B3" s="3199"/>
      <c r="C3" s="3199"/>
      <c r="D3" s="3199"/>
      <c r="E3" s="3199"/>
      <c r="F3" s="3199"/>
      <c r="G3" s="3199"/>
      <c r="H3" s="3199"/>
      <c r="I3" s="3199"/>
    </row>
    <row r="4" spans="1:12" ht="14.4">
      <c r="A4" s="2422" t="s">
        <v>2116</v>
      </c>
      <c r="B4" s="2423" t="s">
        <v>2117</v>
      </c>
      <c r="C4" s="2424" t="s">
        <v>3174</v>
      </c>
      <c r="D4" s="2424" t="s">
        <v>3110</v>
      </c>
      <c r="E4" s="3179" t="s">
        <v>2118</v>
      </c>
      <c r="F4" s="3192"/>
      <c r="G4" s="3192"/>
      <c r="H4" s="3192"/>
      <c r="I4" s="3180"/>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3.2">
      <c r="A5" s="3170" t="s">
        <v>2119</v>
      </c>
      <c r="B5" s="3096">
        <v>25</v>
      </c>
      <c r="C5" s="3200"/>
      <c r="D5" s="3188"/>
      <c r="E5" s="140" t="s">
        <v>2120</v>
      </c>
      <c r="F5" s="2426"/>
      <c r="G5" s="2426"/>
      <c r="H5" s="2426"/>
      <c r="I5" s="1830"/>
    </row>
    <row r="6" spans="1:12" ht="13.2">
      <c r="A6" s="3170"/>
      <c r="B6" s="3096"/>
      <c r="C6" s="3202"/>
      <c r="D6" s="3188"/>
      <c r="E6" s="140" t="s">
        <v>2121</v>
      </c>
      <c r="F6" s="2426"/>
      <c r="G6" s="2426"/>
      <c r="H6" s="2426"/>
      <c r="I6" s="1830"/>
    </row>
    <row r="7" spans="1:12" ht="13.2">
      <c r="A7" s="3170"/>
      <c r="B7" s="3096"/>
      <c r="C7" s="3201"/>
      <c r="D7" s="3188"/>
      <c r="E7" s="140" t="s">
        <v>2122</v>
      </c>
      <c r="F7" s="2426"/>
      <c r="G7" s="2426"/>
      <c r="H7" s="2426"/>
      <c r="I7" s="1830"/>
    </row>
    <row r="8" spans="1:12" ht="13.2">
      <c r="A8" s="3170" t="s">
        <v>2123</v>
      </c>
      <c r="B8" s="3096">
        <v>15</v>
      </c>
      <c r="C8" s="3200"/>
      <c r="D8" s="3188"/>
      <c r="E8" s="140" t="s">
        <v>2124</v>
      </c>
      <c r="F8" s="2426"/>
      <c r="G8" s="2426"/>
      <c r="H8" s="2426"/>
      <c r="I8" s="1830"/>
    </row>
    <row r="9" spans="1:12" ht="13.2">
      <c r="A9" s="3170"/>
      <c r="B9" s="3096"/>
      <c r="C9" s="3201"/>
      <c r="D9" s="3188"/>
      <c r="E9" s="140" t="s">
        <v>2125</v>
      </c>
      <c r="F9" s="2426"/>
      <c r="G9" s="2426"/>
      <c r="H9" s="2426"/>
      <c r="I9" s="1830"/>
    </row>
    <row r="10" spans="1:12" ht="13.2">
      <c r="A10" s="3170" t="s">
        <v>2126</v>
      </c>
      <c r="B10" s="3096">
        <v>15</v>
      </c>
      <c r="C10" s="3200"/>
      <c r="D10" s="3188"/>
      <c r="E10" s="140" t="s">
        <v>2127</v>
      </c>
      <c r="F10" s="2426"/>
      <c r="G10" s="2426"/>
      <c r="H10" s="2426"/>
      <c r="I10" s="1830"/>
    </row>
    <row r="11" spans="1:12" ht="13.2">
      <c r="A11" s="3170"/>
      <c r="B11" s="3096"/>
      <c r="C11" s="3201"/>
      <c r="D11" s="3188"/>
      <c r="E11" s="140" t="s">
        <v>2128</v>
      </c>
      <c r="F11" s="2426"/>
      <c r="G11" s="2426"/>
      <c r="H11" s="2426"/>
      <c r="I11" s="1830"/>
    </row>
    <row r="12" spans="1:12" ht="13.2">
      <c r="A12" s="3170" t="s">
        <v>2129</v>
      </c>
      <c r="B12" s="3096">
        <v>15</v>
      </c>
      <c r="C12" s="3200"/>
      <c r="D12" s="3188"/>
      <c r="E12" s="140" t="s">
        <v>2130</v>
      </c>
      <c r="F12" s="2426"/>
      <c r="G12" s="2426"/>
      <c r="H12" s="2426"/>
      <c r="I12" s="1830"/>
    </row>
    <row r="13" spans="1:12" ht="13.2">
      <c r="A13" s="3170"/>
      <c r="B13" s="3096"/>
      <c r="C13" s="3201"/>
      <c r="D13" s="3188"/>
      <c r="E13" s="140" t="s">
        <v>2131</v>
      </c>
      <c r="F13" s="2426"/>
      <c r="G13" s="2426"/>
      <c r="H13" s="2426"/>
      <c r="I13" s="1830"/>
    </row>
    <row r="14" spans="1:12" ht="13.2">
      <c r="A14" s="3170" t="s">
        <v>2132</v>
      </c>
      <c r="B14" s="3096">
        <v>30</v>
      </c>
      <c r="C14" s="3200">
        <v>55</v>
      </c>
      <c r="D14" s="3188">
        <v>45</v>
      </c>
      <c r="E14" s="140" t="s">
        <v>2133</v>
      </c>
      <c r="F14" s="2426"/>
      <c r="G14" s="2426"/>
      <c r="H14" s="2426"/>
      <c r="I14" s="1830"/>
    </row>
    <row r="15" spans="1:12" ht="13.2">
      <c r="A15" s="3170"/>
      <c r="B15" s="3096"/>
      <c r="C15" s="3202"/>
      <c r="D15" s="3188"/>
      <c r="E15" s="140" t="s">
        <v>2134</v>
      </c>
      <c r="F15" s="2426"/>
      <c r="G15" s="2426"/>
      <c r="H15" s="2426"/>
      <c r="I15" s="1830"/>
    </row>
    <row r="16" spans="1:12" ht="13.2">
      <c r="A16" s="3170"/>
      <c r="B16" s="3096"/>
      <c r="C16" s="3201"/>
      <c r="D16" s="3188"/>
      <c r="E16" s="140" t="s">
        <v>2135</v>
      </c>
      <c r="F16" s="2426"/>
      <c r="G16" s="2426"/>
      <c r="H16" s="2426"/>
      <c r="I16" s="1830"/>
    </row>
    <row r="17" spans="1:35" ht="14.4">
      <c r="A17" s="2427" t="s">
        <v>2136</v>
      </c>
      <c r="B17" s="64"/>
      <c r="C17" s="141">
        <f>SUM(C5:C16)</f>
        <v>55</v>
      </c>
      <c r="D17" s="141">
        <f>SUM(D5:D16)</f>
        <v>45</v>
      </c>
      <c r="E17" s="138"/>
      <c r="F17" s="138"/>
      <c r="G17" s="138"/>
      <c r="H17" s="138"/>
      <c r="I17" s="138"/>
      <c r="K17" s="2425"/>
      <c r="L17" s="2428" t="s">
        <v>2137</v>
      </c>
      <c r="M17" s="2428" t="s">
        <v>2138</v>
      </c>
    </row>
    <row r="18" spans="1:35" ht="15" thickBot="1">
      <c r="A18" s="2429" t="s">
        <v>2139</v>
      </c>
      <c r="B18" s="2430"/>
      <c r="C18" s="142">
        <f>ROUND(C17/SUM(C17:D17),2)</f>
        <v>0.55000000000000004</v>
      </c>
      <c r="D18" s="142">
        <f>1-C18</f>
        <v>0.44999999999999996</v>
      </c>
      <c r="E18" s="138"/>
      <c r="F18" s="138"/>
      <c r="G18" s="138"/>
      <c r="H18" s="138"/>
      <c r="I18" s="138"/>
      <c r="K18" s="2425" t="s">
        <v>2140</v>
      </c>
      <c r="L18" s="2425">
        <f>IF(C1="",'数据-汇总表'!E3,SUMIF(项目类型,C1,'数据-汇总表'!E17:E26)+SUMIF(项目类型,C1,'数据-汇总表'!I17:I26))</f>
        <v>1340.42</v>
      </c>
      <c r="M18" s="2425">
        <f>IF(C1="",'数据-汇总表'!E3,SUMIF(项目类型,C1,'数据-汇总表'!E17:E26))</f>
        <v>1340.42</v>
      </c>
    </row>
    <row r="19" spans="1:35" ht="14.4">
      <c r="A19" s="2431" t="s">
        <v>2141</v>
      </c>
      <c r="B19" s="2432" t="s">
        <v>2142</v>
      </c>
      <c r="C19" s="143">
        <f ca="1">SUMIF(INDIRECT("'"&amp;C4&amp;"'"&amp;"!A:A"),结果表!B19,INDIRECT("'"&amp;C4&amp;"'"&amp;"!B:B"))</f>
        <v>3868</v>
      </c>
      <c r="D19" s="144">
        <f ca="1">SUMIF(INDIRECT("'"&amp;D4&amp;"'"&amp;"!A:A"),结果表!B19,INDIRECT("'"&amp;D4&amp;"'"&amp;"!B:B"))</f>
        <v>5434</v>
      </c>
      <c r="E19" s="2431" t="s">
        <v>2143</v>
      </c>
      <c r="F19" s="2432" t="s">
        <v>2142</v>
      </c>
      <c r="G19" s="145">
        <f ca="1">ROUND(C19*$C$18+D19*$D$18,0)</f>
        <v>4573</v>
      </c>
      <c r="H19" s="2433" t="s">
        <v>2144</v>
      </c>
      <c r="I19" s="138"/>
      <c r="K19" s="2425" t="s">
        <v>2145</v>
      </c>
      <c r="L19" s="2425">
        <f>IF(C1="",'数据-汇总表'!D3,SUMIF(项目类型,C1,'数据-汇总表'!D17:D26)+SUMIF(项目类型,C1,'数据-汇总表'!H17:H27))</f>
        <v>1227.98</v>
      </c>
      <c r="M19" s="2425">
        <f>IF(C1="",'数据-汇总表'!D3,SUMIF(项目类型,C1,'数据-汇总表'!D17:D26))</f>
        <v>1227.98</v>
      </c>
    </row>
    <row r="20" spans="1:35" ht="14.4">
      <c r="A20" s="2434"/>
      <c r="B20" s="1246" t="s">
        <v>2146</v>
      </c>
      <c r="C20" s="146">
        <f ca="1">SUMIF(INDIRECT("'"&amp;C4&amp;"'"&amp;"!A:A"),结果表!B20,INDIRECT("'"&amp;C4&amp;"'"&amp;"!B:B"))</f>
        <v>28857</v>
      </c>
      <c r="D20" s="147">
        <f ca="1">SUMIF(INDIRECT("'"&amp;D4&amp;"'"&amp;"!A:A"),结果表!B20,INDIRECT("'"&amp;D4&amp;"'"&amp;"!B:B"))</f>
        <v>40537</v>
      </c>
      <c r="E20" s="2434"/>
      <c r="F20" s="1246" t="s">
        <v>2146</v>
      </c>
      <c r="G20" s="148">
        <f ca="1">ROUND(C20*$C$18+D20*$D$18,0)</f>
        <v>34113</v>
      </c>
      <c r="H20" s="979" t="s">
        <v>2147</v>
      </c>
      <c r="I20" s="138"/>
    </row>
    <row r="21" spans="1:35" ht="15" customHeight="1" thickBot="1">
      <c r="A21" s="999"/>
      <c r="B21" s="2435" t="s">
        <v>2148</v>
      </c>
      <c r="C21" s="788">
        <f ca="1">ROUND(C19*10000/L19,0)</f>
        <v>31499</v>
      </c>
      <c r="D21" s="789">
        <f ca="1">ROUND(D19*10000/L19,0)</f>
        <v>44252</v>
      </c>
      <c r="E21" s="999"/>
      <c r="F21" s="2435" t="s">
        <v>2148</v>
      </c>
      <c r="G21" s="149">
        <f ca="1">ROUND(G19*10000/L19,0)</f>
        <v>37240</v>
      </c>
      <c r="H21" s="2436" t="s">
        <v>2147</v>
      </c>
      <c r="I21" s="138"/>
    </row>
    <row r="22" spans="1:35" ht="15" thickBot="1">
      <c r="A22" s="2277" t="s">
        <v>2149</v>
      </c>
      <c r="B22" s="2437"/>
      <c r="C22" s="2438"/>
      <c r="D22" s="790">
        <f ca="1">IF(C19&lt;D19,D19/C19-1,C19/D19-1)</f>
        <v>0.40486039296794218</v>
      </c>
      <c r="E22" s="138"/>
      <c r="F22" s="138"/>
      <c r="G22" s="138"/>
      <c r="H22" s="138"/>
      <c r="I22" s="138"/>
    </row>
    <row r="23" spans="1:35" ht="13.8" thickBot="1">
      <c r="A23" s="2415"/>
      <c r="B23" s="2415"/>
      <c r="C23" s="2415"/>
      <c r="D23" s="2415"/>
      <c r="E23" s="138"/>
      <c r="F23" s="138"/>
      <c r="G23" s="138"/>
      <c r="H23" s="138"/>
      <c r="I23" s="138"/>
      <c r="J23" s="794">
        <f ca="1">ROUND(G19/B118*10000,0)</f>
        <v>34116</v>
      </c>
    </row>
    <row r="24" spans="1:35" ht="14.4">
      <c r="A24" s="3209" t="s">
        <v>2150</v>
      </c>
      <c r="B24" s="2432" t="s">
        <v>2142</v>
      </c>
      <c r="C24" s="145">
        <f>IF(B30=0,0,D30)</f>
        <v>0</v>
      </c>
      <c r="D24" s="2439"/>
      <c r="E24" s="138"/>
      <c r="F24" s="138"/>
      <c r="G24" s="138"/>
      <c r="H24" s="138"/>
      <c r="I24" s="138"/>
      <c r="J24" s="794">
        <f ca="1">ROUND(D19/B118*10000,0)</f>
        <v>40540</v>
      </c>
    </row>
    <row r="25" spans="1:35" ht="14.4">
      <c r="A25" s="3210"/>
      <c r="B25" s="1246"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2155</v>
      </c>
      <c r="B30" s="151"/>
      <c r="C30" s="151"/>
      <c r="D30" s="151"/>
      <c r="E30" s="2914" t="s">
        <v>3030</v>
      </c>
      <c r="F30" s="138"/>
      <c r="G30" s="138"/>
      <c r="H30" s="138"/>
      <c r="I30" s="138"/>
    </row>
    <row r="31" spans="1:35" s="2443" customFormat="1" ht="14.4"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3">
        <f ca="1">IF(D32="总价",G19-C24,G20-C25)</f>
        <v>4573</v>
      </c>
      <c r="D32" s="2446" t="s">
        <v>2157</v>
      </c>
      <c r="E32" s="138"/>
      <c r="F32" s="138"/>
      <c r="G32" s="138"/>
      <c r="H32" s="138"/>
      <c r="I32" s="138"/>
    </row>
    <row r="33" spans="1:15" ht="14.4">
      <c r="A33" s="956" t="s">
        <v>2158</v>
      </c>
      <c r="B33" s="2447"/>
      <c r="C33" s="2448" t="s">
        <v>3208</v>
      </c>
      <c r="D33" s="2449" t="s">
        <v>3176</v>
      </c>
      <c r="E33" s="2450" t="s">
        <v>2159</v>
      </c>
      <c r="F33" s="2451" t="str">
        <f>IF(D32="楼面单价","取值（单价）","取值（总价）")</f>
        <v>取值（总价）</v>
      </c>
      <c r="G33" s="138"/>
      <c r="H33" s="138"/>
      <c r="I33" s="138"/>
    </row>
    <row r="34" spans="1:15" ht="14.4">
      <c r="A34" s="2452"/>
      <c r="B34" s="2453" t="s">
        <v>2160</v>
      </c>
      <c r="C34" s="157">
        <f ca="1">IF(C33="自定义",F34,C32-C35)</f>
        <v>4573</v>
      </c>
      <c r="D34" s="1054">
        <f ca="1">IF(C33="自定义",ROUND(C34/C32,3),IF(C33="收益比率",SUMIF(INDIRECT("'"&amp;D33&amp;"'"&amp;"!b:b"),"土地收益比率",INDIRECT("'"&amp;D33&amp;"'"&amp;"!c:c")),SUMIF(INDIRECT("'"&amp;D33&amp;"'"&amp;"!b:b"),"土地成本比率",INDIRECT("'"&amp;D33&amp;"'"&amp;"!c:c"))))</f>
        <v>0</v>
      </c>
      <c r="E34" s="2454" t="s">
        <v>2161</v>
      </c>
      <c r="F34" s="1735"/>
      <c r="G34" s="138"/>
      <c r="H34" s="138"/>
      <c r="I34" s="138"/>
    </row>
    <row r="35" spans="1:15" ht="15" thickBot="1">
      <c r="A35" s="2455"/>
      <c r="B35" s="2456" t="s">
        <v>2162</v>
      </c>
      <c r="C35" s="1440">
        <f ca="1">IF(C33="自定义",F35,ROUND(C32*D35,0))</f>
        <v>0</v>
      </c>
      <c r="D35" s="1441">
        <f ca="1">IF(C33="自定义",ROUND(C35/C32,3),IF(C33="收益比率",SUMIF(INDIRECT("'"&amp;D33&amp;"'"&amp;"!b:b"),"建筑物收益比率",INDIRECT("'"&amp;D33&amp;"'"&amp;"!c:c")),SUMIF(INDIRECT("'"&amp;D33&amp;"'"&amp;"!b:b"),"建筑物成本比率",INDIRECT("'"&amp;D33&amp;"'"&amp;"!c:c"))))</f>
        <v>0</v>
      </c>
      <c r="E35" s="2457" t="s">
        <v>2163</v>
      </c>
      <c r="F35" s="163"/>
      <c r="G35" s="138"/>
      <c r="H35" s="138"/>
      <c r="I35" s="138"/>
    </row>
    <row r="36" spans="1:15" ht="15" thickBot="1">
      <c r="A36" s="3189" t="s">
        <v>2164</v>
      </c>
      <c r="B36" s="2458" t="s">
        <v>2165</v>
      </c>
      <c r="C36" s="154"/>
      <c r="D36" s="2459"/>
      <c r="E36" s="2460"/>
      <c r="F36" s="2461"/>
      <c r="G36" s="138"/>
      <c r="H36" s="138"/>
      <c r="I36" s="138"/>
    </row>
    <row r="37" spans="1:15" ht="15" thickBot="1">
      <c r="A37" s="3190"/>
      <c r="B37" s="2263" t="s">
        <v>2166</v>
      </c>
      <c r="C37" s="156"/>
      <c r="D37" s="1391"/>
      <c r="E37" s="1391"/>
      <c r="F37" s="2461"/>
      <c r="G37" s="138"/>
      <c r="H37" s="138"/>
      <c r="I37" s="138"/>
    </row>
    <row r="38" spans="1:15" ht="15" thickBot="1">
      <c r="A38" s="3191"/>
      <c r="B38" s="2462" t="s">
        <v>2167</v>
      </c>
      <c r="C38" s="726"/>
      <c r="D38" s="2463" t="s">
        <v>2168</v>
      </c>
      <c r="E38" s="1391"/>
      <c r="F38" s="2461"/>
      <c r="G38" s="138"/>
      <c r="H38" s="138"/>
      <c r="I38" s="138"/>
    </row>
    <row r="39" spans="1:15" ht="14.4">
      <c r="A39" s="2434" t="s">
        <v>2169</v>
      </c>
      <c r="B39" s="2464" t="s">
        <v>2170</v>
      </c>
      <c r="C39" s="2465" t="s">
        <v>2171</v>
      </c>
      <c r="D39" s="2465" t="s">
        <v>2172</v>
      </c>
      <c r="E39" s="2466" t="s">
        <v>2173</v>
      </c>
      <c r="F39" s="2461"/>
      <c r="G39" s="138"/>
      <c r="H39" s="138"/>
      <c r="I39" s="138"/>
    </row>
    <row r="40" spans="1:15" ht="13.8">
      <c r="A40" s="2467" t="s">
        <v>2174</v>
      </c>
      <c r="B40" s="158"/>
      <c r="C40" s="159"/>
      <c r="D40" s="159"/>
      <c r="E40" s="160"/>
      <c r="F40" s="2461"/>
      <c r="G40" s="138"/>
      <c r="H40" s="138"/>
      <c r="I40" s="138"/>
    </row>
    <row r="41" spans="1:15" ht="13.8">
      <c r="A41" s="2467" t="s">
        <v>2175</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206" t="s">
        <v>2178</v>
      </c>
      <c r="B45" s="3207"/>
      <c r="C45" s="3208"/>
      <c r="D45" s="164">
        <f ca="1">ROUND(H101*F45,0)</f>
        <v>4573</v>
      </c>
      <c r="E45" s="165" t="s">
        <v>2179</v>
      </c>
      <c r="F45" s="166">
        <v>1</v>
      </c>
      <c r="G45" s="167" t="s">
        <v>2180</v>
      </c>
      <c r="H45" s="138"/>
      <c r="I45" s="138"/>
      <c r="J45" s="3125" t="s">
        <v>2181</v>
      </c>
      <c r="K45" s="3125"/>
      <c r="L45" s="3125"/>
      <c r="M45" s="3125"/>
      <c r="N45" s="3125"/>
      <c r="O45" s="3125"/>
    </row>
    <row r="46" spans="1:15" ht="14.25" customHeight="1">
      <c r="A46" s="3203" t="s">
        <v>2182</v>
      </c>
      <c r="B46" s="3204"/>
      <c r="C46" s="3204"/>
      <c r="D46" s="3204"/>
      <c r="E46" s="3204"/>
      <c r="F46" s="3204"/>
      <c r="G46" s="3205"/>
      <c r="H46" s="2477"/>
      <c r="I46" s="168"/>
      <c r="J46" s="1808">
        <v>1</v>
      </c>
      <c r="K46" s="3125" t="s">
        <v>2183</v>
      </c>
      <c r="L46" s="3125"/>
      <c r="M46" s="3126"/>
      <c r="N46" s="3126"/>
      <c r="O46" s="3126"/>
    </row>
    <row r="47" spans="1:15" ht="12" customHeight="1">
      <c r="A47" s="169" t="s">
        <v>2184</v>
      </c>
      <c r="B47" s="170"/>
      <c r="C47" s="171"/>
      <c r="D47" s="172" t="s">
        <v>2185</v>
      </c>
      <c r="E47" s="24" t="s">
        <v>2186</v>
      </c>
      <c r="F47" s="173" t="s">
        <v>2187</v>
      </c>
      <c r="G47" s="174" t="s">
        <v>2188</v>
      </c>
      <c r="H47" s="2477"/>
      <c r="I47" s="168"/>
      <c r="J47" s="1808">
        <v>2</v>
      </c>
      <c r="K47" s="3125" t="s">
        <v>2189</v>
      </c>
      <c r="L47" s="3125"/>
      <c r="M47" s="3127">
        <f>'数据-取费表'!B2</f>
        <v>43734</v>
      </c>
      <c r="N47" s="3127"/>
      <c r="O47" s="3127"/>
    </row>
    <row r="48" spans="1:15" ht="26.4">
      <c r="A48" s="3193" t="s">
        <v>2190</v>
      </c>
      <c r="B48" s="3194"/>
      <c r="C48" s="3194"/>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125" t="s">
        <v>2193</v>
      </c>
      <c r="L48" s="3125"/>
      <c r="M48" s="3128">
        <f ca="1">H101</f>
        <v>4573</v>
      </c>
      <c r="N48" s="3128"/>
      <c r="O48" s="3128"/>
    </row>
    <row r="49" spans="1:35" ht="25.5" customHeight="1">
      <c r="A49" s="176" t="s">
        <v>2194</v>
      </c>
      <c r="B49" s="3173" t="s">
        <v>2195</v>
      </c>
      <c r="C49" s="3173"/>
      <c r="D49" s="177">
        <v>0</v>
      </c>
      <c r="E49" s="23" t="s">
        <v>2196</v>
      </c>
      <c r="F49" s="28" t="s">
        <v>34</v>
      </c>
      <c r="G49" s="3154"/>
      <c r="H49" s="138"/>
      <c r="I49" s="2480"/>
      <c r="J49" s="1808">
        <v>4</v>
      </c>
      <c r="K49" s="3125" t="str">
        <f>IF(项目基本情况!E8="房地产抵押价值","房地产抵押价值","抵押担保权已注销时的房地产抵押价值")</f>
        <v>房地产抵押价值</v>
      </c>
      <c r="L49" s="3125"/>
      <c r="M49" s="3128">
        <f ca="1">IF(项目基本情况!E8="房地产抵押价值",H107,H109)</f>
        <v>4573</v>
      </c>
      <c r="N49" s="3128"/>
      <c r="O49" s="3128"/>
    </row>
    <row r="50" spans="1:35" ht="25.5" customHeight="1">
      <c r="A50" s="178"/>
      <c r="B50" s="3173" t="s">
        <v>2197</v>
      </c>
      <c r="C50" s="3173"/>
      <c r="D50" s="179"/>
      <c r="E50" s="31"/>
      <c r="F50" s="180"/>
      <c r="G50" s="3155"/>
      <c r="H50" s="138"/>
      <c r="I50" s="2480"/>
      <c r="J50" s="3125" t="s">
        <v>2198</v>
      </c>
      <c r="K50" s="3125"/>
      <c r="L50" s="3125"/>
      <c r="M50" s="3125"/>
      <c r="N50" s="3125"/>
      <c r="O50" s="3125"/>
    </row>
    <row r="51" spans="1:35" ht="12" customHeight="1">
      <c r="A51" s="181"/>
      <c r="B51" s="3173" t="s">
        <v>2199</v>
      </c>
      <c r="C51" s="3173"/>
      <c r="D51" s="182"/>
      <c r="E51" s="30"/>
      <c r="F51" s="180"/>
      <c r="G51" s="3156"/>
      <c r="H51" s="138"/>
      <c r="I51" s="2480"/>
      <c r="J51" s="2481" t="s">
        <v>2200</v>
      </c>
      <c r="K51" s="3125" t="s">
        <v>2201</v>
      </c>
      <c r="L51" s="3125"/>
      <c r="M51" s="2481" t="s">
        <v>2202</v>
      </c>
      <c r="N51" s="2481" t="s">
        <v>2203</v>
      </c>
      <c r="O51" s="2481" t="s">
        <v>2204</v>
      </c>
    </row>
    <row r="52" spans="1:35" ht="24" customHeight="1">
      <c r="A52" s="183" t="s">
        <v>2205</v>
      </c>
      <c r="B52" s="3173" t="s">
        <v>2206</v>
      </c>
      <c r="C52" s="3173"/>
      <c r="D52" s="182">
        <f ca="1">ROUND(D45*'数据-取费表'!B41/(1+'数据-取费表'!C42),0)</f>
        <v>244</v>
      </c>
      <c r="E52" s="11" t="s">
        <v>2207</v>
      </c>
      <c r="F52" s="184">
        <f>'数据-取费表'!B41</f>
        <v>5.6000000000000001E-2</v>
      </c>
      <c r="G52" s="2482"/>
      <c r="H52" s="138"/>
      <c r="I52" s="2480"/>
      <c r="J52" s="1808">
        <v>1</v>
      </c>
      <c r="K52" s="3148" t="s">
        <v>2208</v>
      </c>
      <c r="L52" s="3148"/>
      <c r="M52" s="1750">
        <f>D48</f>
        <v>0</v>
      </c>
      <c r="N52" s="1808" t="str">
        <f>E48</f>
        <v>销售额×税（费）率</v>
      </c>
      <c r="O52" s="1751" t="str">
        <f>F48</f>
        <v>免征</v>
      </c>
    </row>
    <row r="53" spans="1:35" ht="12" customHeight="1">
      <c r="A53" s="183" t="s">
        <v>2209</v>
      </c>
      <c r="B53" s="3174" t="s">
        <v>2210</v>
      </c>
      <c r="C53" s="3175"/>
      <c r="D53" s="182">
        <f ca="1">ROUND(D45*'数据-取费表'!B41/(1+'数据-取费表'!C42),0)</f>
        <v>244</v>
      </c>
      <c r="E53" s="11" t="s">
        <v>2207</v>
      </c>
      <c r="F53" s="184">
        <f>'数据-取费表'!B41</f>
        <v>5.6000000000000001E-2</v>
      </c>
      <c r="G53" s="2482"/>
      <c r="H53" s="138"/>
      <c r="I53" s="2480"/>
      <c r="J53" s="1808">
        <v>2</v>
      </c>
      <c r="K53" s="3148" t="s">
        <v>2211</v>
      </c>
      <c r="L53" s="3148"/>
      <c r="M53" s="1750">
        <f t="shared" ref="M53:O54" ca="1" si="0">D55</f>
        <v>2</v>
      </c>
      <c r="N53" s="1808" t="str">
        <f t="shared" si="0"/>
        <v>销售额×税（费）率</v>
      </c>
      <c r="O53" s="1751">
        <f t="shared" si="0"/>
        <v>5.0000000000000001E-4</v>
      </c>
    </row>
    <row r="54" spans="1:35" ht="12" customHeight="1">
      <c r="A54" s="183" t="s">
        <v>2212</v>
      </c>
      <c r="B54" s="3174" t="s">
        <v>2213</v>
      </c>
      <c r="C54" s="3175"/>
      <c r="D54" s="182">
        <f ca="1">C68</f>
        <v>244</v>
      </c>
      <c r="E54" s="30" t="s">
        <v>2214</v>
      </c>
      <c r="F54" s="184">
        <f>'数据-取费表'!B41</f>
        <v>5.6000000000000001E-2</v>
      </c>
      <c r="G54" s="2482"/>
      <c r="H54" s="2483"/>
      <c r="I54" s="2480"/>
      <c r="J54" s="1808">
        <v>3</v>
      </c>
      <c r="K54" s="3148" t="s">
        <v>2215</v>
      </c>
      <c r="L54" s="3148"/>
      <c r="M54" s="1750">
        <f t="shared" ca="1" si="0"/>
        <v>2588</v>
      </c>
      <c r="N54" s="1808" t="str">
        <f t="shared" si="0"/>
        <v>增值额×税（费）率</v>
      </c>
      <c r="O54" s="1752" t="str">
        <f t="shared" si="0"/>
        <v>——</v>
      </c>
    </row>
    <row r="55" spans="1:35" ht="24" customHeight="1">
      <c r="A55" s="3212" t="s">
        <v>2216</v>
      </c>
      <c r="B55" s="3194"/>
      <c r="C55" s="3194"/>
      <c r="D55" s="185">
        <f ca="1">IF(H55="个人住宅",0,ROUND(D45*I55,0))</f>
        <v>2</v>
      </c>
      <c r="E55" s="11" t="s">
        <v>2217</v>
      </c>
      <c r="F55" s="184">
        <f>IF(H55="正常",I55,"免征")</f>
        <v>5.0000000000000001E-4</v>
      </c>
      <c r="G55" s="2482"/>
      <c r="H55" s="2479" t="s">
        <v>2218</v>
      </c>
      <c r="I55" s="186">
        <f>'数据-取费表'!B49</f>
        <v>5.0000000000000001E-4</v>
      </c>
      <c r="J55" s="1808" t="str">
        <f>IF(H59="非个人房产","",4)</f>
        <v/>
      </c>
      <c r="K55" s="3148" t="str">
        <f>IF(H59="非个人房产","——","个人所得税")</f>
        <v>——</v>
      </c>
      <c r="L55" s="3148"/>
      <c r="M55" s="1753" t="str">
        <f>D59</f>
        <v>——</v>
      </c>
      <c r="N55" s="1806" t="str">
        <f>E59</f>
        <v>——</v>
      </c>
      <c r="O55" s="1754" t="str">
        <f>F59</f>
        <v>——</v>
      </c>
    </row>
    <row r="56" spans="1:35" ht="25.2">
      <c r="A56" s="3212" t="s">
        <v>2219</v>
      </c>
      <c r="B56" s="3194"/>
      <c r="C56" s="3194"/>
      <c r="D56" s="185">
        <f ca="1">IF(H56="个人住宅",D57,D58)</f>
        <v>2588</v>
      </c>
      <c r="E56" s="11" t="s">
        <v>2220</v>
      </c>
      <c r="F56" s="184" t="str">
        <f>IF(H56="正常",F58,"免征")</f>
        <v>——</v>
      </c>
      <c r="G56" s="2484" t="s">
        <v>2221</v>
      </c>
      <c r="H56" s="2485" t="s">
        <v>2218</v>
      </c>
      <c r="I56" s="2486"/>
      <c r="J56" s="1808" t="str">
        <f>IF(项目基本情况!K6="上海银行",IF(J55="",4,J55+1),"")</f>
        <v/>
      </c>
      <c r="K56" s="3131" t="str">
        <f>IF(项目基本情况!K6="上海银行","其他处置费用","")</f>
        <v/>
      </c>
      <c r="L56" s="3132"/>
      <c r="M56" s="1750" t="str">
        <f>IF(项目基本情况!K6="上海银行",M69,"")</f>
        <v/>
      </c>
      <c r="N56" s="3134" t="str">
        <f>IF(项目基本情况!K6="上海银行","包含处置中涉及的律师、诉讼、拍卖、评估等费用","")</f>
        <v/>
      </c>
      <c r="O56" s="3135"/>
    </row>
    <row r="57" spans="1:35" ht="13.2">
      <c r="A57" s="183" t="s">
        <v>2194</v>
      </c>
      <c r="B57" s="3179" t="s">
        <v>2222</v>
      </c>
      <c r="C57" s="3180"/>
      <c r="D57" s="187">
        <v>0</v>
      </c>
      <c r="E57" s="23" t="s">
        <v>2196</v>
      </c>
      <c r="F57" s="155"/>
      <c r="G57" s="2482"/>
      <c r="H57" s="2486"/>
      <c r="I57" s="2486"/>
      <c r="J57" s="3148">
        <f>IF(AND(J55="",J56=""),4,IF(项目基本情况!K6="上海银行",结果表!J56+1,结果表!J55+1))</f>
        <v>4</v>
      </c>
      <c r="K57" s="3148" t="s">
        <v>2223</v>
      </c>
      <c r="L57" s="2487" t="s">
        <v>2224</v>
      </c>
      <c r="M57" s="1755"/>
      <c r="N57" s="1756">
        <f ca="1">SUMIF(M52:M56,"&lt;9e307")</f>
        <v>2590</v>
      </c>
      <c r="O57" s="2488"/>
      <c r="P57" s="1749">
        <f ca="1">N57/M49</f>
        <v>0.56636781106494638</v>
      </c>
    </row>
    <row r="58" spans="1:35" ht="25.2">
      <c r="A58" s="183" t="s">
        <v>2205</v>
      </c>
      <c r="B58" s="3179" t="s">
        <v>2225</v>
      </c>
      <c r="C58" s="3192"/>
      <c r="D58" s="185">
        <f ca="1">IF(H58="转让取得",C81,C97)</f>
        <v>2588</v>
      </c>
      <c r="E58" s="11" t="s">
        <v>2220</v>
      </c>
      <c r="F58" s="24" t="s">
        <v>34</v>
      </c>
      <c r="G58" s="2482"/>
      <c r="H58" s="2485" t="s">
        <v>2226</v>
      </c>
      <c r="I58" s="2486"/>
      <c r="J58" s="3148"/>
      <c r="K58" s="3148"/>
      <c r="L58" s="2487" t="s">
        <v>2227</v>
      </c>
      <c r="M58" s="1757"/>
      <c r="N58" s="2489" t="str">
        <f ca="1">NUMBERSTRING(INT(N57*10000),2)&amp;"元整"</f>
        <v>贰仟伍佰玖拾万元整</v>
      </c>
      <c r="O58" s="2490"/>
    </row>
    <row r="59" spans="1:35" ht="24.6" thickBot="1">
      <c r="A59" s="3152" t="s">
        <v>2228</v>
      </c>
      <c r="B59" s="3153"/>
      <c r="C59" s="3153"/>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50">
        <f>J57+1</f>
        <v>5</v>
      </c>
      <c r="K59" s="3148" t="s">
        <v>2230</v>
      </c>
      <c r="L59" s="1808" t="s">
        <v>2224</v>
      </c>
      <c r="M59" s="1758"/>
      <c r="N59" s="1759">
        <f ca="1">M49-N57</f>
        <v>1983</v>
      </c>
      <c r="O59" s="2492"/>
    </row>
    <row r="60" spans="1:35" ht="12" customHeight="1">
      <c r="A60" s="2493"/>
      <c r="B60" s="2415"/>
      <c r="C60" s="2415"/>
      <c r="D60" s="2415"/>
      <c r="E60" s="2162"/>
      <c r="F60" s="2486"/>
      <c r="G60" s="2486"/>
      <c r="H60" s="2494"/>
      <c r="I60" s="138"/>
      <c r="J60" s="3151"/>
      <c r="K60" s="3148"/>
      <c r="L60" s="2487" t="s">
        <v>2227</v>
      </c>
      <c r="M60" s="1757"/>
      <c r="N60" s="2489" t="str">
        <f ca="1">NUMBERSTRING(INT(N59*10000),2)&amp;"元整"</f>
        <v>壹仟玖佰捌拾叁万元整</v>
      </c>
      <c r="O60" s="2490"/>
    </row>
    <row r="61" spans="1:35" ht="13.8" thickBot="1">
      <c r="A61" s="3211" t="s">
        <v>2231</v>
      </c>
      <c r="B61" s="3211"/>
      <c r="C61" s="3211"/>
      <c r="D61" s="3211"/>
      <c r="E61" s="3211"/>
      <c r="F61" s="2486"/>
      <c r="G61" s="2486"/>
      <c r="H61" s="2494"/>
      <c r="I61" s="138"/>
      <c r="J61" s="1808">
        <f>J59+1</f>
        <v>6</v>
      </c>
      <c r="K61" s="3148" t="s">
        <v>2232</v>
      </c>
      <c r="L61" s="3148"/>
      <c r="M61" s="1760"/>
      <c r="N61" s="1761">
        <f ca="1">ROUND(N59*10000/'数据-汇总表'!E3,0)</f>
        <v>4531</v>
      </c>
      <c r="O61" s="2495"/>
    </row>
    <row r="62" spans="1:35" ht="13.2">
      <c r="A62" s="3168" t="s">
        <v>2233</v>
      </c>
      <c r="B62" s="3169"/>
      <c r="C62" s="1800"/>
      <c r="D62" s="1800" t="s">
        <v>2234</v>
      </c>
      <c r="E62" s="192" t="s">
        <v>2235</v>
      </c>
      <c r="F62" s="2486"/>
      <c r="G62" s="2486"/>
      <c r="H62" s="2494"/>
      <c r="I62" s="138"/>
    </row>
    <row r="63" spans="1:35" ht="13.2">
      <c r="A63" s="203" t="s">
        <v>775</v>
      </c>
      <c r="B63" s="193" t="s">
        <v>2236</v>
      </c>
      <c r="C63" s="194">
        <f ca="1">ROUND((C64+C65)/(1+'数据-取费表'!C42),0)</f>
        <v>4355</v>
      </c>
      <c r="D63" s="195"/>
      <c r="E63" s="196"/>
      <c r="F63" s="2486"/>
      <c r="G63" s="2486"/>
      <c r="H63" s="2494"/>
      <c r="I63" s="138"/>
      <c r="J63" s="3133" t="s">
        <v>2237</v>
      </c>
      <c r="K63" s="2496" t="s">
        <v>2238</v>
      </c>
      <c r="L63" s="1748">
        <f ca="1">IF(M49&gt;10000,M49*0.5%,IF(AND(M49&gt;1000,M49&lt;=10000),M49*1%,IF(AND(M49&gt;100,M49&lt;=1000),M49*3%,IF(AND(M49&gt;10,M49&lt;=100),M49*5%,M49*8%))))</f>
        <v>45.730000000000004</v>
      </c>
      <c r="M63" s="24">
        <f ca="1">ROUND(L63,1)</f>
        <v>45.7</v>
      </c>
      <c r="Z63" s="2420"/>
      <c r="AI63" s="2421"/>
    </row>
    <row r="64" spans="1:35" ht="14.25" customHeight="1">
      <c r="A64" s="197" t="s">
        <v>770</v>
      </c>
      <c r="B64" s="198" t="s">
        <v>2239</v>
      </c>
      <c r="C64" s="199">
        <f ca="1">D45</f>
        <v>4573</v>
      </c>
      <c r="D64" s="200" t="s">
        <v>32</v>
      </c>
      <c r="E64" s="201"/>
      <c r="F64" s="2486"/>
      <c r="G64" s="2486"/>
      <c r="H64" s="2494"/>
      <c r="I64" s="138"/>
      <c r="J64" s="3133"/>
      <c r="K64" s="2496" t="s">
        <v>2240</v>
      </c>
      <c r="L64" s="1748">
        <f ca="1">IF(M49&gt;2000,M49*0.5%,IF(AND(M49&gt;1000,M49&lt;=2000),M49*0.6%,IF(AND(M49&gt;500,M49&lt;=1000),M49*0.7%,IF(AND(M49&gt;200,M49&lt;=500),M49*0.8%,IF(AND(M49&gt;100,M49&lt;=200),M49*0.9%,IF(AND(M49&gt;50,M49&lt;=100),M49*1%,IF(AND(M49&gt;20,M49&lt;=50),M49*1.5%,IF(AND(M49&gt;10,M49&lt;=20),M49*2%,IF(AND(M49&gt;1,M49&lt;=10),M49*2.5%)))))))))</f>
        <v>22.865000000000002</v>
      </c>
      <c r="M64" s="24">
        <f t="shared" ref="M64:M65" ca="1" si="1">ROUND(L64,1)</f>
        <v>22.9</v>
      </c>
      <c r="N64" s="138" t="s">
        <v>2241</v>
      </c>
      <c r="Z64" s="2420"/>
      <c r="AI64" s="2421"/>
    </row>
    <row r="65" spans="1:35" ht="14.25" customHeight="1">
      <c r="A65" s="197" t="s">
        <v>771</v>
      </c>
      <c r="B65" s="198" t="s">
        <v>2242</v>
      </c>
      <c r="C65" s="202"/>
      <c r="D65" s="200"/>
      <c r="E65" s="201"/>
      <c r="F65" s="2486"/>
      <c r="G65" s="2486"/>
      <c r="H65" s="2494"/>
      <c r="I65" s="138"/>
      <c r="J65" s="3133"/>
      <c r="K65" s="2496" t="s">
        <v>2243</v>
      </c>
      <c r="L65" s="1748">
        <f ca="1">IF(M49&gt;1000,M49*0.1%,IF(AND(M49&gt;500,M49&lt;=1000),M49*0.5%,IF(AND(M49&gt;50,M49&lt;=500),M49*1%,IF(AND(M49&gt;1,M49&lt;=50),M49*1.5%))))</f>
        <v>4.5730000000000004</v>
      </c>
      <c r="M65" s="24">
        <f t="shared" ca="1" si="1"/>
        <v>4.5999999999999996</v>
      </c>
      <c r="N65" s="138" t="s">
        <v>2241</v>
      </c>
      <c r="Z65" s="2420"/>
      <c r="AI65" s="2421"/>
    </row>
    <row r="66" spans="1:35" ht="14.25" customHeight="1">
      <c r="A66" s="203" t="s">
        <v>772</v>
      </c>
      <c r="B66" s="204" t="s">
        <v>2244</v>
      </c>
      <c r="C66" s="205"/>
      <c r="D66" s="206" t="s">
        <v>32</v>
      </c>
      <c r="E66" s="1772" t="s">
        <v>1367</v>
      </c>
      <c r="F66" s="2486"/>
      <c r="G66" s="2486"/>
      <c r="H66" s="2494"/>
      <c r="I66" s="138"/>
      <c r="J66" s="3133"/>
      <c r="K66" s="2496" t="s">
        <v>2245</v>
      </c>
      <c r="L66" s="1748">
        <f ca="1">M49*0.5%</f>
        <v>22.865000000000002</v>
      </c>
      <c r="M66" s="24">
        <f ca="1">IF(L66&gt;0.5,0.5,ROUND(L66,0))</f>
        <v>0.5</v>
      </c>
      <c r="N66" s="138" t="s">
        <v>2246</v>
      </c>
      <c r="Z66" s="2420"/>
      <c r="AI66" s="2421"/>
    </row>
    <row r="67" spans="1:35" ht="14.25" customHeight="1">
      <c r="A67" s="203" t="s">
        <v>773</v>
      </c>
      <c r="B67" s="204" t="s">
        <v>2247</v>
      </c>
      <c r="C67" s="207">
        <f ca="1">C63-C66</f>
        <v>4355</v>
      </c>
      <c r="D67" s="200" t="s">
        <v>32</v>
      </c>
      <c r="E67" s="201"/>
      <c r="F67" s="2486"/>
      <c r="G67" s="2486"/>
      <c r="H67" s="2494"/>
      <c r="I67" s="138"/>
      <c r="J67" s="3133"/>
      <c r="K67" s="2496" t="s">
        <v>2248</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8" t="s">
        <v>774</v>
      </c>
      <c r="B68" s="209" t="s">
        <v>2249</v>
      </c>
      <c r="C68" s="210">
        <f ca="1">IF(C67&lt;=0,0,ROUND(C67*D68,0))</f>
        <v>244</v>
      </c>
      <c r="D68" s="211">
        <f>'数据-取费表'!B41</f>
        <v>5.6000000000000001E-2</v>
      </c>
      <c r="E68" s="212"/>
      <c r="F68" s="2486"/>
      <c r="G68" s="2486"/>
      <c r="H68" s="2494"/>
      <c r="I68" s="138"/>
      <c r="J68" s="3133"/>
      <c r="K68" s="2496" t="s">
        <v>2250</v>
      </c>
      <c r="L68" s="1748">
        <f ca="1">IF(M49&gt;10000,M49*0.5%,IF(AND(M49&gt;5000,M49&lt;=10000),M49*1%,IF(AND(M49&gt;1000,M49&lt;=5000),M49*2%,IF(AND(M49&gt;200,M49&lt;=1000),M49*3%,M49*5%))))</f>
        <v>91.460000000000008</v>
      </c>
      <c r="M68" s="24">
        <f ca="1">ROUND(L68,1)</f>
        <v>91.5</v>
      </c>
      <c r="Z68" s="2420"/>
      <c r="AI68" s="2421"/>
    </row>
    <row r="69" spans="1:35" s="2443" customFormat="1" ht="16.5" customHeight="1">
      <c r="A69" s="2497"/>
      <c r="B69" s="2498"/>
      <c r="C69" s="2499"/>
      <c r="D69" s="2500"/>
      <c r="E69" s="2501"/>
      <c r="F69" s="2162"/>
      <c r="G69" s="2162"/>
      <c r="H69" s="2161"/>
      <c r="I69" s="2415"/>
      <c r="J69" s="3133"/>
      <c r="K69" s="2496" t="s">
        <v>2251</v>
      </c>
      <c r="L69" s="2502"/>
      <c r="M69" s="24">
        <f ca="1">ROUND(SUM(M63:M68),0)</f>
        <v>168</v>
      </c>
      <c r="N69" s="1749">
        <f ca="1">M69/M49</f>
        <v>3.6737371528537066E-2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77" t="s">
        <v>2252</v>
      </c>
      <c r="B70" s="3178"/>
      <c r="C70" s="3178"/>
      <c r="D70" s="3178"/>
      <c r="E70" s="3178"/>
      <c r="F70" s="3178"/>
      <c r="G70" s="3178"/>
      <c r="H70" s="317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68" t="s">
        <v>2233</v>
      </c>
      <c r="B71" s="3169"/>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2253</v>
      </c>
      <c r="C72" s="207">
        <f ca="1">ROUND(D45/(1+'数据-取费表'!C42),0)</f>
        <v>4355</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2254</v>
      </c>
      <c r="C73" s="207">
        <f ca="1">C74+C78</f>
        <v>26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74" t="s">
        <v>2261</v>
      </c>
      <c r="F76" s="3173"/>
      <c r="G76" s="3173"/>
      <c r="H76" s="317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26</v>
      </c>
      <c r="D78" s="226">
        <f>'数据-取费表'!B43</f>
        <v>6.000000000000001E-3</v>
      </c>
      <c r="E78" s="3165" t="s">
        <v>2266</v>
      </c>
      <c r="F78" s="3166"/>
      <c r="G78" s="3166"/>
      <c r="H78" s="316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4" t="s">
        <v>2267</v>
      </c>
      <c r="C79" s="207">
        <f ca="1">C72-C73</f>
        <v>4329</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166.5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2269</v>
      </c>
      <c r="C81" s="228">
        <f ca="1">ROUND(IF(C79&lt;=0,0,IF(C80&gt;=200%,C79*60%-C73*35%,IF(C80&gt;=100%,C79*50%-C73*15%,IF(C80&gt;=50%,C79*40%-C73*5%,IF(C80&lt;50%,C79*30%,0))))),0)</f>
        <v>2588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77" t="s">
        <v>2270</v>
      </c>
      <c r="B83" s="3178"/>
      <c r="C83" s="3178"/>
      <c r="D83" s="3178"/>
      <c r="E83" s="3178"/>
      <c r="F83" s="3178"/>
      <c r="G83" s="3178"/>
      <c r="H83" s="31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68" t="s">
        <v>2233</v>
      </c>
      <c r="B84" s="3169"/>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2253</v>
      </c>
      <c r="C85" s="207">
        <f ca="1">ROUND(D45/(1+'数据-取费表'!C42),0)</f>
        <v>4355</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2254</v>
      </c>
      <c r="C86" s="207">
        <f ca="1">IF(H88="仅含出让金",C87+C90+C91+C92+C93+C94,C87+C91+C92+C93+C94)</f>
        <v>26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2262</v>
      </c>
      <c r="C89" s="225">
        <f>ROUND(C88*D89,0)</f>
        <v>0</v>
      </c>
      <c r="D89" s="226">
        <f>'数据-取费表'!B48+'数据-取费表'!B49</f>
        <v>3.0499999999999999E-2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65" t="s">
        <v>2279</v>
      </c>
      <c r="F91" s="3166"/>
      <c r="G91" s="3166"/>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65" t="s">
        <v>2283</v>
      </c>
      <c r="F92" s="3166"/>
      <c r="G92" s="3166"/>
      <c r="H92" s="316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26</v>
      </c>
      <c r="D93" s="226">
        <f>'数据-取费表'!B43</f>
        <v>6.000000000000001E-3</v>
      </c>
      <c r="E93" s="3165" t="s">
        <v>2266</v>
      </c>
      <c r="F93" s="3166"/>
      <c r="G93" s="3166"/>
      <c r="H93" s="316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213" t="s">
        <v>2287</v>
      </c>
      <c r="F94" s="3214"/>
      <c r="G94" s="3214"/>
      <c r="H94" s="321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4" t="s">
        <v>2267</v>
      </c>
      <c r="C95" s="207">
        <f ca="1">ROUND(C85-C86,0)</f>
        <v>4329</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166.5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2269</v>
      </c>
      <c r="C97" s="228">
        <f ca="1">ROUND(IF(C95&lt;=0,0,IF(C96&gt;=200%,C95*60%-C86*35%,IF(C96&gt;=100%,C95*50%-C86*15%,IF(C96&gt;=50%,C95*40%-C86*5%,IF(C96&lt;50%,C95*30%,0))))),0)</f>
        <v>2588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2288</v>
      </c>
      <c r="B99" s="2415"/>
      <c r="C99" s="2415"/>
      <c r="D99" s="2415"/>
      <c r="E99" s="2162"/>
      <c r="F99" s="2162"/>
      <c r="G99" s="2162"/>
      <c r="H99" s="2161"/>
      <c r="I99" s="138"/>
    </row>
    <row r="100" spans="1:35" ht="18.75" customHeight="1">
      <c r="A100" s="3117" t="s">
        <v>2289</v>
      </c>
      <c r="B100" s="3118"/>
      <c r="C100" s="3118"/>
      <c r="D100" s="3149"/>
      <c r="E100" s="3118" t="s">
        <v>2290</v>
      </c>
      <c r="F100" s="3118"/>
      <c r="G100" s="3118"/>
      <c r="H100" s="3149"/>
      <c r="I100" s="138"/>
    </row>
    <row r="101" spans="1:35" ht="18.75" customHeight="1">
      <c r="A101" s="3157" t="s">
        <v>2291</v>
      </c>
      <c r="B101" s="3158"/>
      <c r="C101" s="735" t="str">
        <f>C4</f>
        <v>收益法（3号楼）</v>
      </c>
      <c r="D101" s="736" t="str">
        <f>D4</f>
        <v>比较法-商业</v>
      </c>
      <c r="E101" s="3129" t="s">
        <v>2292</v>
      </c>
      <c r="F101" s="3130"/>
      <c r="G101" s="2517" t="s">
        <v>2293</v>
      </c>
      <c r="H101" s="1044">
        <f ca="1">H118</f>
        <v>4573</v>
      </c>
      <c r="I101" s="138"/>
    </row>
    <row r="102" spans="1:35" ht="18.75" customHeight="1">
      <c r="A102" s="3159" t="s">
        <v>2294</v>
      </c>
      <c r="B102" s="2517" t="s">
        <v>2293</v>
      </c>
      <c r="C102" s="735">
        <f ca="1">C19</f>
        <v>3868</v>
      </c>
      <c r="D102" s="736">
        <f ca="1">D19</f>
        <v>5434</v>
      </c>
      <c r="E102" s="3129"/>
      <c r="F102" s="3130"/>
      <c r="G102" s="2517" t="s">
        <v>2295</v>
      </c>
      <c r="H102" s="371">
        <f ca="1">I118</f>
        <v>34116</v>
      </c>
      <c r="I102" s="138"/>
    </row>
    <row r="103" spans="1:35" ht="42.75" customHeight="1">
      <c r="A103" s="3159"/>
      <c r="B103" s="2517" t="s">
        <v>2295</v>
      </c>
      <c r="C103" s="737">
        <f ca="1">C20</f>
        <v>28857</v>
      </c>
      <c r="D103" s="738">
        <f ca="1">D20</f>
        <v>40537</v>
      </c>
      <c r="E103" s="3123" t="s">
        <v>2296</v>
      </c>
      <c r="F103" s="3124"/>
      <c r="G103" s="2518" t="s">
        <v>2297</v>
      </c>
      <c r="H103" s="1044">
        <f>IF(D36="正常操作",H104+H105+H106,H105+H106)</f>
        <v>0</v>
      </c>
      <c r="I103" s="138"/>
    </row>
    <row r="104" spans="1:35" ht="18.75" customHeight="1">
      <c r="A104" s="3159" t="s">
        <v>2298</v>
      </c>
      <c r="B104" s="2519" t="s">
        <v>2293</v>
      </c>
      <c r="C104" s="739">
        <f ca="1">H118</f>
        <v>4573</v>
      </c>
      <c r="D104" s="740"/>
      <c r="E104" s="2263" t="s">
        <v>2299</v>
      </c>
      <c r="F104" s="2254"/>
      <c r="G104" s="2518" t="s">
        <v>2297</v>
      </c>
      <c r="H104" s="1045">
        <f>IF(D36="同一抵押权人同一抵押物续贷",C36&amp;"（未扣减，详见特别提示）",C36)</f>
        <v>0</v>
      </c>
      <c r="I104" s="138"/>
    </row>
    <row r="105" spans="1:35" ht="18.75" customHeight="1" thickBot="1">
      <c r="A105" s="3171"/>
      <c r="B105" s="2520" t="s">
        <v>2295</v>
      </c>
      <c r="C105" s="741">
        <f ca="1">I118</f>
        <v>34116</v>
      </c>
      <c r="D105" s="742"/>
      <c r="E105" s="2263" t="s">
        <v>2300</v>
      </c>
      <c r="F105" s="2254"/>
      <c r="G105" s="2518" t="s">
        <v>2297</v>
      </c>
      <c r="H105" s="1045">
        <f>C37</f>
        <v>0</v>
      </c>
      <c r="I105" s="138"/>
    </row>
    <row r="106" spans="1:35" ht="18.75" customHeight="1">
      <c r="A106" s="2415" t="s">
        <v>2301</v>
      </c>
      <c r="B106" s="2415"/>
      <c r="C106" s="2415"/>
      <c r="D106" s="2415"/>
      <c r="E106" s="2521" t="s">
        <v>2302</v>
      </c>
      <c r="F106" s="2254"/>
      <c r="G106" s="2518" t="s">
        <v>2297</v>
      </c>
      <c r="H106" s="1045">
        <f>C38</f>
        <v>0</v>
      </c>
      <c r="I106" s="138"/>
    </row>
    <row r="107" spans="1:35" ht="18.75" customHeight="1">
      <c r="A107" s="138"/>
      <c r="B107" s="138"/>
      <c r="C107" s="138"/>
      <c r="D107" s="138"/>
      <c r="E107" s="3160" t="str">
        <f>IF(项目基本情况!E8="已注销","——","3.房地产抵押价值")</f>
        <v>3.房地产抵押价值</v>
      </c>
      <c r="F107" s="3130"/>
      <c r="G107" s="2517" t="s">
        <v>2293</v>
      </c>
      <c r="H107" s="1044">
        <f ca="1">IF(E107="——","——",H101-H103)</f>
        <v>4573</v>
      </c>
      <c r="I107" s="138"/>
    </row>
    <row r="108" spans="1:35" ht="18.75" customHeight="1">
      <c r="A108" s="138"/>
      <c r="B108" s="138"/>
      <c r="C108" s="138"/>
      <c r="D108" s="138"/>
      <c r="E108" s="3160"/>
      <c r="F108" s="3130"/>
      <c r="G108" s="2517" t="s">
        <v>2295</v>
      </c>
      <c r="H108" s="371">
        <f ca="1">ROUND(H107*10000/'数据-汇总表'!E3,0)</f>
        <v>10450</v>
      </c>
      <c r="I108" s="138"/>
    </row>
    <row r="109" spans="1:35" ht="18.75"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30"/>
      <c r="G109" s="2517" t="s">
        <v>2293</v>
      </c>
      <c r="H109" s="348" t="str">
        <f>IF(E109="——","——",H101-H105-H106)</f>
        <v>——</v>
      </c>
      <c r="I109" s="138"/>
    </row>
    <row r="110" spans="1:35" ht="18.75" customHeight="1">
      <c r="A110" s="138"/>
      <c r="B110" s="138"/>
      <c r="C110" s="138"/>
      <c r="D110" s="138"/>
      <c r="E110" s="3160"/>
      <c r="F110" s="3130"/>
      <c r="G110" s="2517" t="s">
        <v>2295</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7" t="s">
        <v>2293</v>
      </c>
      <c r="H111" s="1044" t="str">
        <f>IF(E111="——","——",N59)</f>
        <v>——</v>
      </c>
      <c r="I111" s="138"/>
    </row>
    <row r="112" spans="1:35" ht="18.75" customHeight="1" thickBot="1">
      <c r="A112" s="138"/>
      <c r="B112" s="138"/>
      <c r="C112" s="138"/>
      <c r="D112" s="138"/>
      <c r="E112" s="3163"/>
      <c r="F112" s="3164"/>
      <c r="G112" s="2522" t="s">
        <v>2295</v>
      </c>
      <c r="H112" s="789" t="str">
        <f>IF(E111="——","——",N61)</f>
        <v>——</v>
      </c>
      <c r="I112" s="138"/>
    </row>
    <row r="113" spans="1:11" ht="18.75" customHeight="1">
      <c r="A113" s="138"/>
      <c r="B113" s="138"/>
      <c r="C113" s="138"/>
      <c r="D113" s="138"/>
      <c r="E113" s="3172" t="s">
        <v>2301</v>
      </c>
      <c r="F113" s="3172"/>
      <c r="G113" s="3172"/>
      <c r="H113" s="3172"/>
      <c r="I113" s="138"/>
    </row>
    <row r="114" spans="1:11" ht="3.75" customHeight="1">
      <c r="A114" s="2415"/>
      <c r="B114" s="2415"/>
      <c r="C114" s="2415"/>
      <c r="D114" s="2415"/>
      <c r="E114" s="2493"/>
      <c r="F114" s="2493"/>
      <c r="G114" s="2493"/>
      <c r="H114" s="2493"/>
      <c r="I114" s="2415"/>
    </row>
    <row r="115" spans="1:11" ht="18.75" customHeight="1">
      <c r="A115" s="3185" t="s">
        <v>2303</v>
      </c>
      <c r="B115" s="3186"/>
      <c r="C115" s="3186"/>
      <c r="D115" s="3186"/>
      <c r="E115" s="3186"/>
      <c r="F115" s="3186"/>
      <c r="G115" s="3186"/>
      <c r="H115" s="3186"/>
      <c r="I115" s="3187"/>
    </row>
    <row r="116" spans="1:11" ht="27" customHeight="1">
      <c r="A116" s="3096" t="s">
        <v>2304</v>
      </c>
      <c r="B116" s="3139" t="s">
        <v>2305</v>
      </c>
      <c r="C116" s="3139" t="s">
        <v>2306</v>
      </c>
      <c r="D116" s="3145" t="s">
        <v>2307</v>
      </c>
      <c r="E116" s="3146"/>
      <c r="F116" s="3181" t="s">
        <v>2308</v>
      </c>
      <c r="G116" s="3181"/>
      <c r="H116" s="3096" t="s">
        <v>2309</v>
      </c>
      <c r="I116" s="3096"/>
    </row>
    <row r="117" spans="1:11" ht="18.75" customHeight="1">
      <c r="A117" s="3096"/>
      <c r="B117" s="3140"/>
      <c r="C117" s="3140"/>
      <c r="D117" s="1794" t="s">
        <v>2310</v>
      </c>
      <c r="E117" s="1794" t="s">
        <v>2311</v>
      </c>
      <c r="F117" s="1794" t="s">
        <v>2310</v>
      </c>
      <c r="G117" s="1794" t="s">
        <v>2312</v>
      </c>
      <c r="H117" s="1794" t="s">
        <v>2310</v>
      </c>
      <c r="I117" s="1794" t="s">
        <v>2312</v>
      </c>
    </row>
    <row r="118" spans="1:11" ht="24.75" customHeight="1">
      <c r="A118" s="2523" t="str">
        <f>项目基本情况!S2</f>
        <v>北京市丰台区万兴路1号院3、4号楼商业用房房地产房地产</v>
      </c>
      <c r="B118" s="1794">
        <f>M18</f>
        <v>1340.42</v>
      </c>
      <c r="C118" s="1794">
        <f>M19</f>
        <v>1227.98</v>
      </c>
      <c r="D118" s="1794">
        <f ca="1">ROUND(IF(D32="总价",C34,E118*B118/10000),0)</f>
        <v>4573</v>
      </c>
      <c r="E118" s="1794">
        <f ca="1">ROUND(IF(C33="自定义",IF(D32="楼面单价",C34,D118*10000/B118),I118-G118),0)</f>
        <v>34116</v>
      </c>
      <c r="F118" s="1794">
        <f ca="1">ROUND(IF(D32="总价",C35,G118*B118/10000),0)</f>
        <v>0</v>
      </c>
      <c r="G118" s="1794">
        <f ca="1">ROUND(IF(D32="楼面单价",C35,F118*10000/B118),0)</f>
        <v>0</v>
      </c>
      <c r="H118" s="1794">
        <f ca="1">ROUND(IF(D32="总价",C32,I118*B118/10000),0)</f>
        <v>4573</v>
      </c>
      <c r="I118" s="1794">
        <f ca="1">ROUND(IF(D32="楼面单价",C32,H118*10000/B118),0)</f>
        <v>34116</v>
      </c>
    </row>
    <row r="119" spans="1:11" ht="18.75" customHeight="1">
      <c r="A119" s="3096" t="s">
        <v>2313</v>
      </c>
      <c r="B119" s="3096"/>
      <c r="C119" s="3096"/>
      <c r="D119" s="3141" t="str">
        <f ca="1">NUMBERSTRING(INT(D118*10000),2)&amp;"元整"</f>
        <v>肆仟伍佰柒拾叁万元整</v>
      </c>
      <c r="E119" s="3142"/>
      <c r="F119" s="3141" t="str">
        <f ca="1">NUMBERSTRING(INT(F118*10000),2)&amp;"元整"</f>
        <v>零元整</v>
      </c>
      <c r="G119" s="3142"/>
      <c r="H119" s="3141" t="str">
        <f ca="1">NUMBERSTRING(INT(H118*10000),2)&amp;"元整"</f>
        <v>肆仟伍佰柒拾叁万元整</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0" t="str">
        <f>IF(D120=0,"故，本次评估不存在"&amp;A120,"故，本次评估"&amp;A120&amp;"为人民币"&amp;D120&amp;"万元整。")</f>
        <v>故，本次评估不存在估价师知悉的法定优先受偿款</v>
      </c>
    </row>
    <row r="121" spans="1:11" ht="18.75" customHeight="1">
      <c r="A121" s="3182" t="s">
        <v>2313</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f ca="1">H107</f>
        <v>4573</v>
      </c>
      <c r="E122" s="3137"/>
      <c r="F122" s="3137"/>
      <c r="G122" s="3137"/>
      <c r="H122" s="3137"/>
      <c r="I122" s="3138"/>
    </row>
    <row r="123" spans="1:11" ht="18.75" customHeight="1">
      <c r="A123" s="3096" t="s">
        <v>2313</v>
      </c>
      <c r="B123" s="3096"/>
      <c r="C123" s="3096"/>
      <c r="D123" s="3141" t="str">
        <f ca="1">NUMBERSTRING(INT(D122*10000),2)&amp;"元整"</f>
        <v>肆仟伍佰柒拾叁万元整</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96" t="s">
        <v>2313</v>
      </c>
      <c r="B125" s="3096"/>
      <c r="C125" s="3096"/>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96" t="s">
        <v>2313</v>
      </c>
      <c r="B127" s="3096"/>
      <c r="C127" s="3096"/>
      <c r="D127" s="3141" t="e">
        <f>NUMBERSTRING(INT(D126*10000),2)&amp;"元整"</f>
        <v>#VALUE!</v>
      </c>
      <c r="E127" s="3143"/>
      <c r="F127" s="3143"/>
      <c r="G127" s="3143"/>
      <c r="H127" s="3143"/>
      <c r="I127" s="3142"/>
    </row>
    <row r="128" spans="1:11" ht="21.75" customHeight="1">
      <c r="A128" s="3144" t="s">
        <v>2314</v>
      </c>
      <c r="B128" s="3144"/>
      <c r="C128" s="3144"/>
      <c r="D128" s="3144"/>
      <c r="E128" s="3144"/>
      <c r="F128" s="3144"/>
      <c r="G128" s="3144"/>
      <c r="H128" s="3144"/>
      <c r="I128" s="3144"/>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2317</v>
      </c>
      <c r="G135" s="2541"/>
      <c r="H135" s="2541"/>
      <c r="I135" s="2542" t="s">
        <v>2318</v>
      </c>
    </row>
    <row r="136" spans="1:35" ht="21.75" customHeight="1">
      <c r="A136" s="794"/>
      <c r="B136" s="2543"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2320</v>
      </c>
    </row>
    <row r="139" spans="1:35" ht="21.75" customHeight="1">
      <c r="A139" s="794"/>
      <c r="B139" s="2543" t="s">
        <v>2321</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2320</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4" sqref="K34"/>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3068</v>
      </c>
      <c r="D1" s="2415"/>
      <c r="E1" s="2415"/>
      <c r="F1" s="2417" t="s">
        <v>2114</v>
      </c>
      <c r="G1" s="2066" t="s">
        <v>3086</v>
      </c>
      <c r="H1" s="2418" t="str">
        <f>IF(G1="现房","——","估价对象范围")</f>
        <v>——</v>
      </c>
      <c r="I1" s="2419" t="s">
        <v>3098</v>
      </c>
    </row>
    <row r="2" spans="1:12" ht="21.75" customHeight="1" thickBot="1">
      <c r="A2" s="3195" t="str">
        <f>项目基本情况!S2</f>
        <v>北京市丰台区万兴路1号院3、4号楼商业用房房地产房地产</v>
      </c>
      <c r="B2" s="3196"/>
      <c r="C2" s="3196"/>
      <c r="D2" s="3196"/>
      <c r="E2" s="3196"/>
      <c r="F2" s="3196"/>
      <c r="G2" s="3196"/>
      <c r="H2" s="3196"/>
      <c r="I2" s="3197"/>
    </row>
    <row r="3" spans="1:12" ht="13.2">
      <c r="A3" s="3198" t="s">
        <v>2115</v>
      </c>
      <c r="B3" s="3199"/>
      <c r="C3" s="3199"/>
      <c r="D3" s="3199"/>
      <c r="E3" s="3199"/>
      <c r="F3" s="3199"/>
      <c r="G3" s="3199"/>
      <c r="H3" s="3199"/>
      <c r="I3" s="3199"/>
    </row>
    <row r="4" spans="1:12" ht="14.4">
      <c r="A4" s="2422" t="s">
        <v>2116</v>
      </c>
      <c r="B4" s="2423" t="s">
        <v>2117</v>
      </c>
      <c r="C4" s="2424" t="s">
        <v>3103</v>
      </c>
      <c r="D4" s="2424" t="s">
        <v>3110</v>
      </c>
      <c r="E4" s="3179" t="s">
        <v>2118</v>
      </c>
      <c r="F4" s="3192"/>
      <c r="G4" s="3192"/>
      <c r="H4" s="3192"/>
      <c r="I4" s="3180"/>
      <c r="K4" s="2425" t="str">
        <f>IF(ISNUMBER(FIND("比较法",'结果表 (3号楼)'!C4)),"比较法",IF(ISNUMBER(FIND("成本法",'结果表 (3号楼)'!C4)),"成本法",IF(ISNUMBER(FIND("假设开发法",'结果表 (3号楼)'!C4)),"假设开发法",IF(ISNUMBER(FIND("收益法",'结果表 (3号楼)'!C4)),"收益法","基准地价系数修正法"))))</f>
        <v>收益法</v>
      </c>
      <c r="L4" s="2425" t="str">
        <f>IF(ISNUMBER(FIND("比较法",'结果表 (3号楼)'!D4)),"比较法",IF(ISNUMBER(FIND("成本法",'结果表 (3号楼)'!D4)),"成本法",IF(ISNUMBER(FIND("假设开发法",'结果表 (3号楼)'!D4)),"假设开发法",IF(ISNUMBER(FIND("收益法",'结果表 (3号楼)'!D4)),"收益法","基准地价系数修正法"))))</f>
        <v>比较法</v>
      </c>
    </row>
    <row r="5" spans="1:12" ht="13.2">
      <c r="A5" s="3170" t="s">
        <v>2119</v>
      </c>
      <c r="B5" s="3096">
        <v>25</v>
      </c>
      <c r="C5" s="3200"/>
      <c r="D5" s="3188"/>
      <c r="E5" s="140" t="s">
        <v>2120</v>
      </c>
      <c r="F5" s="2426"/>
      <c r="G5" s="2426"/>
      <c r="H5" s="2426"/>
      <c r="I5" s="1830"/>
    </row>
    <row r="6" spans="1:12" ht="13.2">
      <c r="A6" s="3170"/>
      <c r="B6" s="3096"/>
      <c r="C6" s="3202"/>
      <c r="D6" s="3188"/>
      <c r="E6" s="140" t="s">
        <v>2121</v>
      </c>
      <c r="F6" s="2426"/>
      <c r="G6" s="2426"/>
      <c r="H6" s="2426"/>
      <c r="I6" s="1830"/>
    </row>
    <row r="7" spans="1:12" ht="13.2">
      <c r="A7" s="3170"/>
      <c r="B7" s="3096"/>
      <c r="C7" s="3201"/>
      <c r="D7" s="3188"/>
      <c r="E7" s="140" t="s">
        <v>2122</v>
      </c>
      <c r="F7" s="2426"/>
      <c r="G7" s="2426"/>
      <c r="H7" s="2426"/>
      <c r="I7" s="1830"/>
    </row>
    <row r="8" spans="1:12" ht="13.2">
      <c r="A8" s="3170" t="s">
        <v>2123</v>
      </c>
      <c r="B8" s="3096">
        <v>15</v>
      </c>
      <c r="C8" s="3200"/>
      <c r="D8" s="3188"/>
      <c r="E8" s="140" t="s">
        <v>2124</v>
      </c>
      <c r="F8" s="2426"/>
      <c r="G8" s="2426"/>
      <c r="H8" s="2426"/>
      <c r="I8" s="1830"/>
    </row>
    <row r="9" spans="1:12" ht="13.2">
      <c r="A9" s="3170"/>
      <c r="B9" s="3096"/>
      <c r="C9" s="3201"/>
      <c r="D9" s="3188"/>
      <c r="E9" s="140" t="s">
        <v>2125</v>
      </c>
      <c r="F9" s="2426"/>
      <c r="G9" s="2426"/>
      <c r="H9" s="2426"/>
      <c r="I9" s="1830"/>
    </row>
    <row r="10" spans="1:12" ht="13.2">
      <c r="A10" s="3170" t="s">
        <v>2126</v>
      </c>
      <c r="B10" s="3096">
        <v>15</v>
      </c>
      <c r="C10" s="3200"/>
      <c r="D10" s="3188"/>
      <c r="E10" s="140" t="s">
        <v>2127</v>
      </c>
      <c r="F10" s="2426"/>
      <c r="G10" s="2426"/>
      <c r="H10" s="2426"/>
      <c r="I10" s="1830"/>
    </row>
    <row r="11" spans="1:12" ht="13.2">
      <c r="A11" s="3170"/>
      <c r="B11" s="3096"/>
      <c r="C11" s="3201"/>
      <c r="D11" s="3188"/>
      <c r="E11" s="140" t="s">
        <v>2128</v>
      </c>
      <c r="F11" s="2426"/>
      <c r="G11" s="2426"/>
      <c r="H11" s="2426"/>
      <c r="I11" s="1830"/>
    </row>
    <row r="12" spans="1:12" ht="13.2">
      <c r="A12" s="3170" t="s">
        <v>2129</v>
      </c>
      <c r="B12" s="3096">
        <v>15</v>
      </c>
      <c r="C12" s="3200"/>
      <c r="D12" s="3188"/>
      <c r="E12" s="140" t="s">
        <v>2130</v>
      </c>
      <c r="F12" s="2426"/>
      <c r="G12" s="2426"/>
      <c r="H12" s="2426"/>
      <c r="I12" s="1830"/>
    </row>
    <row r="13" spans="1:12" ht="13.2">
      <c r="A13" s="3170"/>
      <c r="B13" s="3096"/>
      <c r="C13" s="3201"/>
      <c r="D13" s="3188"/>
      <c r="E13" s="140" t="s">
        <v>2131</v>
      </c>
      <c r="F13" s="2426"/>
      <c r="G13" s="2426"/>
      <c r="H13" s="2426"/>
      <c r="I13" s="1830"/>
    </row>
    <row r="14" spans="1:12" ht="13.2">
      <c r="A14" s="3170" t="s">
        <v>2132</v>
      </c>
      <c r="B14" s="3096">
        <v>30</v>
      </c>
      <c r="C14" s="3200">
        <v>55</v>
      </c>
      <c r="D14" s="3188">
        <v>45</v>
      </c>
      <c r="E14" s="140" t="s">
        <v>2133</v>
      </c>
      <c r="F14" s="2426"/>
      <c r="G14" s="2426"/>
      <c r="H14" s="2426"/>
      <c r="I14" s="1830"/>
    </row>
    <row r="15" spans="1:12" ht="13.2">
      <c r="A15" s="3170"/>
      <c r="B15" s="3096"/>
      <c r="C15" s="3202"/>
      <c r="D15" s="3188"/>
      <c r="E15" s="140" t="s">
        <v>2134</v>
      </c>
      <c r="F15" s="2426"/>
      <c r="G15" s="2426"/>
      <c r="H15" s="2426"/>
      <c r="I15" s="1830"/>
    </row>
    <row r="16" spans="1:12" ht="13.2">
      <c r="A16" s="3170"/>
      <c r="B16" s="3096"/>
      <c r="C16" s="3201"/>
      <c r="D16" s="3188"/>
      <c r="E16" s="140" t="s">
        <v>2135</v>
      </c>
      <c r="F16" s="2426"/>
      <c r="G16" s="2426"/>
      <c r="H16" s="2426"/>
      <c r="I16" s="1830"/>
    </row>
    <row r="17" spans="1:35" ht="14.4">
      <c r="A17" s="2427" t="s">
        <v>2136</v>
      </c>
      <c r="B17" s="64"/>
      <c r="C17" s="141">
        <f>SUM(C5:C16)</f>
        <v>55</v>
      </c>
      <c r="D17" s="141">
        <f>SUM(D5:D16)</f>
        <v>45</v>
      </c>
      <c r="E17" s="138"/>
      <c r="F17" s="138"/>
      <c r="G17" s="138"/>
      <c r="H17" s="138"/>
      <c r="I17" s="138"/>
      <c r="K17" s="2425"/>
      <c r="L17" s="2428" t="s">
        <v>2137</v>
      </c>
      <c r="M17" s="2428" t="s">
        <v>2138</v>
      </c>
    </row>
    <row r="18" spans="1:35" ht="15" thickBot="1">
      <c r="A18" s="2429" t="s">
        <v>2139</v>
      </c>
      <c r="B18" s="2430"/>
      <c r="C18" s="142">
        <f>ROUND(C17/SUM(C17:D17),2)</f>
        <v>0.55000000000000004</v>
      </c>
      <c r="D18" s="142">
        <f>1-C18</f>
        <v>0.44999999999999996</v>
      </c>
      <c r="E18" s="138"/>
      <c r="F18" s="138"/>
      <c r="G18" s="138"/>
      <c r="H18" s="138"/>
      <c r="I18" s="138"/>
      <c r="K18" s="2425" t="s">
        <v>2140</v>
      </c>
      <c r="L18" s="2425">
        <f>IF(C1="",'数据-汇总表'!E3,SUMIF(项目类型,C1,'数据-汇总表'!E17:E26)+SUMIF(项目类型,C1,'数据-汇总表'!I17:I26))</f>
        <v>1340.42</v>
      </c>
      <c r="M18" s="2425">
        <f>IF(C1="",'数据-汇总表'!E3,SUMIF(项目类型,C1,'数据-汇总表'!E17:E26))</f>
        <v>1340.42</v>
      </c>
    </row>
    <row r="19" spans="1:35" ht="14.4">
      <c r="A19" s="2431" t="s">
        <v>2141</v>
      </c>
      <c r="B19" s="2432" t="s">
        <v>2142</v>
      </c>
      <c r="C19" s="143" t="e">
        <f ca="1">SUMIF(INDIRECT("'"&amp;C4&amp;"'"&amp;"!A:A"),'结果表 (3号楼)'!B19,INDIRECT("'"&amp;C4&amp;"'"&amp;"!B:B"))</f>
        <v>#REF!</v>
      </c>
      <c r="D19" s="144">
        <f ca="1">SUMIF(INDIRECT("'"&amp;D4&amp;"'"&amp;"!A:A"),'结果表 (3号楼)'!B19,INDIRECT("'"&amp;D4&amp;"'"&amp;"!B:B"))</f>
        <v>5434</v>
      </c>
      <c r="E19" s="2431" t="s">
        <v>2143</v>
      </c>
      <c r="F19" s="2432" t="s">
        <v>2142</v>
      </c>
      <c r="G19" s="145" t="e">
        <f ca="1">ROUND(C19*$C$18+D19*$D$18,0)</f>
        <v>#REF!</v>
      </c>
      <c r="H19" s="2433" t="s">
        <v>2144</v>
      </c>
      <c r="I19" s="138"/>
      <c r="K19" s="2425" t="s">
        <v>2145</v>
      </c>
      <c r="L19" s="2425">
        <f>IF(C1="",'数据-汇总表'!D3,SUMIF(项目类型,C1,'数据-汇总表'!D17:D26)+SUMIF(项目类型,C1,'数据-汇总表'!H17:H27))</f>
        <v>1227.98</v>
      </c>
      <c r="M19" s="2425">
        <f>IF(C1="",'数据-汇总表'!D3,SUMIF(项目类型,C1,'数据-汇总表'!D17:D26))</f>
        <v>1227.98</v>
      </c>
    </row>
    <row r="20" spans="1:35" ht="14.4">
      <c r="A20" s="2434"/>
      <c r="B20" s="1246" t="s">
        <v>2146</v>
      </c>
      <c r="C20" s="146" t="e">
        <f ca="1">SUMIF(INDIRECT("'"&amp;C4&amp;"'"&amp;"!A:A"),'结果表 (3号楼)'!B20,INDIRECT("'"&amp;C4&amp;"'"&amp;"!B:B"))</f>
        <v>#REF!</v>
      </c>
      <c r="D20" s="147">
        <f ca="1">SUMIF(INDIRECT("'"&amp;D4&amp;"'"&amp;"!A:A"),'结果表 (3号楼)'!B20,INDIRECT("'"&amp;D4&amp;"'"&amp;"!B:B"))</f>
        <v>40537</v>
      </c>
      <c r="E20" s="2434"/>
      <c r="F20" s="1246" t="s">
        <v>2146</v>
      </c>
      <c r="G20" s="148" t="e">
        <f ca="1">ROUND(C20*$C$18+D20*$D$18,0)</f>
        <v>#REF!</v>
      </c>
      <c r="H20" s="979" t="s">
        <v>2147</v>
      </c>
      <c r="I20" s="138"/>
    </row>
    <row r="21" spans="1:35" ht="15" customHeight="1" thickBot="1">
      <c r="A21" s="999"/>
      <c r="B21" s="2435" t="s">
        <v>2148</v>
      </c>
      <c r="C21" s="788" t="e">
        <f ca="1">ROUND(C19*10000/L19,0)</f>
        <v>#REF!</v>
      </c>
      <c r="D21" s="789">
        <f ca="1">ROUND(D19*10000/L19,0)</f>
        <v>44252</v>
      </c>
      <c r="E21" s="999"/>
      <c r="F21" s="2435" t="s">
        <v>2148</v>
      </c>
      <c r="G21" s="149" t="e">
        <f ca="1">ROUND(G19*10000/L19,0)</f>
        <v>#REF!</v>
      </c>
      <c r="H21" s="2436" t="s">
        <v>2147</v>
      </c>
      <c r="I21" s="138"/>
    </row>
    <row r="22" spans="1:35" ht="15" thickBot="1">
      <c r="A22" s="2277" t="s">
        <v>2149</v>
      </c>
      <c r="B22" s="2437"/>
      <c r="C22" s="2438"/>
      <c r="D22" s="790" t="e">
        <f ca="1">IF(C19&lt;D19,D19/C19-1,C19/D19-1)</f>
        <v>#REF!</v>
      </c>
      <c r="E22" s="138"/>
      <c r="F22" s="138"/>
      <c r="G22" s="138"/>
      <c r="H22" s="138"/>
      <c r="I22" s="138"/>
    </row>
    <row r="23" spans="1:35" ht="13.8" thickBot="1">
      <c r="A23" s="2415"/>
      <c r="B23" s="2415"/>
      <c r="C23" s="2415"/>
      <c r="D23" s="2415"/>
      <c r="E23" s="138"/>
      <c r="F23" s="138"/>
      <c r="G23" s="138"/>
      <c r="H23" s="138"/>
      <c r="I23" s="138"/>
    </row>
    <row r="24" spans="1:35" ht="14.4">
      <c r="A24" s="3209" t="s">
        <v>2150</v>
      </c>
      <c r="B24" s="2432" t="s">
        <v>2142</v>
      </c>
      <c r="C24" s="145">
        <f>IF(B30=0,0,D30)</f>
        <v>0</v>
      </c>
      <c r="D24" s="2439"/>
      <c r="E24" s="138"/>
      <c r="F24" s="138"/>
      <c r="G24" s="138"/>
      <c r="H24" s="138"/>
      <c r="I24" s="138"/>
    </row>
    <row r="25" spans="1:35" ht="14.4">
      <c r="A25" s="3210"/>
      <c r="B25" s="1246"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2155</v>
      </c>
      <c r="B30" s="151"/>
      <c r="C30" s="151"/>
      <c r="D30" s="151"/>
      <c r="E30" s="2914" t="s">
        <v>3030</v>
      </c>
      <c r="F30" s="138"/>
      <c r="G30" s="138"/>
      <c r="H30" s="138"/>
      <c r="I30" s="138"/>
    </row>
    <row r="31" spans="1:35" s="2443" customFormat="1" ht="14.4"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3" t="e">
        <f ca="1">IF(D32="总价",G19-C24,G20-C25)</f>
        <v>#REF!</v>
      </c>
      <c r="D32" s="2446" t="s">
        <v>2157</v>
      </c>
      <c r="E32" s="138"/>
      <c r="F32" s="138"/>
      <c r="G32" s="138"/>
      <c r="H32" s="138"/>
      <c r="I32" s="138"/>
    </row>
    <row r="33" spans="1:15" ht="14.4">
      <c r="A33" s="956" t="s">
        <v>2158</v>
      </c>
      <c r="B33" s="2447"/>
      <c r="C33" s="2448"/>
      <c r="D33" s="2449"/>
      <c r="E33" s="2450" t="s">
        <v>2159</v>
      </c>
      <c r="F33" s="2952" t="str">
        <f>IF(D32="楼面单价","取值（单价）","取值（总价）")</f>
        <v>取值（总价）</v>
      </c>
      <c r="G33" s="138"/>
      <c r="H33" s="138"/>
      <c r="I33" s="138"/>
    </row>
    <row r="34" spans="1:15" ht="14.4">
      <c r="A34" s="2452"/>
      <c r="B34" s="2453" t="s">
        <v>2160</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2161</v>
      </c>
      <c r="F34" s="1735"/>
      <c r="G34" s="138"/>
      <c r="H34" s="138"/>
      <c r="I34" s="138"/>
    </row>
    <row r="35" spans="1:15" ht="15" thickBot="1">
      <c r="A35" s="2455"/>
      <c r="B35" s="2456" t="s">
        <v>2162</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 thickBot="1">
      <c r="A36" s="3189" t="s">
        <v>2164</v>
      </c>
      <c r="B36" s="2458" t="s">
        <v>2165</v>
      </c>
      <c r="C36" s="154"/>
      <c r="D36" s="2459"/>
      <c r="E36" s="2460"/>
      <c r="F36" s="2461"/>
      <c r="G36" s="138"/>
      <c r="H36" s="138"/>
      <c r="I36" s="138"/>
    </row>
    <row r="37" spans="1:15" ht="15" thickBot="1">
      <c r="A37" s="3190"/>
      <c r="B37" s="2263" t="s">
        <v>2166</v>
      </c>
      <c r="C37" s="156"/>
      <c r="D37" s="1391"/>
      <c r="E37" s="1391"/>
      <c r="F37" s="2461"/>
      <c r="G37" s="138"/>
      <c r="H37" s="138"/>
      <c r="I37" s="138"/>
    </row>
    <row r="38" spans="1:15" ht="15" thickBot="1">
      <c r="A38" s="3191"/>
      <c r="B38" s="2462" t="s">
        <v>2167</v>
      </c>
      <c r="C38" s="726"/>
      <c r="D38" s="2463" t="s">
        <v>2168</v>
      </c>
      <c r="E38" s="1391"/>
      <c r="F38" s="2461"/>
      <c r="G38" s="138"/>
      <c r="H38" s="138"/>
      <c r="I38" s="138"/>
    </row>
    <row r="39" spans="1:15" ht="14.4">
      <c r="A39" s="2434" t="s">
        <v>2169</v>
      </c>
      <c r="B39" s="2464" t="s">
        <v>2152</v>
      </c>
      <c r="C39" s="2465" t="s">
        <v>2153</v>
      </c>
      <c r="D39" s="2465" t="s">
        <v>2172</v>
      </c>
      <c r="E39" s="2466" t="s">
        <v>2154</v>
      </c>
      <c r="F39" s="2461"/>
      <c r="G39" s="138"/>
      <c r="H39" s="138"/>
      <c r="I39" s="138"/>
    </row>
    <row r="40" spans="1:15" ht="13.8">
      <c r="A40" s="2467" t="s">
        <v>2174</v>
      </c>
      <c r="B40" s="158"/>
      <c r="C40" s="159"/>
      <c r="D40" s="159"/>
      <c r="E40" s="160"/>
      <c r="F40" s="2461"/>
      <c r="G40" s="138"/>
      <c r="H40" s="138"/>
      <c r="I40" s="138"/>
    </row>
    <row r="41" spans="1:15" ht="13.8">
      <c r="A41" s="2467" t="s">
        <v>2175</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206" t="s">
        <v>2178</v>
      </c>
      <c r="B45" s="3207"/>
      <c r="C45" s="3208"/>
      <c r="D45" s="164" t="e">
        <f ca="1">ROUND(H101*F45,0)</f>
        <v>#REF!</v>
      </c>
      <c r="E45" s="165" t="s">
        <v>2179</v>
      </c>
      <c r="F45" s="166">
        <v>1</v>
      </c>
      <c r="G45" s="167" t="s">
        <v>2180</v>
      </c>
      <c r="H45" s="138"/>
      <c r="I45" s="138"/>
      <c r="J45" s="3125" t="s">
        <v>2181</v>
      </c>
      <c r="K45" s="3125"/>
      <c r="L45" s="3125"/>
      <c r="M45" s="3125"/>
      <c r="N45" s="3125"/>
      <c r="O45" s="3125"/>
    </row>
    <row r="46" spans="1:15" ht="14.25" customHeight="1">
      <c r="A46" s="3203" t="s">
        <v>2182</v>
      </c>
      <c r="B46" s="3204"/>
      <c r="C46" s="3204"/>
      <c r="D46" s="3204"/>
      <c r="E46" s="3204"/>
      <c r="F46" s="3204"/>
      <c r="G46" s="3205"/>
      <c r="H46" s="2477"/>
      <c r="I46" s="168"/>
      <c r="J46" s="2957">
        <v>1</v>
      </c>
      <c r="K46" s="3125" t="s">
        <v>2183</v>
      </c>
      <c r="L46" s="3125"/>
      <c r="M46" s="3126"/>
      <c r="N46" s="3126"/>
      <c r="O46" s="3126"/>
    </row>
    <row r="47" spans="1:15" ht="12" customHeight="1">
      <c r="A47" s="169" t="s">
        <v>2184</v>
      </c>
      <c r="B47" s="170"/>
      <c r="C47" s="171"/>
      <c r="D47" s="172" t="s">
        <v>2185</v>
      </c>
      <c r="E47" s="24" t="s">
        <v>2186</v>
      </c>
      <c r="F47" s="173" t="s">
        <v>2187</v>
      </c>
      <c r="G47" s="174" t="s">
        <v>2188</v>
      </c>
      <c r="H47" s="2477"/>
      <c r="I47" s="168"/>
      <c r="J47" s="2957">
        <v>2</v>
      </c>
      <c r="K47" s="3125" t="s">
        <v>2189</v>
      </c>
      <c r="L47" s="3125"/>
      <c r="M47" s="3127">
        <f>'数据-取费表'!B2</f>
        <v>43734</v>
      </c>
      <c r="N47" s="3127"/>
      <c r="O47" s="3127"/>
    </row>
    <row r="48" spans="1:15" ht="26.4">
      <c r="A48" s="3193" t="s">
        <v>2190</v>
      </c>
      <c r="B48" s="3194"/>
      <c r="C48" s="3194"/>
      <c r="D48" s="140">
        <f>IF(H48="情况1",0,IF(H48="情况2",D52,IF(H48="情况3",D53,IF(H48="情况4",D54))))</f>
        <v>0</v>
      </c>
      <c r="E48" s="2966" t="str">
        <f>IF(H48="情况4","(销售额-原购置价)×税（费）率","销售额×税（费）率")</f>
        <v>销售额×税（费）率</v>
      </c>
      <c r="F48" s="175" t="str">
        <f>IF(H48="情况1","免征",'数据-取费表'!B41)</f>
        <v>免征</v>
      </c>
      <c r="G48" s="2478" t="s">
        <v>2191</v>
      </c>
      <c r="H48" s="2479" t="s">
        <v>2192</v>
      </c>
      <c r="I48" s="2477"/>
      <c r="J48" s="2957">
        <v>3</v>
      </c>
      <c r="K48" s="3125" t="s">
        <v>2193</v>
      </c>
      <c r="L48" s="3125"/>
      <c r="M48" s="3128" t="e">
        <f ca="1">H101</f>
        <v>#REF!</v>
      </c>
      <c r="N48" s="3128"/>
      <c r="O48" s="3128"/>
    </row>
    <row r="49" spans="1:35" ht="25.5" customHeight="1">
      <c r="A49" s="176" t="s">
        <v>2194</v>
      </c>
      <c r="B49" s="3173" t="s">
        <v>2195</v>
      </c>
      <c r="C49" s="3173"/>
      <c r="D49" s="177">
        <v>0</v>
      </c>
      <c r="E49" s="23" t="s">
        <v>2196</v>
      </c>
      <c r="F49" s="28" t="s">
        <v>34</v>
      </c>
      <c r="G49" s="3154"/>
      <c r="H49" s="138"/>
      <c r="I49" s="2480"/>
      <c r="J49" s="2957">
        <v>4</v>
      </c>
      <c r="K49" s="3125" t="str">
        <f>IF(项目基本情况!E8="房地产抵押价值","房地产抵押价值","抵押担保权已注销时的房地产抵押价值")</f>
        <v>房地产抵押价值</v>
      </c>
      <c r="L49" s="3125"/>
      <c r="M49" s="3128" t="e">
        <f ca="1">IF(项目基本情况!E8="房地产抵押价值",H107,H109)</f>
        <v>#REF!</v>
      </c>
      <c r="N49" s="3128"/>
      <c r="O49" s="3128"/>
    </row>
    <row r="50" spans="1:35" ht="25.5" customHeight="1">
      <c r="A50" s="178"/>
      <c r="B50" s="3173" t="s">
        <v>2197</v>
      </c>
      <c r="C50" s="3173"/>
      <c r="D50" s="179"/>
      <c r="E50" s="31"/>
      <c r="F50" s="180"/>
      <c r="G50" s="3155"/>
      <c r="H50" s="138"/>
      <c r="I50" s="2480"/>
      <c r="J50" s="3125" t="s">
        <v>2198</v>
      </c>
      <c r="K50" s="3125"/>
      <c r="L50" s="3125"/>
      <c r="M50" s="3125"/>
      <c r="N50" s="3125"/>
      <c r="O50" s="3125"/>
    </row>
    <row r="51" spans="1:35" ht="12" customHeight="1">
      <c r="A51" s="181"/>
      <c r="B51" s="3173" t="s">
        <v>2199</v>
      </c>
      <c r="C51" s="3173"/>
      <c r="D51" s="182"/>
      <c r="E51" s="30"/>
      <c r="F51" s="180"/>
      <c r="G51" s="3156"/>
      <c r="H51" s="138"/>
      <c r="I51" s="2480"/>
      <c r="J51" s="2954" t="s">
        <v>2200</v>
      </c>
      <c r="K51" s="3125" t="s">
        <v>2201</v>
      </c>
      <c r="L51" s="3125"/>
      <c r="M51" s="2954" t="s">
        <v>2202</v>
      </c>
      <c r="N51" s="2954" t="s">
        <v>2203</v>
      </c>
      <c r="O51" s="2954" t="s">
        <v>2204</v>
      </c>
    </row>
    <row r="52" spans="1:35" ht="24" customHeight="1">
      <c r="A52" s="183" t="s">
        <v>2205</v>
      </c>
      <c r="B52" s="3173" t="s">
        <v>2206</v>
      </c>
      <c r="C52" s="3173"/>
      <c r="D52" s="182" t="e">
        <f ca="1">ROUND(D45*'数据-取费表'!B41/(1+'数据-取费表'!C42),0)</f>
        <v>#REF!</v>
      </c>
      <c r="E52" s="11" t="s">
        <v>2207</v>
      </c>
      <c r="F52" s="184">
        <f>'数据-取费表'!B41</f>
        <v>5.6000000000000001E-2</v>
      </c>
      <c r="G52" s="2482"/>
      <c r="H52" s="138"/>
      <c r="I52" s="2480"/>
      <c r="J52" s="2957">
        <v>1</v>
      </c>
      <c r="K52" s="3148" t="s">
        <v>2208</v>
      </c>
      <c r="L52" s="3148"/>
      <c r="M52" s="1750">
        <f>D48</f>
        <v>0</v>
      </c>
      <c r="N52" s="2957" t="str">
        <f>E48</f>
        <v>销售额×税（费）率</v>
      </c>
      <c r="O52" s="1751" t="str">
        <f>F48</f>
        <v>免征</v>
      </c>
    </row>
    <row r="53" spans="1:35" ht="12" customHeight="1">
      <c r="A53" s="183" t="s">
        <v>2209</v>
      </c>
      <c r="B53" s="3174" t="s">
        <v>2210</v>
      </c>
      <c r="C53" s="3175"/>
      <c r="D53" s="182" t="e">
        <f ca="1">ROUND(D45*'数据-取费表'!B41/(1+'数据-取费表'!C42),0)</f>
        <v>#REF!</v>
      </c>
      <c r="E53" s="11" t="s">
        <v>2207</v>
      </c>
      <c r="F53" s="184">
        <f>'数据-取费表'!B41</f>
        <v>5.6000000000000001E-2</v>
      </c>
      <c r="G53" s="2482"/>
      <c r="H53" s="138"/>
      <c r="I53" s="2480"/>
      <c r="J53" s="2957">
        <v>2</v>
      </c>
      <c r="K53" s="3148" t="s">
        <v>2211</v>
      </c>
      <c r="L53" s="3148"/>
      <c r="M53" s="1750" t="e">
        <f t="shared" ref="M53:O54" ca="1" si="0">D55</f>
        <v>#REF!</v>
      </c>
      <c r="N53" s="2957" t="str">
        <f t="shared" si="0"/>
        <v>销售额×税（费）率</v>
      </c>
      <c r="O53" s="1751">
        <f t="shared" si="0"/>
        <v>5.0000000000000001E-4</v>
      </c>
    </row>
    <row r="54" spans="1:35" ht="12" customHeight="1">
      <c r="A54" s="183" t="s">
        <v>2212</v>
      </c>
      <c r="B54" s="3174" t="s">
        <v>2213</v>
      </c>
      <c r="C54" s="3175"/>
      <c r="D54" s="182" t="e">
        <f ca="1">C68</f>
        <v>#REF!</v>
      </c>
      <c r="E54" s="30" t="s">
        <v>2214</v>
      </c>
      <c r="F54" s="184">
        <f>'数据-取费表'!B41</f>
        <v>5.6000000000000001E-2</v>
      </c>
      <c r="G54" s="2482"/>
      <c r="H54" s="2483"/>
      <c r="I54" s="2480"/>
      <c r="J54" s="2957">
        <v>3</v>
      </c>
      <c r="K54" s="3148" t="s">
        <v>2215</v>
      </c>
      <c r="L54" s="3148"/>
      <c r="M54" s="1750" t="e">
        <f t="shared" ca="1" si="0"/>
        <v>#REF!</v>
      </c>
      <c r="N54" s="2957" t="str">
        <f t="shared" si="0"/>
        <v>增值额×税（费）率</v>
      </c>
      <c r="O54" s="1752" t="str">
        <f t="shared" si="0"/>
        <v>——</v>
      </c>
    </row>
    <row r="55" spans="1:35" ht="24" customHeight="1">
      <c r="A55" s="3212" t="s">
        <v>2216</v>
      </c>
      <c r="B55" s="3194"/>
      <c r="C55" s="3194"/>
      <c r="D55" s="185" t="e">
        <f ca="1">IF(H55="个人住宅",0,ROUND(D45*I55,0))</f>
        <v>#REF!</v>
      </c>
      <c r="E55" s="11" t="s">
        <v>2217</v>
      </c>
      <c r="F55" s="184">
        <f>IF(H55="正常",I55,"免征")</f>
        <v>5.0000000000000001E-4</v>
      </c>
      <c r="G55" s="2482"/>
      <c r="H55" s="2479" t="s">
        <v>2218</v>
      </c>
      <c r="I55" s="186">
        <f>'数据-取费表'!B49</f>
        <v>5.0000000000000001E-4</v>
      </c>
      <c r="J55" s="2957" t="str">
        <f>IF(H59="非个人房产","",4)</f>
        <v/>
      </c>
      <c r="K55" s="3148" t="str">
        <f>IF(H59="非个人房产","——","个人所得税")</f>
        <v>——</v>
      </c>
      <c r="L55" s="3148"/>
      <c r="M55" s="1753" t="str">
        <f>D59</f>
        <v>——</v>
      </c>
      <c r="N55" s="2958" t="str">
        <f>E59</f>
        <v>——</v>
      </c>
      <c r="O55" s="1754" t="str">
        <f>F59</f>
        <v>——</v>
      </c>
    </row>
    <row r="56" spans="1:35" ht="25.2">
      <c r="A56" s="3212" t="s">
        <v>2219</v>
      </c>
      <c r="B56" s="3194"/>
      <c r="C56" s="3194"/>
      <c r="D56" s="185" t="e">
        <f ca="1">IF(H56="个人住宅",D57,D58)</f>
        <v>#REF!</v>
      </c>
      <c r="E56" s="11" t="s">
        <v>2220</v>
      </c>
      <c r="F56" s="184" t="str">
        <f>IF(H56="正常",F58,"免征")</f>
        <v>——</v>
      </c>
      <c r="G56" s="2484" t="s">
        <v>2221</v>
      </c>
      <c r="H56" s="2485" t="s">
        <v>2218</v>
      </c>
      <c r="I56" s="2486"/>
      <c r="J56" s="2957" t="str">
        <f>IF(项目基本情况!K6="上海银行",IF(J55="",4,J55+1),"")</f>
        <v/>
      </c>
      <c r="K56" s="3131" t="str">
        <f>IF(项目基本情况!K6="上海银行","其他处置费用","")</f>
        <v/>
      </c>
      <c r="L56" s="3132"/>
      <c r="M56" s="1750" t="str">
        <f>IF(项目基本情况!K6="上海银行",M69,"")</f>
        <v/>
      </c>
      <c r="N56" s="3134" t="str">
        <f>IF(项目基本情况!K6="上海银行","包含处置中涉及的律师、诉讼、拍卖、评估等费用","")</f>
        <v/>
      </c>
      <c r="O56" s="3135"/>
    </row>
    <row r="57" spans="1:35" ht="13.2">
      <c r="A57" s="183" t="s">
        <v>2194</v>
      </c>
      <c r="B57" s="3179" t="s">
        <v>2222</v>
      </c>
      <c r="C57" s="3180"/>
      <c r="D57" s="187">
        <v>0</v>
      </c>
      <c r="E57" s="23" t="s">
        <v>2196</v>
      </c>
      <c r="F57" s="155"/>
      <c r="G57" s="2482"/>
      <c r="H57" s="2486"/>
      <c r="I57" s="2486"/>
      <c r="J57" s="3148">
        <f>IF(AND(J55="",J56=""),4,IF(项目基本情况!K6="上海银行",'结果表 (3号楼)'!J56+1,'结果表 (3号楼)'!J55+1))</f>
        <v>4</v>
      </c>
      <c r="K57" s="3148" t="s">
        <v>2223</v>
      </c>
      <c r="L57" s="2487" t="s">
        <v>2224</v>
      </c>
      <c r="M57" s="1755"/>
      <c r="N57" s="1756">
        <f ca="1">SUMIF(M52:M56,"&lt;9e307")</f>
        <v>0</v>
      </c>
      <c r="O57" s="2488"/>
      <c r="P57" s="1749" t="e">
        <f ca="1">N57/M49</f>
        <v>#REF!</v>
      </c>
    </row>
    <row r="58" spans="1:35" ht="25.2">
      <c r="A58" s="183" t="s">
        <v>2205</v>
      </c>
      <c r="B58" s="3179" t="s">
        <v>2225</v>
      </c>
      <c r="C58" s="3192"/>
      <c r="D58" s="185" t="e">
        <f ca="1">IF(H58="转让取得",C81,C97)</f>
        <v>#REF!</v>
      </c>
      <c r="E58" s="11" t="s">
        <v>2220</v>
      </c>
      <c r="F58" s="24" t="s">
        <v>34</v>
      </c>
      <c r="G58" s="2482"/>
      <c r="H58" s="2485" t="s">
        <v>2226</v>
      </c>
      <c r="I58" s="2486"/>
      <c r="J58" s="3148"/>
      <c r="K58" s="3148"/>
      <c r="L58" s="2487" t="s">
        <v>2227</v>
      </c>
      <c r="M58" s="1757"/>
      <c r="N58" s="2489" t="str">
        <f ca="1">NUMBERSTRING(INT(N57*10000),2)&amp;"元整"</f>
        <v>零元整</v>
      </c>
      <c r="O58" s="2490"/>
    </row>
    <row r="59" spans="1:35" ht="24.6" thickBot="1">
      <c r="A59" s="3152" t="s">
        <v>2228</v>
      </c>
      <c r="B59" s="3153"/>
      <c r="C59" s="3153"/>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50">
        <f>J57+1</f>
        <v>5</v>
      </c>
      <c r="K59" s="3148" t="s">
        <v>2230</v>
      </c>
      <c r="L59" s="2957" t="s">
        <v>2224</v>
      </c>
      <c r="M59" s="1758"/>
      <c r="N59" s="1759" t="e">
        <f ca="1">M49-N57</f>
        <v>#REF!</v>
      </c>
      <c r="O59" s="2492"/>
    </row>
    <row r="60" spans="1:35" ht="12" customHeight="1">
      <c r="A60" s="2493"/>
      <c r="B60" s="2415"/>
      <c r="C60" s="2415"/>
      <c r="D60" s="2415"/>
      <c r="E60" s="2162"/>
      <c r="F60" s="2486"/>
      <c r="G60" s="2486"/>
      <c r="H60" s="2494"/>
      <c r="I60" s="138"/>
      <c r="J60" s="3151"/>
      <c r="K60" s="3148"/>
      <c r="L60" s="2487" t="s">
        <v>2227</v>
      </c>
      <c r="M60" s="1757"/>
      <c r="N60" s="2489" t="e">
        <f ca="1">NUMBERSTRING(INT(N59*10000),2)&amp;"元整"</f>
        <v>#REF!</v>
      </c>
      <c r="O60" s="2490"/>
    </row>
    <row r="61" spans="1:35" ht="13.8" thickBot="1">
      <c r="A61" s="3211" t="s">
        <v>2231</v>
      </c>
      <c r="B61" s="3211"/>
      <c r="C61" s="3211"/>
      <c r="D61" s="3211"/>
      <c r="E61" s="3211"/>
      <c r="F61" s="2486"/>
      <c r="G61" s="2486"/>
      <c r="H61" s="2494"/>
      <c r="I61" s="138"/>
      <c r="J61" s="2957">
        <f>J59+1</f>
        <v>6</v>
      </c>
      <c r="K61" s="3148" t="s">
        <v>2232</v>
      </c>
      <c r="L61" s="3148"/>
      <c r="M61" s="1760"/>
      <c r="N61" s="1761" t="e">
        <f ca="1">ROUND(N59*10000/'数据-汇总表'!E3,0)</f>
        <v>#REF!</v>
      </c>
      <c r="O61" s="2495"/>
    </row>
    <row r="62" spans="1:35" ht="13.2">
      <c r="A62" s="3168" t="s">
        <v>2233</v>
      </c>
      <c r="B62" s="3169"/>
      <c r="C62" s="2962"/>
      <c r="D62" s="2962" t="s">
        <v>2234</v>
      </c>
      <c r="E62" s="192" t="s">
        <v>2235</v>
      </c>
      <c r="F62" s="2486"/>
      <c r="G62" s="2486"/>
      <c r="H62" s="2494"/>
      <c r="I62" s="138"/>
    </row>
    <row r="63" spans="1:35" ht="13.2">
      <c r="A63" s="203" t="s">
        <v>775</v>
      </c>
      <c r="B63" s="193" t="s">
        <v>2236</v>
      </c>
      <c r="C63" s="194" t="e">
        <f ca="1">ROUND((C64+C65)/(1+'数据-取费表'!C42),0)</f>
        <v>#REF!</v>
      </c>
      <c r="D63" s="195"/>
      <c r="E63" s="196"/>
      <c r="F63" s="2486"/>
      <c r="G63" s="2486"/>
      <c r="H63" s="2494"/>
      <c r="I63" s="138"/>
      <c r="J63" s="3133" t="s">
        <v>2237</v>
      </c>
      <c r="K63" s="2955" t="s">
        <v>2238</v>
      </c>
      <c r="L63" s="1748" t="e">
        <f ca="1">IF(M49&gt;10000,M49*0.5%,IF(AND(M49&gt;1000,M49&lt;=10000),M49*1%,IF(AND(M49&gt;100,M49&lt;=1000),M49*3%,IF(AND(M49&gt;10,M49&lt;=100),M49*5%,M49*8%))))</f>
        <v>#REF!</v>
      </c>
      <c r="M63" s="24" t="e">
        <f ca="1">ROUND(L63,1)</f>
        <v>#REF!</v>
      </c>
      <c r="Z63" s="2420"/>
      <c r="AI63" s="2421"/>
    </row>
    <row r="64" spans="1:35" ht="14.25" customHeight="1">
      <c r="A64" s="197" t="s">
        <v>770</v>
      </c>
      <c r="B64" s="198" t="s">
        <v>2239</v>
      </c>
      <c r="C64" s="199" t="e">
        <f ca="1">D45</f>
        <v>#REF!</v>
      </c>
      <c r="D64" s="200" t="s">
        <v>32</v>
      </c>
      <c r="E64" s="201"/>
      <c r="F64" s="2486"/>
      <c r="G64" s="2486"/>
      <c r="H64" s="2494"/>
      <c r="I64" s="138"/>
      <c r="J64" s="3133"/>
      <c r="K64" s="2955" t="s">
        <v>2240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2241</v>
      </c>
      <c r="Z64" s="2420"/>
      <c r="AI64" s="2421"/>
    </row>
    <row r="65" spans="1:35" ht="14.25" customHeight="1">
      <c r="A65" s="197" t="s">
        <v>771</v>
      </c>
      <c r="B65" s="198" t="s">
        <v>2242</v>
      </c>
      <c r="C65" s="202"/>
      <c r="D65" s="200"/>
      <c r="E65" s="201"/>
      <c r="F65" s="2486"/>
      <c r="G65" s="2486"/>
      <c r="H65" s="2494"/>
      <c r="I65" s="138"/>
      <c r="J65" s="3133"/>
      <c r="K65" s="2955" t="s">
        <v>2243</v>
      </c>
      <c r="L65" s="1748" t="e">
        <f ca="1">IF(M49&gt;1000,M49*0.1%,IF(AND(M49&gt;500,M49&lt;=1000),M49*0.5%,IF(AND(M49&gt;50,M49&lt;=500),M49*1%,IF(AND(M49&gt;1,M49&lt;=50),M49*1.5%))))</f>
        <v>#REF!</v>
      </c>
      <c r="M65" s="24" t="e">
        <f t="shared" ca="1" si="1"/>
        <v>#REF!</v>
      </c>
      <c r="N65" s="138" t="s">
        <v>2241</v>
      </c>
      <c r="Z65" s="2420"/>
      <c r="AI65" s="2421"/>
    </row>
    <row r="66" spans="1:35" ht="14.25" customHeight="1">
      <c r="A66" s="203" t="s">
        <v>772</v>
      </c>
      <c r="B66" s="204" t="s">
        <v>2244</v>
      </c>
      <c r="C66" s="205"/>
      <c r="D66" s="206" t="s">
        <v>32</v>
      </c>
      <c r="E66" s="1772" t="s">
        <v>1367</v>
      </c>
      <c r="F66" s="2486"/>
      <c r="G66" s="2486"/>
      <c r="H66" s="2494"/>
      <c r="I66" s="138"/>
      <c r="J66" s="3133"/>
      <c r="K66" s="2955" t="s">
        <v>2245</v>
      </c>
      <c r="L66" s="1748" t="e">
        <f ca="1">M49*0.5%</f>
        <v>#REF!</v>
      </c>
      <c r="M66" s="24" t="e">
        <f ca="1">IF(L66&gt;0.5,0.5,ROUND(L66,0))</f>
        <v>#REF!</v>
      </c>
      <c r="N66" s="138" t="s">
        <v>2246</v>
      </c>
      <c r="Z66" s="2420"/>
      <c r="AI66" s="2421"/>
    </row>
    <row r="67" spans="1:35" ht="14.25" customHeight="1">
      <c r="A67" s="203" t="s">
        <v>773</v>
      </c>
      <c r="B67" s="204" t="s">
        <v>2247</v>
      </c>
      <c r="C67" s="207" t="e">
        <f ca="1">C63-C66</f>
        <v>#REF!</v>
      </c>
      <c r="D67" s="200" t="s">
        <v>32</v>
      </c>
      <c r="E67" s="201"/>
      <c r="F67" s="2486"/>
      <c r="G67" s="2486"/>
      <c r="H67" s="2494"/>
      <c r="I67" s="138"/>
      <c r="J67" s="3133"/>
      <c r="K67" s="2955" t="s">
        <v>2248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0"/>
      <c r="AI67" s="2421"/>
    </row>
    <row r="68" spans="1:35" ht="14.25" customHeight="1" thickBot="1">
      <c r="A68" s="208" t="s">
        <v>774</v>
      </c>
      <c r="B68" s="209" t="s">
        <v>2249</v>
      </c>
      <c r="C68" s="210" t="e">
        <f ca="1">IF(C67&lt;=0,0,ROUND(C67*D68,0))</f>
        <v>#REF!</v>
      </c>
      <c r="D68" s="211">
        <f>'数据-取费表'!B41</f>
        <v>5.6000000000000001E-2</v>
      </c>
      <c r="E68" s="212"/>
      <c r="F68" s="2486"/>
      <c r="G68" s="2486"/>
      <c r="H68" s="2494"/>
      <c r="I68" s="138"/>
      <c r="J68" s="3133"/>
      <c r="K68" s="2955" t="s">
        <v>2250</v>
      </c>
      <c r="L68" s="1748" t="e">
        <f ca="1">IF(M49&gt;10000,M49*0.5%,IF(AND(M49&gt;5000,M49&lt;=10000),M49*1%,IF(AND(M49&gt;1000,M49&lt;=5000),M49*2%,IF(AND(M49&gt;200,M49&lt;=1000),M49*3%,M49*5%))))</f>
        <v>#REF!</v>
      </c>
      <c r="M68" s="24" t="e">
        <f ca="1">ROUND(L68,1)</f>
        <v>#REF!</v>
      </c>
      <c r="Z68" s="2420"/>
      <c r="AI68" s="2421"/>
    </row>
    <row r="69" spans="1:35" s="2443" customFormat="1" ht="16.5" customHeight="1">
      <c r="A69" s="2497"/>
      <c r="B69" s="2498"/>
      <c r="C69" s="2499"/>
      <c r="D69" s="2500"/>
      <c r="E69" s="2501"/>
      <c r="F69" s="2162"/>
      <c r="G69" s="2162"/>
      <c r="H69" s="2161"/>
      <c r="I69" s="2415"/>
      <c r="J69" s="3133"/>
      <c r="K69" s="2955" t="s">
        <v>2251</v>
      </c>
      <c r="L69" s="2502"/>
      <c r="M69" s="24" t="e">
        <f ca="1">ROUND(SUM(M63:M68),0)</f>
        <v>#REF!</v>
      </c>
      <c r="N69" s="1749" t="e">
        <f ca="1">M69/M49</f>
        <v>#REF!</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77" t="s">
        <v>2252</v>
      </c>
      <c r="B70" s="3178"/>
      <c r="C70" s="3178"/>
      <c r="D70" s="3178"/>
      <c r="E70" s="3178"/>
      <c r="F70" s="3178"/>
      <c r="G70" s="3178"/>
      <c r="H70" s="317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68" t="s">
        <v>2233</v>
      </c>
      <c r="B71" s="3169"/>
      <c r="C71" s="2962"/>
      <c r="D71" s="2962"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2253</v>
      </c>
      <c r="C72" s="207" t="e">
        <f ca="1">ROUND(D45/(1+'数据-取费表'!C42),0)</f>
        <v>#REF!</v>
      </c>
      <c r="D72" s="200" t="s">
        <v>32</v>
      </c>
      <c r="E72" s="2964"/>
      <c r="F72" s="2963"/>
      <c r="G72" s="296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2254</v>
      </c>
      <c r="C73" s="207" t="e">
        <f ca="1">C74+C78</f>
        <v>#REF!</v>
      </c>
      <c r="D73" s="200" t="s">
        <v>32</v>
      </c>
      <c r="E73" s="2964"/>
      <c r="F73" s="2963"/>
      <c r="G73" s="296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2964"/>
      <c r="F74" s="2963"/>
      <c r="G74" s="296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74" t="s">
        <v>2261</v>
      </c>
      <c r="F76" s="3173"/>
      <c r="G76" s="3173"/>
      <c r="H76" s="317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510" t="s">
        <v>2264</v>
      </c>
      <c r="H77" s="296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t="e">
        <f ca="1">ROUND(D45*D78/(1+'数据-取费表'!C42),0)</f>
        <v>#REF!</v>
      </c>
      <c r="D78" s="226">
        <f>'数据-取费表'!B43</f>
        <v>6.000000000000001E-3</v>
      </c>
      <c r="E78" s="3165" t="s">
        <v>2266</v>
      </c>
      <c r="F78" s="3166"/>
      <c r="G78" s="3166"/>
      <c r="H78" s="316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773</v>
      </c>
      <c r="B79" s="204" t="s">
        <v>2267</v>
      </c>
      <c r="C79" s="207" t="e">
        <f ca="1">C72-C73</f>
        <v>#REF!</v>
      </c>
      <c r="D79" s="200" t="s">
        <v>32</v>
      </c>
      <c r="E79" s="2964"/>
      <c r="F79" s="2963"/>
      <c r="G79" s="296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t="e">
        <f ca="1">IF(C79&lt;=0,0,C79/C73)</f>
        <v>#REF!</v>
      </c>
      <c r="D80" s="200" t="s">
        <v>32</v>
      </c>
      <c r="E80" s="2956" t="e">
        <f ca="1">IF(C80&gt;=200%,"增值额超过扣除项目金额200%",IF(C80&gt;=100%,"增值额超过扣除项目金额100%，未超过200%",IF(C80&gt;=50%,"增值额超过扣除项目金额50%，未超过100%",IF(C80&lt;50%,"增值额未超过扣除项目金额50%"))))</f>
        <v>#REF!</v>
      </c>
      <c r="F80" s="2963"/>
      <c r="G80" s="296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2269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77" t="s">
        <v>2270</v>
      </c>
      <c r="B83" s="3178"/>
      <c r="C83" s="3178"/>
      <c r="D83" s="3178"/>
      <c r="E83" s="3178"/>
      <c r="F83" s="3178"/>
      <c r="G83" s="3178"/>
      <c r="H83" s="31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68" t="s">
        <v>2233</v>
      </c>
      <c r="B84" s="3169"/>
      <c r="C84" s="2962"/>
      <c r="D84" s="2962"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2253</v>
      </c>
      <c r="C85" s="207" t="e">
        <f ca="1">ROUND(D45/(1+'数据-取费表'!C42),0)</f>
        <v>#REF!</v>
      </c>
      <c r="D85" s="200" t="s">
        <v>32</v>
      </c>
      <c r="E85" s="2964"/>
      <c r="F85" s="2963"/>
      <c r="G85" s="296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2254</v>
      </c>
      <c r="C86" s="207" t="e">
        <f ca="1">IF(H88="仅含出让金",C87+C90+C91+C92+C93+C94,C87+C91+C92+C93+C94)</f>
        <v>#REF!</v>
      </c>
      <c r="D86" s="235"/>
      <c r="E86" s="2964"/>
      <c r="F86" s="2963"/>
      <c r="G86" s="296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2271</v>
      </c>
      <c r="C87" s="225">
        <f>C88+C89</f>
        <v>0</v>
      </c>
      <c r="D87" s="226"/>
      <c r="E87" s="2959"/>
      <c r="F87" s="2960"/>
      <c r="G87" s="2960"/>
      <c r="H87" s="296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2272</v>
      </c>
      <c r="C88" s="236"/>
      <c r="D88" s="226"/>
      <c r="E88" s="237" t="s">
        <v>2273</v>
      </c>
      <c r="F88" s="2960"/>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2262</v>
      </c>
      <c r="C89" s="225">
        <f>ROUND(C88*D89,0)</f>
        <v>0</v>
      </c>
      <c r="D89" s="226">
        <f>'数据-取费表'!B48+'数据-取费表'!B49</f>
        <v>3.0499999999999999E-2</v>
      </c>
      <c r="E89" s="237" t="s">
        <v>2275</v>
      </c>
      <c r="F89" s="2960"/>
      <c r="G89" s="2960"/>
      <c r="H89" s="296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2276</v>
      </c>
      <c r="C90" s="236"/>
      <c r="D90" s="226"/>
      <c r="E90" s="237" t="str">
        <f>IF(H88="-","土地取得成本中已包含该笔费用"," ")</f>
        <v xml:space="preserve"> </v>
      </c>
      <c r="F90" s="2960"/>
      <c r="G90" s="2960"/>
      <c r="H90" s="296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65" t="s">
        <v>2279</v>
      </c>
      <c r="F91" s="3166"/>
      <c r="G91" s="3166"/>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65" t="s">
        <v>2283</v>
      </c>
      <c r="F92" s="3166"/>
      <c r="G92" s="3166"/>
      <c r="H92" s="316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t="e">
        <f ca="1">ROUND(D45*D93/(1+'数据-取费表'!C42),0)</f>
        <v>#REF!</v>
      </c>
      <c r="D93" s="226">
        <f>'数据-取费表'!B43</f>
        <v>6.000000000000001E-3</v>
      </c>
      <c r="E93" s="3165" t="s">
        <v>2266</v>
      </c>
      <c r="F93" s="3166"/>
      <c r="G93" s="3166"/>
      <c r="H93" s="316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213" t="s">
        <v>2287</v>
      </c>
      <c r="F94" s="3214"/>
      <c r="G94" s="3214"/>
      <c r="H94" s="321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773</v>
      </c>
      <c r="B95" s="204" t="s">
        <v>2267</v>
      </c>
      <c r="C95" s="207" t="e">
        <f ca="1">ROUND(C85-C86,0)</f>
        <v>#REF!</v>
      </c>
      <c r="D95" s="200" t="s">
        <v>32</v>
      </c>
      <c r="E95" s="2964"/>
      <c r="F95" s="2963"/>
      <c r="G95" s="296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t="e">
        <f ca="1">IF(C95&lt;=0,0,C95/C86)</f>
        <v>#REF!</v>
      </c>
      <c r="D96" s="200" t="s">
        <v>32</v>
      </c>
      <c r="E96" s="2956" t="e">
        <f ca="1">IF(C96&gt;=200%,"增值额超过扣除项目金额200%",IF(C96&gt;=100%,"增值额超过扣除项目金额100%，未超过200%",IF(C96&gt;=50%,"增值额超过扣除项目金额50%，未超过100%",IF(C96&lt;50%,"增值额未超过扣除项目金额50%"))))</f>
        <v>#REF!</v>
      </c>
      <c r="F96" s="2963"/>
      <c r="G96" s="296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2269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2288</v>
      </c>
      <c r="B99" s="2415"/>
      <c r="C99" s="2415"/>
      <c r="D99" s="2415"/>
      <c r="E99" s="2162"/>
      <c r="F99" s="2162"/>
      <c r="G99" s="2162"/>
      <c r="H99" s="2161"/>
      <c r="I99" s="138"/>
    </row>
    <row r="100" spans="1:35" ht="18.75" customHeight="1">
      <c r="A100" s="3117" t="s">
        <v>2289</v>
      </c>
      <c r="B100" s="3118"/>
      <c r="C100" s="3118"/>
      <c r="D100" s="3149"/>
      <c r="E100" s="3118" t="s">
        <v>2290</v>
      </c>
      <c r="F100" s="3118"/>
      <c r="G100" s="3118"/>
      <c r="H100" s="3149"/>
      <c r="I100" s="138"/>
    </row>
    <row r="101" spans="1:35" ht="18.75" customHeight="1">
      <c r="A101" s="3157" t="s">
        <v>2291</v>
      </c>
      <c r="B101" s="3158"/>
      <c r="C101" s="735" t="str">
        <f>C4</f>
        <v>收益法</v>
      </c>
      <c r="D101" s="736" t="str">
        <f>D4</f>
        <v>比较法-商业</v>
      </c>
      <c r="E101" s="3129" t="s">
        <v>2292</v>
      </c>
      <c r="F101" s="3130"/>
      <c r="G101" s="2517" t="s">
        <v>2293</v>
      </c>
      <c r="H101" s="1044" t="e">
        <f ca="1">H118</f>
        <v>#REF!</v>
      </c>
      <c r="I101" s="138"/>
    </row>
    <row r="102" spans="1:35" ht="18.75" customHeight="1">
      <c r="A102" s="3159" t="s">
        <v>2294</v>
      </c>
      <c r="B102" s="2517" t="s">
        <v>2293</v>
      </c>
      <c r="C102" s="735" t="e">
        <f ca="1">C19</f>
        <v>#REF!</v>
      </c>
      <c r="D102" s="736">
        <f ca="1">D19</f>
        <v>5434</v>
      </c>
      <c r="E102" s="3129"/>
      <c r="F102" s="3130"/>
      <c r="G102" s="2517" t="s">
        <v>2295</v>
      </c>
      <c r="H102" s="371" t="e">
        <f ca="1">I118</f>
        <v>#REF!</v>
      </c>
      <c r="I102" s="138"/>
    </row>
    <row r="103" spans="1:35" ht="42.75" customHeight="1">
      <c r="A103" s="3159"/>
      <c r="B103" s="2517" t="s">
        <v>2295</v>
      </c>
      <c r="C103" s="737" t="e">
        <f ca="1">C20</f>
        <v>#REF!</v>
      </c>
      <c r="D103" s="738">
        <f ca="1">D20</f>
        <v>40537</v>
      </c>
      <c r="E103" s="3123" t="s">
        <v>2296</v>
      </c>
      <c r="F103" s="3124"/>
      <c r="G103" s="2518" t="s">
        <v>2297</v>
      </c>
      <c r="H103" s="1044">
        <f>IF(D36="正常操作",H104+H105+H106,H105+H106)</f>
        <v>0</v>
      </c>
      <c r="I103" s="138"/>
    </row>
    <row r="104" spans="1:35" ht="18.75" customHeight="1">
      <c r="A104" s="3159" t="s">
        <v>2298</v>
      </c>
      <c r="B104" s="2519" t="s">
        <v>2293</v>
      </c>
      <c r="C104" s="739" t="e">
        <f ca="1">H118</f>
        <v>#REF!</v>
      </c>
      <c r="D104" s="740"/>
      <c r="E104" s="2263" t="s">
        <v>2299</v>
      </c>
      <c r="F104" s="2254"/>
      <c r="G104" s="2518" t="s">
        <v>2297</v>
      </c>
      <c r="H104" s="1045">
        <f>IF(D36="同一抵押权人同一抵押物续贷",C36&amp;"（未扣减，详见特别提示）",C36)</f>
        <v>0</v>
      </c>
      <c r="I104" s="138"/>
    </row>
    <row r="105" spans="1:35" ht="18.75" customHeight="1" thickBot="1">
      <c r="A105" s="3171"/>
      <c r="B105" s="2520" t="s">
        <v>2295</v>
      </c>
      <c r="C105" s="741" t="e">
        <f ca="1">I118</f>
        <v>#REF!</v>
      </c>
      <c r="D105" s="742"/>
      <c r="E105" s="2263" t="s">
        <v>2300</v>
      </c>
      <c r="F105" s="2254"/>
      <c r="G105" s="2518" t="s">
        <v>2297</v>
      </c>
      <c r="H105" s="1045">
        <f>C37</f>
        <v>0</v>
      </c>
      <c r="I105" s="138"/>
    </row>
    <row r="106" spans="1:35" ht="18.75" customHeight="1">
      <c r="A106" s="2415" t="s">
        <v>2301</v>
      </c>
      <c r="B106" s="2415"/>
      <c r="C106" s="2415"/>
      <c r="D106" s="2415"/>
      <c r="E106" s="2521" t="s">
        <v>2302</v>
      </c>
      <c r="F106" s="2254"/>
      <c r="G106" s="2518" t="s">
        <v>2297</v>
      </c>
      <c r="H106" s="1045">
        <f>C38</f>
        <v>0</v>
      </c>
      <c r="I106" s="138"/>
    </row>
    <row r="107" spans="1:35" ht="18.75" customHeight="1">
      <c r="A107" s="138"/>
      <c r="B107" s="138"/>
      <c r="C107" s="138"/>
      <c r="D107" s="138"/>
      <c r="E107" s="3160" t="str">
        <f>IF(项目基本情况!E8="已注销","——","3.房地产抵押价值")</f>
        <v>3.房地产抵押价值</v>
      </c>
      <c r="F107" s="3130"/>
      <c r="G107" s="2517" t="s">
        <v>2293</v>
      </c>
      <c r="H107" s="1044" t="e">
        <f ca="1">IF(E107="——","——",H101-H103)</f>
        <v>#REF!</v>
      </c>
      <c r="I107" s="138"/>
    </row>
    <row r="108" spans="1:35" ht="18.75" customHeight="1">
      <c r="A108" s="138"/>
      <c r="B108" s="138"/>
      <c r="C108" s="138"/>
      <c r="D108" s="138"/>
      <c r="E108" s="3160"/>
      <c r="F108" s="3130"/>
      <c r="G108" s="2517" t="s">
        <v>2295</v>
      </c>
      <c r="H108" s="371" t="e">
        <f ca="1">ROUND(H107*10000/'数据-汇总表'!E3,0)</f>
        <v>#REF!</v>
      </c>
      <c r="I108" s="138"/>
    </row>
    <row r="109" spans="1:35" ht="18.75"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30"/>
      <c r="G109" s="2517" t="s">
        <v>2293</v>
      </c>
      <c r="H109" s="348" t="str">
        <f>IF(E109="——","——",H101-H105-H106)</f>
        <v>——</v>
      </c>
      <c r="I109" s="138"/>
    </row>
    <row r="110" spans="1:35" ht="18.75" customHeight="1">
      <c r="A110" s="138"/>
      <c r="B110" s="138"/>
      <c r="C110" s="138"/>
      <c r="D110" s="138"/>
      <c r="E110" s="3160"/>
      <c r="F110" s="3130"/>
      <c r="G110" s="2517" t="s">
        <v>2295</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7" t="s">
        <v>2293</v>
      </c>
      <c r="H111" s="1044" t="str">
        <f>IF(E111="——","——",N59)</f>
        <v>——</v>
      </c>
      <c r="I111" s="138"/>
    </row>
    <row r="112" spans="1:35" ht="18.75" customHeight="1" thickBot="1">
      <c r="A112" s="138"/>
      <c r="B112" s="138"/>
      <c r="C112" s="138"/>
      <c r="D112" s="138"/>
      <c r="E112" s="3163"/>
      <c r="F112" s="3164"/>
      <c r="G112" s="2522" t="s">
        <v>2295</v>
      </c>
      <c r="H112" s="789" t="str">
        <f>IF(E111="——","——",N61)</f>
        <v>——</v>
      </c>
      <c r="I112" s="138"/>
    </row>
    <row r="113" spans="1:11" ht="18.75" customHeight="1">
      <c r="A113" s="138"/>
      <c r="B113" s="138"/>
      <c r="C113" s="138"/>
      <c r="D113" s="138"/>
      <c r="E113" s="3172" t="s">
        <v>2301</v>
      </c>
      <c r="F113" s="3172"/>
      <c r="G113" s="3172"/>
      <c r="H113" s="3172"/>
      <c r="I113" s="138"/>
    </row>
    <row r="114" spans="1:11" ht="3.75" customHeight="1">
      <c r="A114" s="2415"/>
      <c r="B114" s="2415"/>
      <c r="C114" s="2415"/>
      <c r="D114" s="2415"/>
      <c r="E114" s="2493"/>
      <c r="F114" s="2493"/>
      <c r="G114" s="2493"/>
      <c r="H114" s="2493"/>
      <c r="I114" s="2415"/>
    </row>
    <row r="115" spans="1:11" ht="18.75" customHeight="1">
      <c r="A115" s="3185" t="s">
        <v>2303</v>
      </c>
      <c r="B115" s="3186"/>
      <c r="C115" s="3186"/>
      <c r="D115" s="3186"/>
      <c r="E115" s="3186"/>
      <c r="F115" s="3186"/>
      <c r="G115" s="3186"/>
      <c r="H115" s="3186"/>
      <c r="I115" s="3187"/>
    </row>
    <row r="116" spans="1:11" ht="27" customHeight="1">
      <c r="A116" s="3096" t="s">
        <v>2304</v>
      </c>
      <c r="B116" s="3139" t="s">
        <v>2305</v>
      </c>
      <c r="C116" s="3139" t="s">
        <v>2306</v>
      </c>
      <c r="D116" s="3145" t="s">
        <v>2307</v>
      </c>
      <c r="E116" s="3146"/>
      <c r="F116" s="3181" t="s">
        <v>2308</v>
      </c>
      <c r="G116" s="3181"/>
      <c r="H116" s="3096" t="s">
        <v>2309</v>
      </c>
      <c r="I116" s="3096"/>
    </row>
    <row r="117" spans="1:11" ht="18.75" customHeight="1">
      <c r="A117" s="3096"/>
      <c r="B117" s="3140"/>
      <c r="C117" s="3140"/>
      <c r="D117" s="2953" t="s">
        <v>2310</v>
      </c>
      <c r="E117" s="2953" t="s">
        <v>2311</v>
      </c>
      <c r="F117" s="2953" t="s">
        <v>2310</v>
      </c>
      <c r="G117" s="2953" t="s">
        <v>2312</v>
      </c>
      <c r="H117" s="2953" t="s">
        <v>2310</v>
      </c>
      <c r="I117" s="2953" t="s">
        <v>2312</v>
      </c>
    </row>
    <row r="118" spans="1:11" ht="24.75" customHeight="1">
      <c r="A118" s="2523" t="str">
        <f>项目基本情况!S2</f>
        <v>北京市丰台区万兴路1号院3、4号楼商业用房房地产房地产</v>
      </c>
      <c r="B118" s="2953">
        <f>M18</f>
        <v>1340.42</v>
      </c>
      <c r="C118" s="2953">
        <f>M19</f>
        <v>1227.98</v>
      </c>
      <c r="D118" s="2953" t="e">
        <f ca="1">ROUND(IF(D32="总价",C34,E118*B118/10000),0)</f>
        <v>#REF!</v>
      </c>
      <c r="E118" s="2953" t="e">
        <f ca="1">ROUND(IF(C33="自定义",IF(D32="楼面单价",C34,D118*10000/B118),I118-G118),0)</f>
        <v>#REF!</v>
      </c>
      <c r="F118" s="2953" t="e">
        <f ca="1">ROUND(IF(D32="总价",C35,G118*B118/10000),0)</f>
        <v>#REF!</v>
      </c>
      <c r="G118" s="2953" t="e">
        <f ca="1">ROUND(IF(D32="楼面单价",C35,F118*10000/B118),0)</f>
        <v>#REF!</v>
      </c>
      <c r="H118" s="2953" t="e">
        <f ca="1">ROUND(IF(D32="总价",C32,I118*B118/10000),0)</f>
        <v>#REF!</v>
      </c>
      <c r="I118" s="2953" t="e">
        <f ca="1">ROUND(IF(D32="楼面单价",C32,H118*10000/B118),0)</f>
        <v>#REF!</v>
      </c>
    </row>
    <row r="119" spans="1:11" ht="18.75" customHeight="1">
      <c r="A119" s="3096" t="s">
        <v>2313</v>
      </c>
      <c r="B119" s="3096"/>
      <c r="C119" s="3096"/>
      <c r="D119" s="3141" t="e">
        <f ca="1">NUMBERSTRING(INT(D118*10000),2)&amp;"元整"</f>
        <v>#REF!</v>
      </c>
      <c r="E119" s="3142"/>
      <c r="F119" s="3141" t="e">
        <f ca="1">NUMBERSTRING(INT(F118*10000),2)&amp;"元整"</f>
        <v>#REF!</v>
      </c>
      <c r="G119" s="3142"/>
      <c r="H119" s="3141" t="e">
        <f ca="1">NUMBERSTRING(INT(H118*10000),2)&amp;"元整"</f>
        <v>#REF!</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0" t="str">
        <f>IF(D120=0,"故，本次评估不存在"&amp;A120,"故，本次评估"&amp;A120&amp;"为人民币"&amp;D120&amp;"万元整。")</f>
        <v>故，本次评估不存在估价师知悉的法定优先受偿款</v>
      </c>
    </row>
    <row r="121" spans="1:11" ht="18.75" customHeight="1">
      <c r="A121" s="3182" t="s">
        <v>2313</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t="e">
        <f ca="1">H107</f>
        <v>#REF!</v>
      </c>
      <c r="E122" s="3137"/>
      <c r="F122" s="3137"/>
      <c r="G122" s="3137"/>
      <c r="H122" s="3137"/>
      <c r="I122" s="3138"/>
    </row>
    <row r="123" spans="1:11" ht="18.75" customHeight="1">
      <c r="A123" s="3096" t="s">
        <v>2313</v>
      </c>
      <c r="B123" s="3096"/>
      <c r="C123" s="3096"/>
      <c r="D123" s="3141" t="e">
        <f ca="1">NUMBERSTRING(INT(D122*10000),2)&amp;"元整"</f>
        <v>#REF!</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96" t="s">
        <v>2313</v>
      </c>
      <c r="B125" s="3096"/>
      <c r="C125" s="3096"/>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96" t="s">
        <v>2313</v>
      </c>
      <c r="B127" s="3096"/>
      <c r="C127" s="3096"/>
      <c r="D127" s="3141" t="e">
        <f>NUMBERSTRING(INT(D126*10000),2)&amp;"元整"</f>
        <v>#VALUE!</v>
      </c>
      <c r="E127" s="3143"/>
      <c r="F127" s="3143"/>
      <c r="G127" s="3143"/>
      <c r="H127" s="3143"/>
      <c r="I127" s="3142"/>
    </row>
    <row r="128" spans="1:11" ht="21.75" customHeight="1">
      <c r="A128" s="3144" t="s">
        <v>2314</v>
      </c>
      <c r="B128" s="3144"/>
      <c r="C128" s="3144"/>
      <c r="D128" s="3144"/>
      <c r="E128" s="3144"/>
      <c r="F128" s="3144"/>
      <c r="G128" s="3144"/>
      <c r="H128" s="3144"/>
      <c r="I128" s="3144"/>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2317</v>
      </c>
      <c r="G135" s="2541"/>
      <c r="H135" s="2541"/>
      <c r="I135" s="2542" t="s">
        <v>2318</v>
      </c>
    </row>
    <row r="136" spans="1:35" ht="21.75" customHeight="1">
      <c r="A136" s="794"/>
      <c r="B136" s="2543"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2320</v>
      </c>
    </row>
    <row r="139" spans="1:35" ht="21.75" customHeight="1">
      <c r="A139" s="794"/>
      <c r="B139" s="2543" t="s">
        <v>2321</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2320</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30" t="str">
        <f>项目基本情况!B1</f>
        <v>北京市丰台区万兴路1号院3、4号楼商业用房房地产房地产抵押价值预评估</v>
      </c>
      <c r="C37" s="3030"/>
      <c r="D37" s="3030"/>
      <c r="E37" s="3030"/>
      <c r="F37" s="3030"/>
      <c r="G37" s="3030"/>
      <c r="H37" s="3030"/>
      <c r="I37" s="3030"/>
    </row>
    <row r="38" spans="1:9">
      <c r="A38" s="1015"/>
      <c r="B38" s="1015"/>
    </row>
    <row r="39" spans="1:9">
      <c r="A39" s="1013" t="s">
        <v>818</v>
      </c>
      <c r="B39" s="1013" t="s">
        <v>820</v>
      </c>
    </row>
    <row r="40" spans="1:9">
      <c r="A40" s="1013"/>
      <c r="B40" s="1940" t="str">
        <f>项目基本情况!B5</f>
        <v>北京万年基业建设投资有限公司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吴薇（注册号：1419970001)、郑燚（注册号：1120070131)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5"/>
      <c r="C1" s="242"/>
      <c r="D1" s="242"/>
      <c r="E1" s="242"/>
      <c r="F1" s="242"/>
      <c r="G1" s="1378">
        <f>MATCH(B1,'数据-取费表'!A6:A16,0)+5</f>
        <v>8</v>
      </c>
    </row>
    <row r="2" spans="1:9" s="244" customFormat="1" ht="18" customHeight="1">
      <c r="A2" s="245" t="s">
        <v>2323</v>
      </c>
      <c r="B2" s="246">
        <f ca="1">IF(D2="——",C52,C52-E2)</f>
        <v>1899</v>
      </c>
      <c r="C2" s="243" t="s">
        <v>2324</v>
      </c>
      <c r="D2" s="2546" t="s">
        <v>70</v>
      </c>
      <c r="E2" s="1439"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4339</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8" t="s">
        <v>2333</v>
      </c>
      <c r="B6" s="259" t="s">
        <v>2334</v>
      </c>
      <c r="C6" s="260"/>
      <c r="D6" s="261"/>
      <c r="E6" s="262"/>
      <c r="F6" s="262"/>
      <c r="G6" s="263"/>
    </row>
    <row r="7" spans="1:9" s="258" customFormat="1" ht="13.5" customHeight="1">
      <c r="A7" s="948" t="s">
        <v>2335</v>
      </c>
      <c r="B7" s="259" t="s">
        <v>2336</v>
      </c>
      <c r="C7" s="264">
        <f>ROUND(C6*F7,0)</f>
        <v>0</v>
      </c>
      <c r="D7" s="264"/>
      <c r="E7" s="262"/>
      <c r="F7" s="265">
        <f>IF(项目基本情况!B8="出让",0,'数据-取费表'!B48+'数据-取费表'!B49)</f>
        <v>3.0499999999999999E-2</v>
      </c>
      <c r="G7" s="263"/>
    </row>
    <row r="8" spans="1:9" s="267" customFormat="1">
      <c r="A8" s="948" t="s">
        <v>2337</v>
      </c>
      <c r="B8" s="259" t="s">
        <v>2338</v>
      </c>
      <c r="C8" s="264">
        <f>IF(G8="已包含在土地购买价格中","0",IF(B1="",'数据-取费表'!B29,IF(G9="全部缴纳",C9+C10,H9)))</f>
        <v>0</v>
      </c>
      <c r="D8" s="266"/>
      <c r="E8" s="264"/>
      <c r="F8" s="265"/>
      <c r="G8" s="2549"/>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50"/>
      <c r="H9" s="1389"/>
      <c r="I9" s="2551" t="s">
        <v>2340</v>
      </c>
    </row>
    <row r="10" spans="1:9" s="258" customFormat="1" ht="13.5" customHeight="1">
      <c r="A10" s="949" t="s">
        <v>801</v>
      </c>
      <c r="B10" s="268" t="s">
        <v>2341</v>
      </c>
      <c r="C10" s="269">
        <f ca="1">ROUND(D10*E10/10000,0)</f>
        <v>88</v>
      </c>
      <c r="D10" s="1031">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f ca="1">IF(G19="已包含在土地取得成本中","0",ROUND(D19*E19/10000,0))</f>
        <v>88</v>
      </c>
      <c r="D19" s="1035">
        <f ca="1">D9+D10</f>
        <v>4376.09</v>
      </c>
      <c r="E19" s="255">
        <f>'数据-取费表'!B31</f>
        <v>200</v>
      </c>
      <c r="F19" s="275"/>
      <c r="G19" s="2549"/>
    </row>
    <row r="20" spans="1:7" s="258" customFormat="1" ht="13.5" customHeight="1">
      <c r="A20" s="299" t="s">
        <v>2354</v>
      </c>
      <c r="B20" s="254" t="s">
        <v>2355</v>
      </c>
      <c r="C20" s="276">
        <f ca="1">ROUND((C5+C19)*F20,0)</f>
        <v>2</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9</v>
      </c>
      <c r="D22" s="279">
        <f ca="1">C26</f>
        <v>1E-3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4">
        <f ca="1">ROUND(IF('数据-取费表'!B22&lt;=1,C5*F22*'数据-取费表'!B23,C5*(POWER((1+F22),'数据-取费表'!B23)-1)),0)</f>
        <v>0</v>
      </c>
      <c r="D23" s="282"/>
      <c r="E23" s="282"/>
      <c r="F23" s="283"/>
      <c r="G23" s="284" t="s">
        <v>2365</v>
      </c>
    </row>
    <row r="24" spans="1:7" s="258" customFormat="1" ht="13.5" customHeight="1">
      <c r="A24" s="950" t="s">
        <v>2366</v>
      </c>
      <c r="B24" s="259" t="s">
        <v>2367</v>
      </c>
      <c r="C24" s="1354">
        <f ca="1">ROUND(IF('数据-取费表'!B22&lt;=1,C19*F22*('数据-取费表'!B19/2+'数据-取费表'!B21),C19*(POWER((1+F22),('数据-取费表'!B19/2+'数据-取费表'!B21))-1)),0)</f>
        <v>9</v>
      </c>
      <c r="D24" s="282"/>
      <c r="E24" s="282"/>
      <c r="F24" s="283"/>
      <c r="G24" s="284" t="s">
        <v>2368</v>
      </c>
    </row>
    <row r="25" spans="1:7" s="258" customFormat="1" ht="24">
      <c r="A25" s="950" t="s">
        <v>2369</v>
      </c>
      <c r="B25" s="259" t="s">
        <v>2370</v>
      </c>
      <c r="C25" s="1354">
        <f ca="1">ROUND(IF('数据-取费表'!B22&lt;=1,C20*F22*'数据-取费表'!B23/2,C20*(POWER((1+F22),'数据-取费表'!B23/2)-1)),0)</f>
        <v>0</v>
      </c>
      <c r="D25" s="282"/>
      <c r="E25" s="285"/>
      <c r="F25" s="283"/>
      <c r="G25" s="286" t="s">
        <v>2371</v>
      </c>
    </row>
    <row r="26" spans="1:7" s="258" customFormat="1">
      <c r="A26" s="950" t="s">
        <v>795</v>
      </c>
      <c r="B26" s="259" t="s">
        <v>2372</v>
      </c>
      <c r="C26" s="282">
        <f ca="1">ROUND(IF('数据-取费表'!B22&lt;=1,F21*F22*'数据-取费表'!B23/2,F21*(POWER((1+F22),'数据-取费表'!B23/2)-1)),4)</f>
        <v>1E-3</v>
      </c>
      <c r="D26" s="282"/>
      <c r="E26" s="285"/>
      <c r="F26" s="283"/>
      <c r="G26" s="287"/>
    </row>
    <row r="27" spans="1:7" s="258" customFormat="1" ht="26.4">
      <c r="A27" s="299" t="s">
        <v>2373</v>
      </c>
      <c r="B27" s="288" t="s">
        <v>2374</v>
      </c>
      <c r="C27" s="289">
        <f ca="1">C28</f>
        <v>14</v>
      </c>
      <c r="D27" s="279">
        <f ca="1">C29</f>
        <v>3.0000000000000001E-3</v>
      </c>
      <c r="E27" s="280" t="s">
        <v>2375</v>
      </c>
      <c r="F27" s="290">
        <f ca="1">IF(B1="",'数据-取费表'!Q16,INDIRECT("'数据-取费表'!q"&amp;$G$1))</f>
        <v>0.15</v>
      </c>
      <c r="G27" s="291" t="s">
        <v>2376</v>
      </c>
    </row>
    <row r="28" spans="1:7" s="258" customFormat="1" ht="13.5" customHeight="1">
      <c r="A28" s="950" t="s">
        <v>791</v>
      </c>
      <c r="B28" s="292" t="s">
        <v>2377</v>
      </c>
      <c r="C28" s="293">
        <f ca="1">ROUND((C5+C19+C20)*F27*'数据-取费表'!B21/'数据-取费表'!B20,0)</f>
        <v>14</v>
      </c>
      <c r="D28" s="279"/>
      <c r="E28" s="280"/>
      <c r="F28" s="290"/>
      <c r="G28" s="291"/>
    </row>
    <row r="29" spans="1:7" s="258" customFormat="1" ht="13.5" customHeight="1">
      <c r="A29" s="950"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122</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1460</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2387</v>
      </c>
    </row>
    <row r="35" spans="1:7" ht="13.5" customHeight="1">
      <c r="A35" s="950" t="s">
        <v>796</v>
      </c>
      <c r="B35" s="259" t="s">
        <v>2388</v>
      </c>
      <c r="C35" s="264">
        <f ca="1">ROUND(C34*F35,0)</f>
        <v>39</v>
      </c>
      <c r="D35" s="264"/>
      <c r="E35" s="264"/>
      <c r="F35" s="303">
        <f>'数据-取费表'!B33</f>
        <v>0.03</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88</v>
      </c>
      <c r="D37" s="261">
        <f ca="1">D19</f>
        <v>4376.09</v>
      </c>
      <c r="E37" s="293">
        <f>'数据-取费表'!B35</f>
        <v>200</v>
      </c>
      <c r="F37" s="303"/>
      <c r="G37" s="305" t="s">
        <v>2393</v>
      </c>
    </row>
    <row r="38" spans="1:7" ht="13.5" customHeight="1">
      <c r="A38" s="950"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29</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70</v>
      </c>
      <c r="D41" s="279">
        <f ca="1">C44</f>
        <v>1E-3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69</v>
      </c>
      <c r="D42" s="282"/>
      <c r="E42" s="282"/>
      <c r="F42" s="283"/>
      <c r="G42" s="3216" t="s">
        <v>2405</v>
      </c>
    </row>
    <row r="43" spans="1:7" ht="13.5" customHeight="1">
      <c r="A43" s="950" t="s">
        <v>792</v>
      </c>
      <c r="B43" s="259" t="s">
        <v>2406</v>
      </c>
      <c r="C43" s="282">
        <f ca="1">ROUND(IF('数据-取费表'!B22&lt;=1,C39*F22*'数据-取费表'!B21/2,C39*(POWER((1+F22),'数据-取费表'!B21/2)-1)),0)</f>
        <v>1</v>
      </c>
      <c r="D43" s="282"/>
      <c r="E43" s="282"/>
      <c r="F43" s="283"/>
      <c r="G43" s="3217"/>
    </row>
    <row r="44" spans="1:7" ht="13.5" customHeight="1">
      <c r="A44" s="950" t="s">
        <v>793</v>
      </c>
      <c r="B44" s="259" t="s">
        <v>2407</v>
      </c>
      <c r="C44" s="282">
        <f ca="1">ROUND(IF('数据-取费表'!B22&lt;=1,C40*F22*'数据-取费表'!B21/2,C40*(POWER((1+F22),'数据-取费表'!B21/2)-1)),4)</f>
        <v>1E-3</v>
      </c>
      <c r="D44" s="282"/>
      <c r="E44" s="282"/>
      <c r="F44" s="283"/>
      <c r="G44" s="3218"/>
    </row>
    <row r="45" spans="1:7" s="258" customFormat="1" ht="13.5" customHeight="1">
      <c r="A45" s="299" t="s">
        <v>2408</v>
      </c>
      <c r="B45" s="288" t="s">
        <v>2374</v>
      </c>
      <c r="C45" s="289">
        <f ca="1">C46</f>
        <v>223</v>
      </c>
      <c r="D45" s="279">
        <f ca="1">C47</f>
        <v>3.0000000000000001E-3</v>
      </c>
      <c r="E45" s="280" t="s">
        <v>2400</v>
      </c>
      <c r="F45" s="290"/>
      <c r="G45" s="291" t="s">
        <v>2409</v>
      </c>
    </row>
    <row r="46" spans="1:7" s="258" customFormat="1" ht="13.5" customHeight="1">
      <c r="A46" s="950" t="s">
        <v>791</v>
      </c>
      <c r="B46" s="292" t="s">
        <v>2410</v>
      </c>
      <c r="C46" s="293">
        <f ca="1">ROUND((C33+C39)*F27,0)</f>
        <v>223</v>
      </c>
      <c r="D46" s="307"/>
      <c r="E46" s="280"/>
      <c r="F46" s="290"/>
      <c r="G46" s="291"/>
    </row>
    <row r="47" spans="1:7" s="258" customFormat="1" ht="13.5" customHeight="1">
      <c r="A47" s="950" t="s">
        <v>792</v>
      </c>
      <c r="B47" s="292" t="s">
        <v>2411</v>
      </c>
      <c r="C47" s="282">
        <f ca="1">ROUND(C40*F27,4)</f>
        <v>3.0000000000000001E-3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1931</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1777</v>
      </c>
      <c r="D51" s="276"/>
      <c r="E51" s="276"/>
      <c r="F51" s="308"/>
      <c r="G51" s="278" t="s">
        <v>2421</v>
      </c>
    </row>
    <row r="52" spans="1:7" s="252" customFormat="1" ht="16.8" thickBot="1">
      <c r="A52" s="309" t="s">
        <v>2422</v>
      </c>
      <c r="B52" s="310"/>
      <c r="C52" s="311">
        <f ca="1">C31+C51</f>
        <v>1899</v>
      </c>
      <c r="D52" s="310"/>
      <c r="E52" s="310"/>
      <c r="F52" s="310"/>
      <c r="G52" s="312"/>
    </row>
    <row r="55" spans="1:7" ht="15">
      <c r="B55" s="314" t="s">
        <v>2423</v>
      </c>
      <c r="C55" s="315"/>
    </row>
    <row r="56" spans="1:7">
      <c r="B56" s="317" t="s">
        <v>1507</v>
      </c>
      <c r="C56" s="319">
        <f ca="1">1-C57</f>
        <v>6.3999999999999946E-2</v>
      </c>
    </row>
    <row r="57" spans="1:7">
      <c r="B57" s="317" t="s">
        <v>1508</v>
      </c>
      <c r="C57" s="318">
        <f ca="1">ROUND(C51/C52,3)</f>
        <v>0.93600000000000005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5"/>
      <c r="C1" s="2552" t="s">
        <v>2424</v>
      </c>
      <c r="D1" s="242"/>
      <c r="E1" s="242"/>
      <c r="F1" s="242"/>
      <c r="G1" s="1378">
        <f>MATCH(B1,'数据-取费表'!A6:A16,0)+5</f>
        <v>8</v>
      </c>
      <c r="H1" s="1281" t="str">
        <f>IF(ISERROR(FIND("住宅",B1)),"非住宅","住宅")</f>
        <v>非住宅</v>
      </c>
    </row>
    <row r="2" spans="1:8" s="244" customFormat="1" ht="18" customHeight="1">
      <c r="A2" s="245" t="s">
        <v>2323</v>
      </c>
      <c r="B2" s="246">
        <f ca="1">ROUND(IF(D2="——",C52/10000,C52/10000-E2),0)</f>
        <v>2019</v>
      </c>
      <c r="C2" s="243" t="s">
        <v>2324</v>
      </c>
      <c r="D2" s="2546" t="s">
        <v>70</v>
      </c>
      <c r="E2" s="1439"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4614</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875218</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IF(项目基本情况!B8="出让",0,'数据-取费表'!B48+'数据-取费表'!B49)</f>
        <v>3.0499999999999999E-2</v>
      </c>
      <c r="G7" s="263"/>
    </row>
    <row r="8" spans="1:8" s="267" customFormat="1">
      <c r="A8" s="948" t="s">
        <v>2337</v>
      </c>
      <c r="B8" s="259" t="s">
        <v>2338</v>
      </c>
      <c r="C8" s="264">
        <f ca="1">IF(G8="已包含在土地购买价格中",0,C9+C10)</f>
        <v>875218</v>
      </c>
      <c r="D8" s="266"/>
      <c r="E8" s="264"/>
      <c r="F8" s="265"/>
      <c r="G8" s="2549"/>
    </row>
    <row r="9" spans="1:8" s="258" customFormat="1" ht="13.5" customHeight="1">
      <c r="A9" s="949" t="s">
        <v>800</v>
      </c>
      <c r="B9" s="268" t="s">
        <v>2339</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2341</v>
      </c>
      <c r="C10" s="269">
        <f ca="1">ROUND(D10*E10,0)</f>
        <v>875218</v>
      </c>
      <c r="D10" s="1031">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f ca="1">IF(G19="已包含在土地取得成本中","0",ROUND(D19*E19,0))</f>
        <v>875218</v>
      </c>
      <c r="D19" s="1035">
        <f ca="1">D9+D10</f>
        <v>4376.09</v>
      </c>
      <c r="E19" s="255">
        <f>'数据-取费表'!B31</f>
        <v>200</v>
      </c>
      <c r="F19" s="275"/>
      <c r="G19" s="2549"/>
    </row>
    <row r="20" spans="1:7" s="258" customFormat="1" ht="13.5" customHeight="1">
      <c r="A20" s="299" t="s">
        <v>2435</v>
      </c>
      <c r="B20" s="254" t="s">
        <v>2436</v>
      </c>
      <c r="C20" s="276">
        <f ca="1">ROUND((C5+C19)*F20,0)</f>
        <v>35009</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171903</v>
      </c>
      <c r="D22" s="279">
        <f ca="1">C26</f>
        <v>1E-3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80">
        <f ca="1">ROUND(IF('数据-取费表'!B22&lt;=1,C5*F22*'数据-取费表'!B22,C5*(POWER((1+F22),'数据-取费表'!B22)-1)),0)</f>
        <v>85120</v>
      </c>
      <c r="D23" s="282"/>
      <c r="E23" s="282"/>
      <c r="F23" s="283"/>
      <c r="G23" s="284" t="s">
        <v>2445</v>
      </c>
    </row>
    <row r="24" spans="1:7" s="258" customFormat="1" ht="13.5" customHeight="1">
      <c r="A24" s="950" t="s">
        <v>2335</v>
      </c>
      <c r="B24" s="259" t="s">
        <v>2446</v>
      </c>
      <c r="C24" s="1380">
        <f ca="1">ROUND(IF('数据-取费表'!B22&lt;=1,C19*F22*('数据-取费表'!B19/2+'数据-取费表'!B20),C19*(POWER((1+F22),('数据-取费表'!B19/2+'数据-取费表'!B20))-1)),0)</f>
        <v>85120</v>
      </c>
      <c r="D24" s="282"/>
      <c r="E24" s="282"/>
      <c r="F24" s="283"/>
      <c r="G24" s="284" t="s">
        <v>2447</v>
      </c>
    </row>
    <row r="25" spans="1:7" s="258" customFormat="1" ht="24">
      <c r="A25" s="950" t="s">
        <v>2337</v>
      </c>
      <c r="B25" s="259" t="s">
        <v>2448</v>
      </c>
      <c r="C25" s="1380">
        <f ca="1">ROUND(IF('数据-取费表'!B22&lt;=1,C20*F22*'数据-取费表'!B22/2,C20*(POWER((1+F22),'数据-取费表'!B22/2)-1)),0)</f>
        <v>1663</v>
      </c>
      <c r="D25" s="282"/>
      <c r="E25" s="285"/>
      <c r="F25" s="283"/>
      <c r="G25" s="286" t="s">
        <v>2449</v>
      </c>
    </row>
    <row r="26" spans="1:7" s="258" customFormat="1">
      <c r="A26" s="950" t="s">
        <v>795</v>
      </c>
      <c r="B26" s="259" t="s">
        <v>2372</v>
      </c>
      <c r="C26" s="282">
        <f ca="1">ROUND(IF('数据-取费表'!B22&lt;=1,F21*F22*'数据-取费表'!B22/2,F21*(POWER((1+F22),'数据-取费表'!B22/2)-1)),4)</f>
        <v>1E-3</v>
      </c>
      <c r="D26" s="282"/>
      <c r="E26" s="285"/>
      <c r="F26" s="283"/>
      <c r="G26" s="287"/>
    </row>
    <row r="27" spans="1:7" s="258" customFormat="1" ht="26.4">
      <c r="A27" s="299" t="s">
        <v>2373</v>
      </c>
      <c r="B27" s="288" t="s">
        <v>2374</v>
      </c>
      <c r="C27" s="289">
        <f ca="1">C28</f>
        <v>267817</v>
      </c>
      <c r="D27" s="279">
        <f ca="1">C29</f>
        <v>3.0000000000000001E-3</v>
      </c>
      <c r="E27" s="280" t="s">
        <v>2375</v>
      </c>
      <c r="F27" s="290">
        <f ca="1">IF(B1="",'数据-取费表'!Q16,INDIRECT("'数据-取费表'!q"&amp;$G$1))</f>
        <v>0.15</v>
      </c>
      <c r="G27" s="291" t="s">
        <v>2376</v>
      </c>
    </row>
    <row r="28" spans="1:7" s="258" customFormat="1" ht="13.5" customHeight="1">
      <c r="A28" s="950" t="s">
        <v>791</v>
      </c>
      <c r="B28" s="292" t="s">
        <v>2377</v>
      </c>
      <c r="C28" s="293">
        <f ca="1">ROUND((C5+C19+C20)*F27,0)</f>
        <v>267817</v>
      </c>
      <c r="D28" s="279"/>
      <c r="E28" s="280"/>
      <c r="F28" s="290"/>
      <c r="G28" s="291"/>
    </row>
    <row r="29" spans="1:7" s="258" customFormat="1" ht="13.5" customHeight="1">
      <c r="A29" s="950"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2411580</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14594260</v>
      </c>
      <c r="D33" s="276"/>
      <c r="E33" s="256"/>
      <c r="F33" s="285"/>
      <c r="G33" s="278"/>
    </row>
    <row r="34" spans="1:7" s="302" customFormat="1" ht="13.5" customHeight="1">
      <c r="A34" s="950" t="s">
        <v>791</v>
      </c>
      <c r="B34" s="259" t="s">
        <v>2386</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0" t="s">
        <v>796</v>
      </c>
      <c r="B35" s="259" t="s">
        <v>2388</v>
      </c>
      <c r="C35" s="264">
        <f ca="1">ROUND(C34*F35,0)</f>
        <v>393848</v>
      </c>
      <c r="D35" s="264"/>
      <c r="E35" s="264"/>
      <c r="F35" s="303">
        <f>'数据-取费表'!B33</f>
        <v>0.03</v>
      </c>
      <c r="G35" s="263" t="s">
        <v>2389</v>
      </c>
    </row>
    <row r="36" spans="1:7" ht="24">
      <c r="A36" s="950"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0" t="s">
        <v>798</v>
      </c>
      <c r="B37" s="259" t="s">
        <v>2392</v>
      </c>
      <c r="C37" s="293">
        <f ca="1">ROUND(E37*D37,0)</f>
        <v>875218</v>
      </c>
      <c r="D37" s="261">
        <f ca="1">D19</f>
        <v>4376.09</v>
      </c>
      <c r="E37" s="293">
        <f>'数据-取费表'!B35</f>
        <v>200</v>
      </c>
      <c r="F37" s="303"/>
      <c r="G37" s="305"/>
    </row>
    <row r="38" spans="1:7" ht="13.5" customHeight="1">
      <c r="A38" s="950" t="s">
        <v>799</v>
      </c>
      <c r="B38" s="259" t="s">
        <v>2394</v>
      </c>
      <c r="C38" s="264">
        <f ca="1">ROUND(C34*F38,0)</f>
        <v>196924</v>
      </c>
      <c r="D38" s="264"/>
      <c r="E38" s="264"/>
      <c r="F38" s="303">
        <f>'数据-取费表'!B36</f>
        <v>1.4999999999999999E-2</v>
      </c>
      <c r="G38" s="263" t="s">
        <v>2389</v>
      </c>
    </row>
    <row r="39" spans="1:7" s="258" customFormat="1" ht="13.5" customHeight="1">
      <c r="A39" s="299" t="s">
        <v>2395</v>
      </c>
      <c r="B39" s="254" t="s">
        <v>2396</v>
      </c>
      <c r="C39" s="276">
        <f ca="1">ROUND(C33*F20,0)</f>
        <v>291885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707092</v>
      </c>
      <c r="D41" s="279">
        <f ca="1">C44</f>
        <v>1E-3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ROUND(IF('数据-取费表'!B22&lt;=1,C33*F22*'数据-取费表'!B20/2,C33*(POWER((1+F22),'数据-取费表'!B20/2)-1)),0)</f>
        <v>693227</v>
      </c>
      <c r="D42" s="282"/>
      <c r="E42" s="282"/>
      <c r="F42" s="283"/>
      <c r="G42" s="3216" t="s">
        <v>2452</v>
      </c>
    </row>
    <row r="43" spans="1:7" ht="13.5" customHeight="1">
      <c r="A43" s="950" t="s">
        <v>792</v>
      </c>
      <c r="B43" s="259" t="s">
        <v>2406</v>
      </c>
      <c r="C43" s="282">
        <f ca="1">ROUND(IF('数据-取费表'!B22&lt;=1,C39*F22*'数据-取费表'!B20/2,C39*(POWER((1+F22),'数据-取费表'!B20/2)-1)),0)</f>
        <v>13865</v>
      </c>
      <c r="D43" s="282"/>
      <c r="E43" s="282"/>
      <c r="F43" s="283"/>
      <c r="G43" s="3217"/>
    </row>
    <row r="44" spans="1:7" ht="13.5" customHeight="1">
      <c r="A44" s="950" t="s">
        <v>793</v>
      </c>
      <c r="B44" s="259" t="s">
        <v>2407</v>
      </c>
      <c r="C44" s="282">
        <f ca="1">ROUND(IF('数据-取费表'!B22&lt;=1,C40*F22*'数据-取费表'!B20/2,C40*(POWER((1+F22),'数据-取费表'!B20/2)-1)),4)</f>
        <v>1E-3</v>
      </c>
      <c r="D44" s="282"/>
      <c r="E44" s="282"/>
      <c r="F44" s="283"/>
      <c r="G44" s="3218"/>
    </row>
    <row r="45" spans="1:7" s="258" customFormat="1" ht="13.5" customHeight="1">
      <c r="A45" s="299" t="s">
        <v>2408</v>
      </c>
      <c r="B45" s="288" t="s">
        <v>2374</v>
      </c>
      <c r="C45" s="289">
        <f ca="1">C46</f>
        <v>2232922</v>
      </c>
      <c r="D45" s="279">
        <f ca="1">C47</f>
        <v>3.0000000000000001E-3</v>
      </c>
      <c r="E45" s="280" t="s">
        <v>2400</v>
      </c>
      <c r="F45" s="290"/>
      <c r="G45" s="291" t="s">
        <v>2409</v>
      </c>
    </row>
    <row r="46" spans="1:7" s="258" customFormat="1" ht="13.5" customHeight="1">
      <c r="A46" s="950" t="s">
        <v>791</v>
      </c>
      <c r="B46" s="292" t="s">
        <v>2410</v>
      </c>
      <c r="C46" s="293">
        <f ca="1">ROUND((C33+C39)*F27,0)</f>
        <v>2232922</v>
      </c>
      <c r="D46" s="307"/>
      <c r="E46" s="280"/>
      <c r="F46" s="290"/>
      <c r="G46" s="291"/>
    </row>
    <row r="47" spans="1:7" s="258" customFormat="1" ht="13.5" customHeight="1">
      <c r="A47" s="950"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19319561</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17773996</v>
      </c>
      <c r="D51" s="276"/>
      <c r="E51" s="276"/>
      <c r="F51" s="308"/>
      <c r="G51" s="278" t="s">
        <v>2421</v>
      </c>
    </row>
    <row r="52" spans="1:7" s="252" customFormat="1" ht="16.8" thickBot="1">
      <c r="A52" s="309" t="s">
        <v>2422</v>
      </c>
      <c r="B52" s="310"/>
      <c r="C52" s="311">
        <f ca="1">C31+C51</f>
        <v>20185576</v>
      </c>
      <c r="D52" s="310"/>
      <c r="E52" s="310"/>
      <c r="F52" s="310"/>
      <c r="G52" s="312"/>
    </row>
    <row r="55" spans="1:7" ht="15">
      <c r="B55" s="314" t="s">
        <v>2423</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2455</v>
      </c>
      <c r="B1" s="1580"/>
      <c r="C1" s="1581"/>
      <c r="D1" s="1579"/>
      <c r="E1" s="320"/>
      <c r="F1" s="320"/>
      <c r="G1" s="1580"/>
      <c r="H1" s="320"/>
      <c r="I1" s="320"/>
      <c r="J1" s="320"/>
      <c r="K1" s="320">
        <f>MATCH(C1,'数据-取费表'!A6:A16,0)+5</f>
        <v>8</v>
      </c>
    </row>
    <row r="2" spans="1:33" ht="18" customHeight="1">
      <c r="A2" s="245" t="s">
        <v>2323</v>
      </c>
      <c r="B2" s="248">
        <f ca="1">C32</f>
        <v>-225</v>
      </c>
      <c r="C2" s="320" t="s">
        <v>2456</v>
      </c>
      <c r="D2" s="320"/>
      <c r="E2" s="320"/>
      <c r="F2" s="320"/>
      <c r="G2" s="320"/>
      <c r="H2" s="320"/>
      <c r="I2" s="320"/>
      <c r="J2" s="320"/>
      <c r="K2" s="320"/>
    </row>
    <row r="3" spans="1:33" ht="18" customHeight="1" thickBot="1">
      <c r="A3" s="247" t="s">
        <v>2325</v>
      </c>
      <c r="B3" s="248">
        <f ca="1">ROUND(B2*10000/IF(C1="",'数据-汇总表'!E3,INDIRECT("'数据-取费表'!K"&amp;$K$1)),0)</f>
        <v>-514</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5.2">
      <c r="A5" s="956" t="s">
        <v>2459</v>
      </c>
      <c r="B5" s="957" t="s">
        <v>2460</v>
      </c>
      <c r="C5" s="2553" t="s">
        <v>2461</v>
      </c>
      <c r="D5" s="2553" t="s">
        <v>2462</v>
      </c>
      <c r="E5" s="2553" t="s">
        <v>2463</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1330</v>
      </c>
      <c r="B11" s="971" t="s">
        <v>2476</v>
      </c>
      <c r="C11" s="323">
        <f ca="1">IF(C1="",'数据-取费表'!P16,INDIRECT("'数据-取费表'!p"&amp;$K$1)+INDIRECT("'数据-取费表'!ar"&amp;$K$1))</f>
        <v>105</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2477</v>
      </c>
      <c r="C12" s="24">
        <f ca="1">ROUND(C11*F12,0)</f>
        <v>3</v>
      </c>
      <c r="D12" s="972"/>
      <c r="E12" s="375"/>
      <c r="F12" s="975">
        <f>'数据-取费表'!B33</f>
        <v>0.03</v>
      </c>
      <c r="G12" s="8" t="s">
        <v>2478</v>
      </c>
      <c r="H12" s="967"/>
      <c r="I12" s="967"/>
      <c r="J12" s="967"/>
      <c r="K12" s="968"/>
    </row>
    <row r="13" spans="1:33" s="974" customFormat="1" ht="13.5" customHeight="1">
      <c r="A13" s="970" t="s">
        <v>1332</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1333</v>
      </c>
      <c r="B14" s="971" t="s">
        <v>2481</v>
      </c>
      <c r="C14" s="24">
        <f ca="1">ROUND(D14*E14*F11/10000,0)</f>
        <v>0</v>
      </c>
      <c r="D14" s="1032">
        <f ca="1">IF(C1="",'数据-汇总表'!E3,INDIRECT("'数据-取费表'!K"&amp;$K$1)+INDIRECT("'数据-取费表'!S"&amp;$K$1))</f>
        <v>4376.09</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2483</v>
      </c>
      <c r="C15" s="982">
        <f ca="1">ROUND(C11*F15,0)</f>
        <v>2</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110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4376.09</v>
      </c>
      <c r="E17" s="24">
        <f>'数据-取费表'!B32</f>
        <v>0</v>
      </c>
      <c r="F17" s="977"/>
      <c r="G17" s="140" t="s">
        <v>2487</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2488</v>
      </c>
      <c r="C18" s="24">
        <f ca="1">C19+C20-IF(C1="",'数据-取费表'!B29,IF(G18="已全部缴纳",C19+C20,H18))</f>
        <v>88</v>
      </c>
      <c r="D18" s="1032"/>
      <c r="E18" s="24"/>
      <c r="F18" s="975"/>
      <c r="G18" s="2555"/>
      <c r="H18" s="1576"/>
      <c r="I18" s="2556"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2491</v>
      </c>
      <c r="C20" s="24">
        <f ca="1">ROUND(D20*E20/10000,0)</f>
        <v>88</v>
      </c>
      <c r="D20" s="1032">
        <f ca="1">IF(C1="",'数据-汇总表'!E6,IF(INDIRECT("'数据-取费表'!c"&amp;$K$1)="住宅",INDIRECT("'数据-取费表'!s"&amp;$K$1),INDIRECT("'数据-取费表'!k"&amp;$K$1)+INDIRECT("'数据-取费表'!s"&amp;$K$1)))</f>
        <v>4376.09</v>
      </c>
      <c r="E20" s="24">
        <f>'数据-取费表'!B28</f>
        <v>200</v>
      </c>
      <c r="F20" s="975"/>
      <c r="G20" s="15"/>
      <c r="H20" s="980"/>
      <c r="I20" s="980"/>
      <c r="J20" s="980"/>
      <c r="K20" s="981"/>
    </row>
    <row r="21" spans="1:33" s="974" customFormat="1" ht="13.5" customHeight="1">
      <c r="A21" s="960" t="s">
        <v>802</v>
      </c>
      <c r="B21" s="984" t="s">
        <v>2492</v>
      </c>
      <c r="C21" s="985">
        <f ca="1">C16+C17+C18</f>
        <v>198</v>
      </c>
      <c r="D21" s="986"/>
      <c r="E21" s="325"/>
      <c r="F21" s="325"/>
      <c r="G21" s="140" t="s">
        <v>2493</v>
      </c>
      <c r="H21" s="978"/>
      <c r="I21" s="978"/>
      <c r="J21" s="978"/>
      <c r="K21" s="979"/>
    </row>
    <row r="22" spans="1:33" s="974" customFormat="1" ht="13.5" customHeight="1">
      <c r="A22" s="960" t="s">
        <v>2465</v>
      </c>
      <c r="B22" s="984" t="s">
        <v>2494</v>
      </c>
      <c r="C22" s="985">
        <f ca="1">ROUND(C21*F22,0)</f>
        <v>4</v>
      </c>
      <c r="D22" s="325"/>
      <c r="E22" s="325"/>
      <c r="F22" s="987">
        <f>'数据-取费表'!B37</f>
        <v>0.02</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0.02</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IF(项目基本情况!B8="出让",0,'数据-取费表'!B48+'数据-取费表'!B49)</f>
        <v>3.0499999999999999E-2</v>
      </c>
      <c r="G24" s="8" t="s">
        <v>2500</v>
      </c>
      <c r="H24" s="989"/>
      <c r="I24" s="989"/>
      <c r="J24" s="989"/>
      <c r="K24" s="990"/>
    </row>
    <row r="25" spans="1:33" s="974" customFormat="1" ht="13.5" customHeight="1">
      <c r="A25" s="960" t="s">
        <v>2501</v>
      </c>
      <c r="B25" s="986"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7">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2505</v>
      </c>
      <c r="B28" s="2558" t="s">
        <v>2506</v>
      </c>
      <c r="C28" s="331">
        <f ca="1">C30</f>
        <v>30</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30</v>
      </c>
      <c r="D30" s="328"/>
      <c r="E30" s="329"/>
      <c r="F30" s="334"/>
      <c r="G30" s="140"/>
      <c r="H30" s="978"/>
      <c r="I30" s="978"/>
      <c r="J30" s="978"/>
      <c r="K30" s="979"/>
    </row>
    <row r="31" spans="1:33" s="974" customFormat="1" ht="13.5" customHeight="1" thickBot="1">
      <c r="A31" s="2559" t="s">
        <v>2510</v>
      </c>
      <c r="B31" s="1004" t="s">
        <v>2511</v>
      </c>
      <c r="C31" s="1005">
        <f>ROUND(C4*F31/(1+'数据-取费表'!C42),0)</f>
        <v>0</v>
      </c>
      <c r="D31" s="1006"/>
      <c r="E31" s="1007"/>
      <c r="F31" s="1008">
        <f>'数据-取费表'!B41</f>
        <v>5.6000000000000001E-2</v>
      </c>
      <c r="G31" s="1009" t="s">
        <v>2512</v>
      </c>
      <c r="H31" s="1010"/>
      <c r="I31" s="1010"/>
      <c r="J31" s="1010"/>
      <c r="K31" s="1011"/>
    </row>
    <row r="32" spans="1:33" s="969" customFormat="1" ht="13.5" customHeight="1" thickBot="1">
      <c r="A32" s="999" t="s">
        <v>2513</v>
      </c>
      <c r="B32" s="1000"/>
      <c r="C32" s="1001">
        <f ca="1">ROUND((C4-C21-C22-C23-C25-C28-C31)/(1+C24+D25+D28),0)</f>
        <v>-225</v>
      </c>
      <c r="D32" s="1000"/>
      <c r="E32" s="1000"/>
      <c r="F32" s="1000"/>
      <c r="G32" s="1002" t="s">
        <v>2514</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90" zoomScaleNormal="100" zoomScaleSheetLayoutView="90" zoomScalePageLayoutView="80" workbookViewId="0">
      <selection activeCell="F25" sqref="F25"/>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3060</v>
      </c>
      <c r="D1" s="2415"/>
      <c r="E1" s="2415"/>
      <c r="F1" s="2417" t="s">
        <v>2114</v>
      </c>
      <c r="G1" s="2066" t="s">
        <v>3086</v>
      </c>
      <c r="H1" s="2418" t="str">
        <f>IF(G1="现房","——","估价对象范围")</f>
        <v>——</v>
      </c>
      <c r="I1" s="2419" t="s">
        <v>3098</v>
      </c>
    </row>
    <row r="2" spans="1:12" ht="21.75" customHeight="1" thickBot="1">
      <c r="A2" s="3195" t="str">
        <f>项目基本情况!S2</f>
        <v>北京市丰台区万兴路1号院3、4号楼商业用房房地产房地产</v>
      </c>
      <c r="B2" s="3196"/>
      <c r="C2" s="3196"/>
      <c r="D2" s="3196"/>
      <c r="E2" s="3196"/>
      <c r="F2" s="3196"/>
      <c r="G2" s="3196"/>
      <c r="H2" s="3196"/>
      <c r="I2" s="3197"/>
    </row>
    <row r="3" spans="1:12" ht="13.2">
      <c r="A3" s="3198" t="s">
        <v>2115</v>
      </c>
      <c r="B3" s="3199"/>
      <c r="C3" s="3199"/>
      <c r="D3" s="3199"/>
      <c r="E3" s="3199"/>
      <c r="F3" s="3199"/>
      <c r="G3" s="3199"/>
      <c r="H3" s="3199"/>
      <c r="I3" s="3199"/>
    </row>
    <row r="4" spans="1:12" ht="14.4">
      <c r="A4" s="2422" t="s">
        <v>2116</v>
      </c>
      <c r="B4" s="2423" t="s">
        <v>2117</v>
      </c>
      <c r="C4" s="2424" t="s">
        <v>3178</v>
      </c>
      <c r="D4" s="2424" t="s">
        <v>3164</v>
      </c>
      <c r="E4" s="3179" t="s">
        <v>2118</v>
      </c>
      <c r="F4" s="3192"/>
      <c r="G4" s="3192"/>
      <c r="H4" s="3192"/>
      <c r="I4" s="3180"/>
      <c r="K4" s="2425" t="str">
        <f>IF(ISNUMBER(FIND("比较法",'结果表 (2)'!C4)),"比较法",IF(ISNUMBER(FIND("成本法",'结果表 (2)'!C4)),"成本法",IF(ISNUMBER(FIND("假设开发法",'结果表 (2)'!C4)),"假设开发法",IF(ISNUMBER(FIND("收益法",'结果表 (2)'!C4)),"收益法","基准地价系数修正法"))))</f>
        <v>收益法</v>
      </c>
      <c r="L4" s="2425"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3.2">
      <c r="A5" s="3170" t="s">
        <v>2119</v>
      </c>
      <c r="B5" s="3096">
        <v>25</v>
      </c>
      <c r="C5" s="3200"/>
      <c r="D5" s="3188"/>
      <c r="E5" s="140" t="s">
        <v>2120</v>
      </c>
      <c r="F5" s="2426"/>
      <c r="G5" s="2426"/>
      <c r="H5" s="2426"/>
      <c r="I5" s="1830"/>
    </row>
    <row r="6" spans="1:12" ht="13.2">
      <c r="A6" s="3170"/>
      <c r="B6" s="3096"/>
      <c r="C6" s="3202"/>
      <c r="D6" s="3188"/>
      <c r="E6" s="140" t="s">
        <v>2121</v>
      </c>
      <c r="F6" s="2426"/>
      <c r="G6" s="2426"/>
      <c r="H6" s="2426"/>
      <c r="I6" s="1830"/>
    </row>
    <row r="7" spans="1:12" ht="13.2">
      <c r="A7" s="3170"/>
      <c r="B7" s="3096"/>
      <c r="C7" s="3201"/>
      <c r="D7" s="3188"/>
      <c r="E7" s="140" t="s">
        <v>2122</v>
      </c>
      <c r="F7" s="2426"/>
      <c r="G7" s="2426"/>
      <c r="H7" s="2426"/>
      <c r="I7" s="1830"/>
    </row>
    <row r="8" spans="1:12" ht="13.2">
      <c r="A8" s="3170" t="s">
        <v>2123</v>
      </c>
      <c r="B8" s="3096">
        <v>15</v>
      </c>
      <c r="C8" s="3200"/>
      <c r="D8" s="3188"/>
      <c r="E8" s="140" t="s">
        <v>2124</v>
      </c>
      <c r="F8" s="2426"/>
      <c r="G8" s="2426"/>
      <c r="H8" s="2426"/>
      <c r="I8" s="1830"/>
    </row>
    <row r="9" spans="1:12" ht="13.2">
      <c r="A9" s="3170"/>
      <c r="B9" s="3096"/>
      <c r="C9" s="3201"/>
      <c r="D9" s="3188"/>
      <c r="E9" s="140" t="s">
        <v>2125</v>
      </c>
      <c r="F9" s="2426"/>
      <c r="G9" s="2426"/>
      <c r="H9" s="2426"/>
      <c r="I9" s="1830"/>
    </row>
    <row r="10" spans="1:12" ht="13.2">
      <c r="A10" s="3170" t="s">
        <v>2126</v>
      </c>
      <c r="B10" s="3096">
        <v>15</v>
      </c>
      <c r="C10" s="3200"/>
      <c r="D10" s="3188"/>
      <c r="E10" s="140" t="s">
        <v>2127</v>
      </c>
      <c r="F10" s="2426"/>
      <c r="G10" s="2426"/>
      <c r="H10" s="2426"/>
      <c r="I10" s="1830"/>
    </row>
    <row r="11" spans="1:12" ht="13.2">
      <c r="A11" s="3170"/>
      <c r="B11" s="3096"/>
      <c r="C11" s="3201"/>
      <c r="D11" s="3188"/>
      <c r="E11" s="140" t="s">
        <v>2128</v>
      </c>
      <c r="F11" s="2426"/>
      <c r="G11" s="2426"/>
      <c r="H11" s="2426"/>
      <c r="I11" s="1830"/>
    </row>
    <row r="12" spans="1:12" ht="13.2">
      <c r="A12" s="3170" t="s">
        <v>2129</v>
      </c>
      <c r="B12" s="3096">
        <v>15</v>
      </c>
      <c r="C12" s="3200"/>
      <c r="D12" s="3188"/>
      <c r="E12" s="140" t="s">
        <v>2130</v>
      </c>
      <c r="F12" s="2426"/>
      <c r="G12" s="2426"/>
      <c r="H12" s="2426"/>
      <c r="I12" s="1830"/>
    </row>
    <row r="13" spans="1:12" ht="13.2">
      <c r="A13" s="3170"/>
      <c r="B13" s="3096"/>
      <c r="C13" s="3201"/>
      <c r="D13" s="3188"/>
      <c r="E13" s="140" t="s">
        <v>2131</v>
      </c>
      <c r="F13" s="2426"/>
      <c r="G13" s="2426"/>
      <c r="H13" s="2426"/>
      <c r="I13" s="1830"/>
    </row>
    <row r="14" spans="1:12" ht="13.2">
      <c r="A14" s="3170" t="s">
        <v>2132</v>
      </c>
      <c r="B14" s="3096">
        <v>30</v>
      </c>
      <c r="C14" s="3200">
        <v>55</v>
      </c>
      <c r="D14" s="3188">
        <v>45</v>
      </c>
      <c r="E14" s="140" t="s">
        <v>2133</v>
      </c>
      <c r="F14" s="2426"/>
      <c r="G14" s="2426"/>
      <c r="H14" s="2426"/>
      <c r="I14" s="1830"/>
    </row>
    <row r="15" spans="1:12" ht="13.2">
      <c r="A15" s="3170"/>
      <c r="B15" s="3096"/>
      <c r="C15" s="3202"/>
      <c r="D15" s="3188"/>
      <c r="E15" s="140" t="s">
        <v>2134</v>
      </c>
      <c r="F15" s="2426"/>
      <c r="G15" s="2426"/>
      <c r="H15" s="2426"/>
      <c r="I15" s="1830"/>
    </row>
    <row r="16" spans="1:12" ht="13.2">
      <c r="A16" s="3170"/>
      <c r="B16" s="3096"/>
      <c r="C16" s="3201"/>
      <c r="D16" s="3188"/>
      <c r="E16" s="140" t="s">
        <v>2135</v>
      </c>
      <c r="F16" s="2426"/>
      <c r="G16" s="2426"/>
      <c r="H16" s="2426"/>
      <c r="I16" s="1830"/>
    </row>
    <row r="17" spans="1:35" ht="14.4">
      <c r="A17" s="2427" t="s">
        <v>2136</v>
      </c>
      <c r="B17" s="64"/>
      <c r="C17" s="141">
        <f>SUM(C5:C16)</f>
        <v>55</v>
      </c>
      <c r="D17" s="141">
        <f>SUM(D5:D16)</f>
        <v>45</v>
      </c>
      <c r="E17" s="138"/>
      <c r="F17" s="138"/>
      <c r="G17" s="138"/>
      <c r="H17" s="138"/>
      <c r="I17" s="138"/>
      <c r="K17" s="2425"/>
      <c r="L17" s="2428" t="s">
        <v>2137</v>
      </c>
      <c r="M17" s="2428" t="s">
        <v>2138</v>
      </c>
    </row>
    <row r="18" spans="1:35" ht="15" thickBot="1">
      <c r="A18" s="2429" t="s">
        <v>2139</v>
      </c>
      <c r="B18" s="2430"/>
      <c r="C18" s="142">
        <f>ROUND(C17/SUM(C17:D17),2)</f>
        <v>0.55000000000000004</v>
      </c>
      <c r="D18" s="142">
        <f>1-C18</f>
        <v>0.44999999999999996</v>
      </c>
      <c r="E18" s="138"/>
      <c r="F18" s="138"/>
      <c r="G18" s="138"/>
      <c r="H18" s="138"/>
      <c r="I18" s="138"/>
      <c r="K18" s="2425" t="s">
        <v>2140</v>
      </c>
      <c r="L18" s="2425">
        <f>IF(C1="",'数据-汇总表'!E3,SUMIF(项目类型,C1,'数据-汇总表'!E17:E26)+SUMIF(项目类型,C1,'数据-汇总表'!I17:I26))</f>
        <v>3035.67</v>
      </c>
      <c r="M18" s="2425">
        <f>IF(C1="",'数据-汇总表'!E3,SUMIF(项目类型,C1,'数据-汇总表'!E17:E26))</f>
        <v>3035.67</v>
      </c>
    </row>
    <row r="19" spans="1:35" ht="14.4">
      <c r="A19" s="2431" t="s">
        <v>2141</v>
      </c>
      <c r="B19" s="2432" t="s">
        <v>2142</v>
      </c>
      <c r="C19" s="143">
        <f ca="1">SUMIF(INDIRECT("'"&amp;C4&amp;"'"&amp;"!A:A"),'结果表 (2)'!B19,INDIRECT("'"&amp;C4&amp;"'"&amp;"!B:B"))</f>
        <v>6442</v>
      </c>
      <c r="D19" s="144">
        <f ca="1">SUMIF(INDIRECT("'"&amp;D4&amp;"'"&amp;"!A:A"),'结果表 (2)'!B19,INDIRECT("'"&amp;D4&amp;"'"&amp;"!B:B"))</f>
        <v>9849</v>
      </c>
      <c r="E19" s="2431" t="s">
        <v>2143</v>
      </c>
      <c r="F19" s="2432" t="s">
        <v>2142</v>
      </c>
      <c r="G19" s="145">
        <f ca="1">ROUND(C19*$C$18+D19*$D$18,0)</f>
        <v>7975</v>
      </c>
      <c r="H19" s="2433" t="s">
        <v>2144</v>
      </c>
      <c r="I19" s="138"/>
      <c r="K19" s="2425" t="s">
        <v>2145</v>
      </c>
      <c r="L19" s="2425">
        <f>IF(C1="",'数据-汇总表'!D3,SUMIF(项目类型,C1,'数据-汇总表'!D17:D26)+SUMIF(项目类型,C1,'数据-汇总表'!H17:H27))</f>
        <v>2781.02</v>
      </c>
      <c r="M19" s="2425">
        <f>IF(C1="",'数据-汇总表'!D3,SUMIF(项目类型,C1,'数据-汇总表'!D17:D26))</f>
        <v>2781.02</v>
      </c>
    </row>
    <row r="20" spans="1:35" ht="14.4">
      <c r="A20" s="2434"/>
      <c r="B20" s="1246" t="s">
        <v>2146</v>
      </c>
      <c r="C20" s="146">
        <f ca="1">SUMIF(INDIRECT("'"&amp;C4&amp;"'"&amp;"!A:A"),'结果表 (2)'!B20,INDIRECT("'"&amp;C4&amp;"'"&amp;"!B:B"))</f>
        <v>21221</v>
      </c>
      <c r="D20" s="147">
        <f ca="1">SUMIF(INDIRECT("'"&amp;D4&amp;"'"&amp;"!A:A"),'结果表 (2)'!B20,INDIRECT("'"&amp;D4&amp;"'"&amp;"!B:B"))</f>
        <v>37320</v>
      </c>
      <c r="E20" s="2434"/>
      <c r="F20" s="1246" t="s">
        <v>2146</v>
      </c>
      <c r="G20" s="148">
        <f ca="1">ROUND(C20*$C$18+D20*$D$18,0)</f>
        <v>28466</v>
      </c>
      <c r="H20" s="979" t="s">
        <v>2147</v>
      </c>
      <c r="I20" s="138"/>
    </row>
    <row r="21" spans="1:35" ht="15" customHeight="1" thickBot="1">
      <c r="A21" s="999"/>
      <c r="B21" s="2435" t="s">
        <v>2148</v>
      </c>
      <c r="C21" s="788">
        <f ca="1">ROUND(C19*10000/L19,0)</f>
        <v>23164</v>
      </c>
      <c r="D21" s="789">
        <f ca="1">ROUND(D19*10000/L19,0)</f>
        <v>35415</v>
      </c>
      <c r="E21" s="999"/>
      <c r="F21" s="2435" t="s">
        <v>2148</v>
      </c>
      <c r="G21" s="149">
        <f ca="1">ROUND(G19*10000/L19,0)</f>
        <v>28677</v>
      </c>
      <c r="H21" s="2436" t="s">
        <v>2147</v>
      </c>
      <c r="I21" s="138"/>
    </row>
    <row r="22" spans="1:35" ht="15" thickBot="1">
      <c r="A22" s="2277" t="s">
        <v>2149</v>
      </c>
      <c r="B22" s="2437"/>
      <c r="C22" s="2438"/>
      <c r="D22" s="790">
        <f ca="1">IF(C19&lt;D19,D19/C19-1,C19/D19-1)</f>
        <v>0.52887302080099352</v>
      </c>
      <c r="E22" s="138"/>
      <c r="F22" s="138"/>
      <c r="G22" s="138"/>
      <c r="H22" s="138"/>
      <c r="I22" s="138"/>
    </row>
    <row r="23" spans="1:35" ht="13.8" thickBot="1">
      <c r="A23" s="2415"/>
      <c r="B23" s="2415"/>
      <c r="C23" s="2415"/>
      <c r="D23" s="2415"/>
      <c r="E23" s="138"/>
      <c r="F23" s="138"/>
      <c r="G23" s="138"/>
      <c r="H23" s="138"/>
      <c r="I23" s="138"/>
      <c r="J23" s="794">
        <f ca="1">ROUND(G19/B118*10000,0)</f>
        <v>26271</v>
      </c>
    </row>
    <row r="24" spans="1:35" ht="14.4">
      <c r="A24" s="3209" t="s">
        <v>2150</v>
      </c>
      <c r="B24" s="2432" t="s">
        <v>2142</v>
      </c>
      <c r="C24" s="145">
        <f>IF(B30=0,0,D30)</f>
        <v>0</v>
      </c>
      <c r="D24" s="2439"/>
      <c r="E24" s="138"/>
      <c r="F24" s="138"/>
      <c r="G24" s="138"/>
      <c r="H24" s="138"/>
      <c r="I24" s="138"/>
      <c r="J24" s="794">
        <f ca="1">ROUND(D19/B118*10000,0)</f>
        <v>32444</v>
      </c>
    </row>
    <row r="25" spans="1:35" ht="14.4">
      <c r="A25" s="3210"/>
      <c r="B25" s="1246"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2155</v>
      </c>
      <c r="B30" s="151"/>
      <c r="C30" s="151"/>
      <c r="D30" s="151"/>
      <c r="E30" s="2914" t="s">
        <v>3030</v>
      </c>
      <c r="F30" s="138"/>
      <c r="G30" s="138"/>
      <c r="H30" s="138"/>
      <c r="I30" s="138"/>
    </row>
    <row r="31" spans="1:35" s="2443" customFormat="1" ht="14.4"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3">
        <f ca="1">IF(D32="总价",G19-C24,G20-C25)</f>
        <v>7975</v>
      </c>
      <c r="D32" s="2446" t="s">
        <v>2157</v>
      </c>
      <c r="E32" s="138"/>
      <c r="F32" s="138"/>
      <c r="G32" s="138"/>
      <c r="H32" s="138"/>
      <c r="I32" s="138"/>
    </row>
    <row r="33" spans="1:15" ht="14.4">
      <c r="A33" s="956" t="s">
        <v>2158</v>
      </c>
      <c r="B33" s="2447"/>
      <c r="C33" s="2448" t="s">
        <v>3208</v>
      </c>
      <c r="D33" s="2449" t="s">
        <v>3176</v>
      </c>
      <c r="E33" s="2450" t="s">
        <v>2159</v>
      </c>
      <c r="F33" s="3009" t="str">
        <f>IF(D32="楼面单价","取值（单价）","取值（总价）")</f>
        <v>取值（总价）</v>
      </c>
      <c r="G33" s="138"/>
      <c r="H33" s="138"/>
      <c r="I33" s="138"/>
    </row>
    <row r="34" spans="1:15" ht="14.4">
      <c r="A34" s="2452"/>
      <c r="B34" s="2453" t="s">
        <v>2160</v>
      </c>
      <c r="C34" s="157">
        <f ca="1">IF(C33="自定义",F34,C32-C35)</f>
        <v>7975</v>
      </c>
      <c r="D34" s="1054">
        <f ca="1">IF(C33="自定义",ROUND(C34/C32,3),IF(C33="收益比率",SUMIF(INDIRECT("'"&amp;D33&amp;"'"&amp;"!b:b"),"土地收益比率",INDIRECT("'"&amp;D33&amp;"'"&amp;"!c:c")),SUMIF(INDIRECT("'"&amp;D33&amp;"'"&amp;"!b:b"),"土地成本比率",INDIRECT("'"&amp;D33&amp;"'"&amp;"!c:c"))))</f>
        <v>0</v>
      </c>
      <c r="E34" s="2454" t="s">
        <v>2161</v>
      </c>
      <c r="F34" s="1735"/>
      <c r="G34" s="138"/>
      <c r="H34" s="138"/>
      <c r="I34" s="138"/>
    </row>
    <row r="35" spans="1:15" ht="15" thickBot="1">
      <c r="A35" s="2455"/>
      <c r="B35" s="2456" t="s">
        <v>2162</v>
      </c>
      <c r="C35" s="1440">
        <f ca="1">IF(C33="自定义",F35,ROUND(C32*D35,0))</f>
        <v>0</v>
      </c>
      <c r="D35" s="1441">
        <f ca="1">IF(C33="自定义",ROUND(C35/C32,3),IF(C33="收益比率",SUMIF(INDIRECT("'"&amp;D33&amp;"'"&amp;"!b:b"),"建筑物收益比率",INDIRECT("'"&amp;D33&amp;"'"&amp;"!c:c")),SUMIF(INDIRECT("'"&amp;D33&amp;"'"&amp;"!b:b"),"建筑物成本比率",INDIRECT("'"&amp;D33&amp;"'"&amp;"!c:c"))))</f>
        <v>0</v>
      </c>
      <c r="E35" s="2457" t="s">
        <v>2163</v>
      </c>
      <c r="F35" s="163"/>
      <c r="G35" s="138"/>
      <c r="H35" s="138"/>
      <c r="I35" s="138"/>
    </row>
    <row r="36" spans="1:15" ht="15" thickBot="1">
      <c r="A36" s="3189" t="s">
        <v>2164</v>
      </c>
      <c r="B36" s="2458" t="s">
        <v>2165</v>
      </c>
      <c r="C36" s="154"/>
      <c r="D36" s="2459"/>
      <c r="E36" s="2460"/>
      <c r="F36" s="2461"/>
      <c r="G36" s="138"/>
      <c r="H36" s="138"/>
      <c r="I36" s="138"/>
    </row>
    <row r="37" spans="1:15" ht="15" thickBot="1">
      <c r="A37" s="3190"/>
      <c r="B37" s="2263" t="s">
        <v>2166</v>
      </c>
      <c r="C37" s="156"/>
      <c r="D37" s="1391"/>
      <c r="E37" s="1391"/>
      <c r="F37" s="2461"/>
      <c r="G37" s="138"/>
      <c r="H37" s="138"/>
      <c r="I37" s="138"/>
    </row>
    <row r="38" spans="1:15" ht="15" thickBot="1">
      <c r="A38" s="3191"/>
      <c r="B38" s="2462" t="s">
        <v>2167</v>
      </c>
      <c r="C38" s="726"/>
      <c r="D38" s="2463" t="s">
        <v>2168</v>
      </c>
      <c r="E38" s="1391"/>
      <c r="F38" s="2461"/>
      <c r="G38" s="138"/>
      <c r="H38" s="138"/>
      <c r="I38" s="138"/>
    </row>
    <row r="39" spans="1:15" ht="14.4">
      <c r="A39" s="2434" t="s">
        <v>2169</v>
      </c>
      <c r="B39" s="2464" t="s">
        <v>2152</v>
      </c>
      <c r="C39" s="2465" t="s">
        <v>2153</v>
      </c>
      <c r="D39" s="2465" t="s">
        <v>2172</v>
      </c>
      <c r="E39" s="2466" t="s">
        <v>2154</v>
      </c>
      <c r="F39" s="2461"/>
      <c r="G39" s="138"/>
      <c r="H39" s="138"/>
      <c r="I39" s="138"/>
    </row>
    <row r="40" spans="1:15" ht="13.8">
      <c r="A40" s="2467" t="s">
        <v>2174</v>
      </c>
      <c r="B40" s="158"/>
      <c r="C40" s="159"/>
      <c r="D40" s="159"/>
      <c r="E40" s="160"/>
      <c r="F40" s="2461"/>
      <c r="G40" s="138"/>
      <c r="H40" s="138"/>
      <c r="I40" s="138"/>
    </row>
    <row r="41" spans="1:15" ht="13.8">
      <c r="A41" s="2467" t="s">
        <v>2175</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206" t="s">
        <v>2178</v>
      </c>
      <c r="B45" s="3207"/>
      <c r="C45" s="3208"/>
      <c r="D45" s="164">
        <f ca="1">ROUND(H101*F45,0)</f>
        <v>7975</v>
      </c>
      <c r="E45" s="165" t="s">
        <v>2179</v>
      </c>
      <c r="F45" s="166">
        <v>1</v>
      </c>
      <c r="G45" s="167" t="s">
        <v>2180</v>
      </c>
      <c r="H45" s="138"/>
      <c r="I45" s="138"/>
      <c r="J45" s="3125" t="s">
        <v>2181</v>
      </c>
      <c r="K45" s="3125"/>
      <c r="L45" s="3125"/>
      <c r="M45" s="3125"/>
      <c r="N45" s="3125"/>
      <c r="O45" s="3125"/>
    </row>
    <row r="46" spans="1:15" ht="14.25" customHeight="1">
      <c r="A46" s="3203" t="s">
        <v>2182</v>
      </c>
      <c r="B46" s="3204"/>
      <c r="C46" s="3204"/>
      <c r="D46" s="3204"/>
      <c r="E46" s="3204"/>
      <c r="F46" s="3204"/>
      <c r="G46" s="3205"/>
      <c r="H46" s="2477"/>
      <c r="I46" s="168"/>
      <c r="J46" s="3021">
        <v>1</v>
      </c>
      <c r="K46" s="3125" t="s">
        <v>2183</v>
      </c>
      <c r="L46" s="3125"/>
      <c r="M46" s="3126"/>
      <c r="N46" s="3126"/>
      <c r="O46" s="3126"/>
    </row>
    <row r="47" spans="1:15" ht="12" customHeight="1">
      <c r="A47" s="169" t="s">
        <v>2184</v>
      </c>
      <c r="B47" s="170"/>
      <c r="C47" s="171"/>
      <c r="D47" s="172" t="s">
        <v>2185</v>
      </c>
      <c r="E47" s="24" t="s">
        <v>2186</v>
      </c>
      <c r="F47" s="173" t="s">
        <v>2187</v>
      </c>
      <c r="G47" s="174" t="s">
        <v>2188</v>
      </c>
      <c r="H47" s="2477"/>
      <c r="I47" s="168"/>
      <c r="J47" s="3021">
        <v>2</v>
      </c>
      <c r="K47" s="3125" t="s">
        <v>2189</v>
      </c>
      <c r="L47" s="3125"/>
      <c r="M47" s="3127">
        <f>'数据-取费表'!B2</f>
        <v>43734</v>
      </c>
      <c r="N47" s="3127"/>
      <c r="O47" s="3127"/>
    </row>
    <row r="48" spans="1:15" ht="26.4">
      <c r="A48" s="3193" t="s">
        <v>2190</v>
      </c>
      <c r="B48" s="3194"/>
      <c r="C48" s="3194"/>
      <c r="D48" s="140">
        <f>IF(H48="情况1",0,IF(H48="情况2",D52,IF(H48="情况3",D53,IF(H48="情况4",D54))))</f>
        <v>0</v>
      </c>
      <c r="E48" s="3014" t="str">
        <f>IF(H48="情况4","(销售额-原购置价)×税（费）率","销售额×税（费）率")</f>
        <v>销售额×税（费）率</v>
      </c>
      <c r="F48" s="175" t="str">
        <f>IF(H48="情况1","免征",'数据-取费表'!B41)</f>
        <v>免征</v>
      </c>
      <c r="G48" s="2478" t="s">
        <v>2191</v>
      </c>
      <c r="H48" s="2479" t="s">
        <v>2192</v>
      </c>
      <c r="I48" s="2477"/>
      <c r="J48" s="3021">
        <v>3</v>
      </c>
      <c r="K48" s="3125" t="s">
        <v>2193</v>
      </c>
      <c r="L48" s="3125"/>
      <c r="M48" s="3128">
        <f ca="1">H101</f>
        <v>7975</v>
      </c>
      <c r="N48" s="3128"/>
      <c r="O48" s="3128"/>
    </row>
    <row r="49" spans="1:35" ht="25.5" customHeight="1">
      <c r="A49" s="176" t="s">
        <v>2194</v>
      </c>
      <c r="B49" s="3173" t="s">
        <v>2195</v>
      </c>
      <c r="C49" s="3173"/>
      <c r="D49" s="177">
        <v>0</v>
      </c>
      <c r="E49" s="23" t="s">
        <v>2196</v>
      </c>
      <c r="F49" s="28" t="s">
        <v>34</v>
      </c>
      <c r="G49" s="3154"/>
      <c r="H49" s="138"/>
      <c r="I49" s="2480"/>
      <c r="J49" s="3021">
        <v>4</v>
      </c>
      <c r="K49" s="3125" t="str">
        <f>IF(项目基本情况!E8="房地产抵押价值","房地产抵押价值","抵押担保权已注销时的房地产抵押价值")</f>
        <v>房地产抵押价值</v>
      </c>
      <c r="L49" s="3125"/>
      <c r="M49" s="3128">
        <f ca="1">IF(项目基本情况!E8="房地产抵押价值",H107,H109)</f>
        <v>7975</v>
      </c>
      <c r="N49" s="3128"/>
      <c r="O49" s="3128"/>
    </row>
    <row r="50" spans="1:35" ht="25.5" customHeight="1">
      <c r="A50" s="178"/>
      <c r="B50" s="3173" t="s">
        <v>2197</v>
      </c>
      <c r="C50" s="3173"/>
      <c r="D50" s="179"/>
      <c r="E50" s="31"/>
      <c r="F50" s="180"/>
      <c r="G50" s="3155"/>
      <c r="H50" s="138"/>
      <c r="I50" s="2480"/>
      <c r="J50" s="3125" t="s">
        <v>2198</v>
      </c>
      <c r="K50" s="3125"/>
      <c r="L50" s="3125"/>
      <c r="M50" s="3125"/>
      <c r="N50" s="3125"/>
      <c r="O50" s="3125"/>
    </row>
    <row r="51" spans="1:35" ht="12" customHeight="1">
      <c r="A51" s="181"/>
      <c r="B51" s="3173" t="s">
        <v>2199</v>
      </c>
      <c r="C51" s="3173"/>
      <c r="D51" s="182"/>
      <c r="E51" s="30"/>
      <c r="F51" s="180"/>
      <c r="G51" s="3156"/>
      <c r="H51" s="138"/>
      <c r="I51" s="2480"/>
      <c r="J51" s="3020" t="s">
        <v>2200</v>
      </c>
      <c r="K51" s="3125" t="s">
        <v>2201</v>
      </c>
      <c r="L51" s="3125"/>
      <c r="M51" s="3020" t="s">
        <v>2202</v>
      </c>
      <c r="N51" s="3020" t="s">
        <v>2203</v>
      </c>
      <c r="O51" s="3020" t="s">
        <v>2204</v>
      </c>
    </row>
    <row r="52" spans="1:35" ht="24" customHeight="1">
      <c r="A52" s="183" t="s">
        <v>2205</v>
      </c>
      <c r="B52" s="3173" t="s">
        <v>2206</v>
      </c>
      <c r="C52" s="3173"/>
      <c r="D52" s="182">
        <f ca="1">ROUND(D45*'数据-取费表'!B41/(1+'数据-取费表'!C42),0)</f>
        <v>425</v>
      </c>
      <c r="E52" s="11" t="s">
        <v>2207</v>
      </c>
      <c r="F52" s="184">
        <f>'数据-取费表'!B41</f>
        <v>5.6000000000000001E-2</v>
      </c>
      <c r="G52" s="2482"/>
      <c r="H52" s="138"/>
      <c r="I52" s="2480"/>
      <c r="J52" s="3021">
        <v>1</v>
      </c>
      <c r="K52" s="3148" t="s">
        <v>2208</v>
      </c>
      <c r="L52" s="3148"/>
      <c r="M52" s="1750">
        <f>D48</f>
        <v>0</v>
      </c>
      <c r="N52" s="3021" t="str">
        <f>E48</f>
        <v>销售额×税（费）率</v>
      </c>
      <c r="O52" s="1751" t="str">
        <f>F48</f>
        <v>免征</v>
      </c>
    </row>
    <row r="53" spans="1:35" ht="12" customHeight="1">
      <c r="A53" s="183" t="s">
        <v>2209</v>
      </c>
      <c r="B53" s="3174" t="s">
        <v>2210</v>
      </c>
      <c r="C53" s="3175"/>
      <c r="D53" s="182">
        <f ca="1">ROUND(D45*'数据-取费表'!B41/(1+'数据-取费表'!C42),0)</f>
        <v>425</v>
      </c>
      <c r="E53" s="11" t="s">
        <v>2207</v>
      </c>
      <c r="F53" s="184">
        <f>'数据-取费表'!B41</f>
        <v>5.6000000000000001E-2</v>
      </c>
      <c r="G53" s="2482"/>
      <c r="H53" s="138"/>
      <c r="I53" s="2480"/>
      <c r="J53" s="3021">
        <v>2</v>
      </c>
      <c r="K53" s="3148" t="s">
        <v>2211</v>
      </c>
      <c r="L53" s="3148"/>
      <c r="M53" s="1750">
        <f t="shared" ref="M53:O54" ca="1" si="0">D55</f>
        <v>4</v>
      </c>
      <c r="N53" s="3021" t="str">
        <f t="shared" si="0"/>
        <v>销售额×税（费）率</v>
      </c>
      <c r="O53" s="1751">
        <f t="shared" si="0"/>
        <v>5.0000000000000001E-4</v>
      </c>
    </row>
    <row r="54" spans="1:35" ht="12" customHeight="1">
      <c r="A54" s="183" t="s">
        <v>2212</v>
      </c>
      <c r="B54" s="3174" t="s">
        <v>2213</v>
      </c>
      <c r="C54" s="3175"/>
      <c r="D54" s="182">
        <f ca="1">C68</f>
        <v>425</v>
      </c>
      <c r="E54" s="30" t="s">
        <v>2214</v>
      </c>
      <c r="F54" s="184">
        <f>'数据-取费表'!B41</f>
        <v>5.6000000000000001E-2</v>
      </c>
      <c r="G54" s="2482"/>
      <c r="H54" s="2483"/>
      <c r="I54" s="2480"/>
      <c r="J54" s="3021">
        <v>3</v>
      </c>
      <c r="K54" s="3148" t="s">
        <v>2215</v>
      </c>
      <c r="L54" s="3148"/>
      <c r="M54" s="1750">
        <f t="shared" ca="1" si="0"/>
        <v>4513</v>
      </c>
      <c r="N54" s="3021" t="str">
        <f t="shared" si="0"/>
        <v>增值额×税（费）率</v>
      </c>
      <c r="O54" s="1752" t="str">
        <f t="shared" si="0"/>
        <v>——</v>
      </c>
    </row>
    <row r="55" spans="1:35" ht="24" customHeight="1">
      <c r="A55" s="3212" t="s">
        <v>2216</v>
      </c>
      <c r="B55" s="3194"/>
      <c r="C55" s="3194"/>
      <c r="D55" s="185">
        <f ca="1">IF(H55="个人住宅",0,ROUND(D45*I55,0))</f>
        <v>4</v>
      </c>
      <c r="E55" s="11" t="s">
        <v>2217</v>
      </c>
      <c r="F55" s="184">
        <f>IF(H55="正常",I55,"免征")</f>
        <v>5.0000000000000001E-4</v>
      </c>
      <c r="G55" s="2482"/>
      <c r="H55" s="2479" t="s">
        <v>2218</v>
      </c>
      <c r="I55" s="186">
        <f>'数据-取费表'!B49</f>
        <v>5.0000000000000001E-4</v>
      </c>
      <c r="J55" s="3021" t="str">
        <f>IF(H59="非个人房产","",4)</f>
        <v/>
      </c>
      <c r="K55" s="3148" t="str">
        <f>IF(H59="非个人房产","——","个人所得税")</f>
        <v>——</v>
      </c>
      <c r="L55" s="3148"/>
      <c r="M55" s="1753" t="str">
        <f>D59</f>
        <v>——</v>
      </c>
      <c r="N55" s="3022" t="str">
        <f>E59</f>
        <v>——</v>
      </c>
      <c r="O55" s="1754" t="str">
        <f>F59</f>
        <v>——</v>
      </c>
    </row>
    <row r="56" spans="1:35" ht="25.2">
      <c r="A56" s="3212" t="s">
        <v>2219</v>
      </c>
      <c r="B56" s="3194"/>
      <c r="C56" s="3194"/>
      <c r="D56" s="185">
        <f ca="1">IF(H56="个人住宅",D57,D58)</f>
        <v>4513</v>
      </c>
      <c r="E56" s="11" t="s">
        <v>2220</v>
      </c>
      <c r="F56" s="184" t="str">
        <f>IF(H56="正常",F58,"免征")</f>
        <v>——</v>
      </c>
      <c r="G56" s="2484" t="s">
        <v>2221</v>
      </c>
      <c r="H56" s="2485" t="s">
        <v>2218</v>
      </c>
      <c r="I56" s="2486"/>
      <c r="J56" s="3021" t="str">
        <f>IF(项目基本情况!K6="上海银行",IF(J55="",4,J55+1),"")</f>
        <v/>
      </c>
      <c r="K56" s="3131" t="str">
        <f>IF(项目基本情况!K6="上海银行","其他处置费用","")</f>
        <v/>
      </c>
      <c r="L56" s="3132"/>
      <c r="M56" s="1750" t="str">
        <f>IF(项目基本情况!K6="上海银行",M69,"")</f>
        <v/>
      </c>
      <c r="N56" s="3134" t="str">
        <f>IF(项目基本情况!K6="上海银行","包含处置中涉及的律师、诉讼、拍卖、评估等费用","")</f>
        <v/>
      </c>
      <c r="O56" s="3135"/>
    </row>
    <row r="57" spans="1:35" ht="13.2">
      <c r="A57" s="183" t="s">
        <v>2194</v>
      </c>
      <c r="B57" s="3179" t="s">
        <v>2222</v>
      </c>
      <c r="C57" s="3180"/>
      <c r="D57" s="187">
        <v>0</v>
      </c>
      <c r="E57" s="23" t="s">
        <v>2196</v>
      </c>
      <c r="F57" s="155"/>
      <c r="G57" s="2482"/>
      <c r="H57" s="2486"/>
      <c r="I57" s="2486"/>
      <c r="J57" s="3148">
        <f>IF(AND(J55="",J56=""),4,IF(项目基本情况!K6="上海银行",'结果表 (2)'!J56+1,'结果表 (2)'!J55+1))</f>
        <v>4</v>
      </c>
      <c r="K57" s="3148" t="s">
        <v>2223</v>
      </c>
      <c r="L57" s="2487" t="s">
        <v>2224</v>
      </c>
      <c r="M57" s="1755"/>
      <c r="N57" s="1756">
        <f ca="1">SUMIF(M52:M56,"&lt;9e307")</f>
        <v>4517</v>
      </c>
      <c r="O57" s="2488"/>
      <c r="P57" s="1749">
        <f ca="1">N57/M49</f>
        <v>0.56639498432601876</v>
      </c>
    </row>
    <row r="58" spans="1:35" ht="25.2">
      <c r="A58" s="183" t="s">
        <v>2205</v>
      </c>
      <c r="B58" s="3179" t="s">
        <v>2225</v>
      </c>
      <c r="C58" s="3192"/>
      <c r="D58" s="185">
        <f ca="1">IF(H58="转让取得",C81,C97)</f>
        <v>4513</v>
      </c>
      <c r="E58" s="11" t="s">
        <v>2220</v>
      </c>
      <c r="F58" s="24" t="s">
        <v>34</v>
      </c>
      <c r="G58" s="2482"/>
      <c r="H58" s="2485" t="s">
        <v>2226</v>
      </c>
      <c r="I58" s="2486"/>
      <c r="J58" s="3148"/>
      <c r="K58" s="3148"/>
      <c r="L58" s="2487" t="s">
        <v>2227</v>
      </c>
      <c r="M58" s="1757"/>
      <c r="N58" s="2489" t="str">
        <f ca="1">NUMBERSTRING(INT(N57*10000),2)&amp;"元整"</f>
        <v>肆仟伍佰壹拾柒万元整</v>
      </c>
      <c r="O58" s="2490"/>
    </row>
    <row r="59" spans="1:35" ht="24.6" thickBot="1">
      <c r="A59" s="3152" t="s">
        <v>2228</v>
      </c>
      <c r="B59" s="3153"/>
      <c r="C59" s="3153"/>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50">
        <f>J57+1</f>
        <v>5</v>
      </c>
      <c r="K59" s="3148" t="s">
        <v>2230</v>
      </c>
      <c r="L59" s="3021" t="s">
        <v>2224</v>
      </c>
      <c r="M59" s="1758"/>
      <c r="N59" s="1759">
        <f ca="1">M49-N57</f>
        <v>3458</v>
      </c>
      <c r="O59" s="2492"/>
    </row>
    <row r="60" spans="1:35" ht="12" customHeight="1">
      <c r="A60" s="2493"/>
      <c r="B60" s="2415"/>
      <c r="C60" s="2415"/>
      <c r="D60" s="2415"/>
      <c r="E60" s="2162"/>
      <c r="F60" s="2486"/>
      <c r="G60" s="2486"/>
      <c r="H60" s="2494"/>
      <c r="I60" s="138"/>
      <c r="J60" s="3151"/>
      <c r="K60" s="3148"/>
      <c r="L60" s="2487" t="s">
        <v>2227</v>
      </c>
      <c r="M60" s="1757"/>
      <c r="N60" s="2489" t="str">
        <f ca="1">NUMBERSTRING(INT(N59*10000),2)&amp;"元整"</f>
        <v>叁仟肆佰伍拾捌万元整</v>
      </c>
      <c r="O60" s="2490"/>
    </row>
    <row r="61" spans="1:35" ht="13.8" thickBot="1">
      <c r="A61" s="3211" t="s">
        <v>2231</v>
      </c>
      <c r="B61" s="3211"/>
      <c r="C61" s="3211"/>
      <c r="D61" s="3211"/>
      <c r="E61" s="3211"/>
      <c r="F61" s="2486"/>
      <c r="G61" s="2486"/>
      <c r="H61" s="2494"/>
      <c r="I61" s="138"/>
      <c r="J61" s="3021">
        <f>J59+1</f>
        <v>6</v>
      </c>
      <c r="K61" s="3148" t="s">
        <v>2232</v>
      </c>
      <c r="L61" s="3148"/>
      <c r="M61" s="1760"/>
      <c r="N61" s="1761">
        <f ca="1">ROUND(N59*10000/'数据-汇总表'!E3,0)</f>
        <v>7902</v>
      </c>
      <c r="O61" s="2495"/>
    </row>
    <row r="62" spans="1:35" ht="13.2">
      <c r="A62" s="3168" t="s">
        <v>2233</v>
      </c>
      <c r="B62" s="3169"/>
      <c r="C62" s="3017"/>
      <c r="D62" s="3017" t="s">
        <v>2234</v>
      </c>
      <c r="E62" s="192" t="s">
        <v>2235</v>
      </c>
      <c r="F62" s="2486"/>
      <c r="G62" s="2486"/>
      <c r="H62" s="2494"/>
      <c r="I62" s="138"/>
    </row>
    <row r="63" spans="1:35" ht="13.2">
      <c r="A63" s="203" t="s">
        <v>775</v>
      </c>
      <c r="B63" s="193" t="s">
        <v>2236</v>
      </c>
      <c r="C63" s="194">
        <f ca="1">ROUND((C64+C65)/(1+'数据-取费表'!C42),0)</f>
        <v>7595</v>
      </c>
      <c r="D63" s="195"/>
      <c r="E63" s="196"/>
      <c r="F63" s="2486"/>
      <c r="G63" s="2486"/>
      <c r="H63" s="2494"/>
      <c r="I63" s="138"/>
      <c r="J63" s="3133" t="s">
        <v>2237</v>
      </c>
      <c r="K63" s="3023" t="s">
        <v>2238</v>
      </c>
      <c r="L63" s="1748">
        <f ca="1">IF(M49&gt;10000,M49*0.5%,IF(AND(M49&gt;1000,M49&lt;=10000),M49*1%,IF(AND(M49&gt;100,M49&lt;=1000),M49*3%,IF(AND(M49&gt;10,M49&lt;=100),M49*5%,M49*8%))))</f>
        <v>79.75</v>
      </c>
      <c r="M63" s="24">
        <f ca="1">ROUND(L63,1)</f>
        <v>79.8</v>
      </c>
      <c r="Z63" s="2420"/>
      <c r="AI63" s="2421"/>
    </row>
    <row r="64" spans="1:35" ht="14.25" customHeight="1">
      <c r="A64" s="197" t="s">
        <v>770</v>
      </c>
      <c r="B64" s="198" t="s">
        <v>2239</v>
      </c>
      <c r="C64" s="199">
        <f ca="1">D45</f>
        <v>7975</v>
      </c>
      <c r="D64" s="200" t="s">
        <v>32</v>
      </c>
      <c r="E64" s="201"/>
      <c r="F64" s="2486"/>
      <c r="G64" s="2486"/>
      <c r="H64" s="2494"/>
      <c r="I64" s="138"/>
      <c r="J64" s="3133"/>
      <c r="K64" s="3023" t="s">
        <v>2240</v>
      </c>
      <c r="L64" s="1748">
        <f ca="1">IF(M49&gt;2000,M49*0.5%,IF(AND(M49&gt;1000,M49&lt;=2000),M49*0.6%,IF(AND(M49&gt;500,M49&lt;=1000),M49*0.7%,IF(AND(M49&gt;200,M49&lt;=500),M49*0.8%,IF(AND(M49&gt;100,M49&lt;=200),M49*0.9%,IF(AND(M49&gt;50,M49&lt;=100),M49*1%,IF(AND(M49&gt;20,M49&lt;=50),M49*1.5%,IF(AND(M49&gt;10,M49&lt;=20),M49*2%,IF(AND(M49&gt;1,M49&lt;=10),M49*2.5%)))))))))</f>
        <v>39.875</v>
      </c>
      <c r="M64" s="24">
        <f t="shared" ref="M64:M65" ca="1" si="1">ROUND(L64,1)</f>
        <v>39.9</v>
      </c>
      <c r="N64" s="138" t="s">
        <v>2241</v>
      </c>
      <c r="Z64" s="2420"/>
      <c r="AI64" s="2421"/>
    </row>
    <row r="65" spans="1:35" ht="14.25" customHeight="1">
      <c r="A65" s="197" t="s">
        <v>771</v>
      </c>
      <c r="B65" s="198" t="s">
        <v>2242</v>
      </c>
      <c r="C65" s="202"/>
      <c r="D65" s="200"/>
      <c r="E65" s="201"/>
      <c r="F65" s="2486"/>
      <c r="G65" s="2486"/>
      <c r="H65" s="2494"/>
      <c r="I65" s="138"/>
      <c r="J65" s="3133"/>
      <c r="K65" s="3023" t="s">
        <v>2243</v>
      </c>
      <c r="L65" s="1748">
        <f ca="1">IF(M49&gt;1000,M49*0.1%,IF(AND(M49&gt;500,M49&lt;=1000),M49*0.5%,IF(AND(M49&gt;50,M49&lt;=500),M49*1%,IF(AND(M49&gt;1,M49&lt;=50),M49*1.5%))))</f>
        <v>7.9750000000000005</v>
      </c>
      <c r="M65" s="24">
        <f t="shared" ca="1" si="1"/>
        <v>8</v>
      </c>
      <c r="N65" s="138" t="s">
        <v>2241</v>
      </c>
      <c r="Z65" s="2420"/>
      <c r="AI65" s="2421"/>
    </row>
    <row r="66" spans="1:35" ht="14.25" customHeight="1">
      <c r="A66" s="203" t="s">
        <v>772</v>
      </c>
      <c r="B66" s="204" t="s">
        <v>2244</v>
      </c>
      <c r="C66" s="205"/>
      <c r="D66" s="206" t="s">
        <v>32</v>
      </c>
      <c r="E66" s="1772" t="s">
        <v>1367</v>
      </c>
      <c r="F66" s="2486"/>
      <c r="G66" s="2486"/>
      <c r="H66" s="2494"/>
      <c r="I66" s="138"/>
      <c r="J66" s="3133"/>
      <c r="K66" s="3023" t="s">
        <v>2245</v>
      </c>
      <c r="L66" s="1748">
        <f ca="1">M49*0.5%</f>
        <v>39.875</v>
      </c>
      <c r="M66" s="24">
        <f ca="1">IF(L66&gt;0.5,0.5,ROUND(L66,0))</f>
        <v>0.5</v>
      </c>
      <c r="N66" s="138" t="s">
        <v>2246</v>
      </c>
      <c r="Z66" s="2420"/>
      <c r="AI66" s="2421"/>
    </row>
    <row r="67" spans="1:35" ht="14.25" customHeight="1">
      <c r="A67" s="203" t="s">
        <v>773</v>
      </c>
      <c r="B67" s="204" t="s">
        <v>2247</v>
      </c>
      <c r="C67" s="207">
        <f ca="1">C63-C66</f>
        <v>7595</v>
      </c>
      <c r="D67" s="200" t="s">
        <v>32</v>
      </c>
      <c r="E67" s="201"/>
      <c r="F67" s="2486"/>
      <c r="G67" s="2486"/>
      <c r="H67" s="2494"/>
      <c r="I67" s="138"/>
      <c r="J67" s="3133"/>
      <c r="K67" s="3023" t="s">
        <v>2248</v>
      </c>
      <c r="L67" s="1748">
        <f ca="1">IF(M49&gt;=10000,(8.25+(M49-10000)*0.01%),IF(AND(M49&gt;=8000,M49&lt;10000),(7.85+(M49-8000)*0.02%),IF(AND(M49&gt;=5000,M49&lt;8000),(6.65+(M49-5000)*0.04%),IF(AND(M49&gt;=2000,M49&lt;5000),(4.25+(PM49-2000)*0.08%),IF(AND(M49&gt;=1000,M49&lt;2000),(2.75+(M49-1000)*0.15%),IF(AND(M49&gt;=100,M49&lt;1000),(0.5+(M49-100)*0.25%),IF(AND(M49&gt;0,M49&lt;100),M49*0.5%)))))))</f>
        <v>7.84</v>
      </c>
      <c r="M67" s="24">
        <f ca="1">ROUND(L67*0.9,1)</f>
        <v>7.1</v>
      </c>
      <c r="Z67" s="2420"/>
      <c r="AI67" s="2421"/>
    </row>
    <row r="68" spans="1:35" ht="14.25" customHeight="1" thickBot="1">
      <c r="A68" s="208" t="s">
        <v>774</v>
      </c>
      <c r="B68" s="209" t="s">
        <v>2249</v>
      </c>
      <c r="C68" s="210">
        <f ca="1">IF(C67&lt;=0,0,ROUND(C67*D68,0))</f>
        <v>425</v>
      </c>
      <c r="D68" s="211">
        <f>'数据-取费表'!B41</f>
        <v>5.6000000000000001E-2</v>
      </c>
      <c r="E68" s="212"/>
      <c r="F68" s="2486"/>
      <c r="G68" s="2486"/>
      <c r="H68" s="2494"/>
      <c r="I68" s="138"/>
      <c r="J68" s="3133"/>
      <c r="K68" s="3023" t="s">
        <v>2250</v>
      </c>
      <c r="L68" s="1748">
        <f ca="1">IF(M49&gt;10000,M49*0.5%,IF(AND(M49&gt;5000,M49&lt;=10000),M49*1%,IF(AND(M49&gt;1000,M49&lt;=5000),M49*2%,IF(AND(M49&gt;200,M49&lt;=1000),M49*3%,M49*5%))))</f>
        <v>79.75</v>
      </c>
      <c r="M68" s="24">
        <f ca="1">ROUND(L68,1)</f>
        <v>79.8</v>
      </c>
      <c r="Z68" s="2420"/>
      <c r="AI68" s="2421"/>
    </row>
    <row r="69" spans="1:35" s="2443" customFormat="1" ht="16.5" customHeight="1">
      <c r="A69" s="2497"/>
      <c r="B69" s="2498"/>
      <c r="C69" s="2499"/>
      <c r="D69" s="2500"/>
      <c r="E69" s="2501"/>
      <c r="F69" s="2162"/>
      <c r="G69" s="2162"/>
      <c r="H69" s="2161"/>
      <c r="I69" s="2415"/>
      <c r="J69" s="3133"/>
      <c r="K69" s="3023" t="s">
        <v>2251</v>
      </c>
      <c r="L69" s="2502"/>
      <c r="M69" s="24">
        <f ca="1">ROUND(SUM(M63:M68),0)</f>
        <v>215</v>
      </c>
      <c r="N69" s="1749">
        <f ca="1">M69/M49</f>
        <v>2.6959247648902823E-2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77" t="s">
        <v>2252</v>
      </c>
      <c r="B70" s="3178"/>
      <c r="C70" s="3178"/>
      <c r="D70" s="3178"/>
      <c r="E70" s="3178"/>
      <c r="F70" s="3178"/>
      <c r="G70" s="3178"/>
      <c r="H70" s="317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68" t="s">
        <v>2233</v>
      </c>
      <c r="B71" s="3169"/>
      <c r="C71" s="3017"/>
      <c r="D71" s="3017"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2253</v>
      </c>
      <c r="C72" s="207">
        <f ca="1">ROUND(D45/(1+'数据-取费表'!C42),0)</f>
        <v>7595</v>
      </c>
      <c r="D72" s="200" t="s">
        <v>32</v>
      </c>
      <c r="E72" s="3016"/>
      <c r="F72" s="3011"/>
      <c r="G72" s="3011"/>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2254</v>
      </c>
      <c r="C73" s="207">
        <f ca="1">C74+C78</f>
        <v>46</v>
      </c>
      <c r="D73" s="200" t="s">
        <v>32</v>
      </c>
      <c r="E73" s="3016"/>
      <c r="F73" s="3011"/>
      <c r="G73" s="3011"/>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3016"/>
      <c r="F74" s="3011"/>
      <c r="G74" s="3011"/>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74" t="s">
        <v>2261</v>
      </c>
      <c r="F76" s="3173"/>
      <c r="G76" s="3173"/>
      <c r="H76" s="317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3.0499999999999999E-2</v>
      </c>
      <c r="E77" s="3024" t="s">
        <v>2263</v>
      </c>
      <c r="F77" s="224"/>
      <c r="G77" s="2510" t="s">
        <v>2264</v>
      </c>
      <c r="H77" s="301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46</v>
      </c>
      <c r="D78" s="226">
        <f>'数据-取费表'!B43</f>
        <v>6.000000000000001E-3</v>
      </c>
      <c r="E78" s="3165" t="s">
        <v>2266</v>
      </c>
      <c r="F78" s="3166"/>
      <c r="G78" s="3166"/>
      <c r="H78" s="316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773</v>
      </c>
      <c r="B79" s="204" t="s">
        <v>2267</v>
      </c>
      <c r="C79" s="207">
        <f ca="1">C72-C73</f>
        <v>7549</v>
      </c>
      <c r="D79" s="200" t="s">
        <v>32</v>
      </c>
      <c r="E79" s="3016"/>
      <c r="F79" s="3011"/>
      <c r="G79" s="3011"/>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164.10869565217391</v>
      </c>
      <c r="D80" s="200" t="s">
        <v>32</v>
      </c>
      <c r="E80" s="3024" t="str">
        <f ca="1">IF(C80&gt;=200%,"增值额超过扣除项目金额200%",IF(C80&gt;=100%,"增值额超过扣除项目金额100%，未超过200%",IF(C80&gt;=50%,"增值额超过扣除项目金额50%，未超过100%",IF(C80&lt;50%,"增值额未超过扣除项目金额50%"))))</f>
        <v>增值额超过扣除项目金额200%</v>
      </c>
      <c r="F80" s="3011"/>
      <c r="G80" s="3011"/>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2269</v>
      </c>
      <c r="C81" s="228">
        <f ca="1">ROUND(IF(C79&lt;=0,0,IF(C80&gt;=200%,C79*60%-C73*35%,IF(C80&gt;=100%,C79*50%-C73*15%,IF(C80&gt;=50%,C79*40%-C73*5%,IF(C80&lt;50%,C79*30%,0))))),0)</f>
        <v>4513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77" t="s">
        <v>2270</v>
      </c>
      <c r="B83" s="3178"/>
      <c r="C83" s="3178"/>
      <c r="D83" s="3178"/>
      <c r="E83" s="3178"/>
      <c r="F83" s="3178"/>
      <c r="G83" s="3178"/>
      <c r="H83" s="31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68" t="s">
        <v>2233</v>
      </c>
      <c r="B84" s="3169"/>
      <c r="C84" s="3017"/>
      <c r="D84" s="3017"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2253</v>
      </c>
      <c r="C85" s="207">
        <f ca="1">ROUND(D45/(1+'数据-取费表'!C42),0)</f>
        <v>7595</v>
      </c>
      <c r="D85" s="200" t="s">
        <v>32</v>
      </c>
      <c r="E85" s="3016"/>
      <c r="F85" s="3011"/>
      <c r="G85" s="3011"/>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2254</v>
      </c>
      <c r="C86" s="207">
        <f ca="1">IF(H88="仅含出让金",C87+C90+C91+C92+C93+C94,C87+C91+C92+C93+C94)</f>
        <v>46</v>
      </c>
      <c r="D86" s="235"/>
      <c r="E86" s="3016"/>
      <c r="F86" s="3011"/>
      <c r="G86" s="3011"/>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2271</v>
      </c>
      <c r="C87" s="225">
        <f>C88+C89</f>
        <v>0</v>
      </c>
      <c r="D87" s="226"/>
      <c r="E87" s="3012"/>
      <c r="F87" s="3013"/>
      <c r="G87" s="3013"/>
      <c r="H87" s="301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2272</v>
      </c>
      <c r="C88" s="236"/>
      <c r="D88" s="226"/>
      <c r="E88" s="237" t="s">
        <v>2273</v>
      </c>
      <c r="F88" s="3013"/>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2262</v>
      </c>
      <c r="C89" s="225">
        <f>ROUND(C88*D89,0)</f>
        <v>0</v>
      </c>
      <c r="D89" s="226">
        <f>'数据-取费表'!B48+'数据-取费表'!B49</f>
        <v>3.0499999999999999E-2</v>
      </c>
      <c r="E89" s="237" t="s">
        <v>2275</v>
      </c>
      <c r="F89" s="3013"/>
      <c r="G89" s="3013"/>
      <c r="H89" s="301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2276</v>
      </c>
      <c r="C90" s="236"/>
      <c r="D90" s="226"/>
      <c r="E90" s="237" t="str">
        <f>IF(H88="-","土地取得成本中已包含该笔费用"," ")</f>
        <v xml:space="preserve"> </v>
      </c>
      <c r="F90" s="3013"/>
      <c r="G90" s="3013"/>
      <c r="H90" s="301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65" t="s">
        <v>2279</v>
      </c>
      <c r="F91" s="3166"/>
      <c r="G91" s="3166"/>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65" t="s">
        <v>2283</v>
      </c>
      <c r="F92" s="3166"/>
      <c r="G92" s="3166"/>
      <c r="H92" s="316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46</v>
      </c>
      <c r="D93" s="226">
        <f>'数据-取费表'!B43</f>
        <v>6.000000000000001E-3</v>
      </c>
      <c r="E93" s="3165" t="s">
        <v>2266</v>
      </c>
      <c r="F93" s="3166"/>
      <c r="G93" s="3166"/>
      <c r="H93" s="316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213" t="s">
        <v>2287</v>
      </c>
      <c r="F94" s="3214"/>
      <c r="G94" s="3214"/>
      <c r="H94" s="321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773</v>
      </c>
      <c r="B95" s="204" t="s">
        <v>2267</v>
      </c>
      <c r="C95" s="207">
        <f ca="1">ROUND(C85-C86,0)</f>
        <v>7549</v>
      </c>
      <c r="D95" s="200" t="s">
        <v>32</v>
      </c>
      <c r="E95" s="3016"/>
      <c r="F95" s="3011"/>
      <c r="G95" s="3011"/>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164.10869565217391</v>
      </c>
      <c r="D96" s="200" t="s">
        <v>32</v>
      </c>
      <c r="E96" s="3024" t="str">
        <f ca="1">IF(C96&gt;=200%,"增值额超过扣除项目金额200%",IF(C96&gt;=100%,"增值额超过扣除项目金额100%，未超过200%",IF(C96&gt;=50%,"增值额超过扣除项目金额50%，未超过100%",IF(C96&lt;50%,"增值额未超过扣除项目金额50%"))))</f>
        <v>增值额超过扣除项目金额200%</v>
      </c>
      <c r="F96" s="3011"/>
      <c r="G96" s="3011"/>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2269</v>
      </c>
      <c r="C97" s="228">
        <f ca="1">ROUND(IF(C95&lt;=0,0,IF(C96&gt;=200%,C95*60%-C86*35%,IF(C96&gt;=100%,C95*50%-C86*15%,IF(C96&gt;=50%,C95*40%-C86*5%,IF(C96&lt;50%,C95*30%,0))))),0)</f>
        <v>4513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2288</v>
      </c>
      <c r="B99" s="2415"/>
      <c r="C99" s="2415"/>
      <c r="D99" s="2415"/>
      <c r="E99" s="2162"/>
      <c r="F99" s="2162"/>
      <c r="G99" s="2162"/>
      <c r="H99" s="2161"/>
      <c r="I99" s="138"/>
    </row>
    <row r="100" spans="1:35" ht="18.75" customHeight="1">
      <c r="A100" s="3117" t="s">
        <v>2289</v>
      </c>
      <c r="B100" s="3118"/>
      <c r="C100" s="3118"/>
      <c r="D100" s="3149"/>
      <c r="E100" s="3118" t="s">
        <v>2290</v>
      </c>
      <c r="F100" s="3118"/>
      <c r="G100" s="3118"/>
      <c r="H100" s="3149"/>
      <c r="I100" s="138"/>
    </row>
    <row r="101" spans="1:35" ht="18.75" customHeight="1">
      <c r="A101" s="3157" t="s">
        <v>2291</v>
      </c>
      <c r="B101" s="3158"/>
      <c r="C101" s="735" t="str">
        <f>C4</f>
        <v>收益法 (4号楼)</v>
      </c>
      <c r="D101" s="736" t="str">
        <f>D4</f>
        <v>典型户型修正</v>
      </c>
      <c r="E101" s="3129" t="s">
        <v>2292</v>
      </c>
      <c r="F101" s="3130"/>
      <c r="G101" s="2517" t="s">
        <v>2293</v>
      </c>
      <c r="H101" s="1044">
        <f ca="1">H118</f>
        <v>7975</v>
      </c>
      <c r="I101" s="138"/>
    </row>
    <row r="102" spans="1:35" ht="18.75" customHeight="1">
      <c r="A102" s="3159" t="s">
        <v>2294</v>
      </c>
      <c r="B102" s="2517" t="s">
        <v>2293</v>
      </c>
      <c r="C102" s="735">
        <f ca="1">C19</f>
        <v>6442</v>
      </c>
      <c r="D102" s="736">
        <f ca="1">D19</f>
        <v>9849</v>
      </c>
      <c r="E102" s="3129"/>
      <c r="F102" s="3130"/>
      <c r="G102" s="2517" t="s">
        <v>2295</v>
      </c>
      <c r="H102" s="371">
        <f ca="1">I118</f>
        <v>26271</v>
      </c>
      <c r="I102" s="138"/>
    </row>
    <row r="103" spans="1:35" ht="42.75" customHeight="1">
      <c r="A103" s="3159"/>
      <c r="B103" s="2517" t="s">
        <v>2295</v>
      </c>
      <c r="C103" s="737">
        <f ca="1">C20</f>
        <v>21221</v>
      </c>
      <c r="D103" s="738">
        <f ca="1">D20</f>
        <v>37320</v>
      </c>
      <c r="E103" s="3123" t="s">
        <v>2296</v>
      </c>
      <c r="F103" s="3124"/>
      <c r="G103" s="2518" t="s">
        <v>2297</v>
      </c>
      <c r="H103" s="1044">
        <f>IF(D36="正常操作",H104+H105+H106,H105+H106)</f>
        <v>0</v>
      </c>
      <c r="I103" s="138"/>
    </row>
    <row r="104" spans="1:35" ht="18.75" customHeight="1">
      <c r="A104" s="3159" t="s">
        <v>2298</v>
      </c>
      <c r="B104" s="2519" t="s">
        <v>2293</v>
      </c>
      <c r="C104" s="739">
        <f ca="1">H118</f>
        <v>7975</v>
      </c>
      <c r="D104" s="740"/>
      <c r="E104" s="2263" t="s">
        <v>2299</v>
      </c>
      <c r="F104" s="2254"/>
      <c r="G104" s="2518" t="s">
        <v>2297</v>
      </c>
      <c r="H104" s="1045">
        <f>IF(D36="同一抵押权人同一抵押物续贷",C36&amp;"（未扣减，详见特别提示）",C36)</f>
        <v>0</v>
      </c>
      <c r="I104" s="138"/>
    </row>
    <row r="105" spans="1:35" ht="18.75" customHeight="1" thickBot="1">
      <c r="A105" s="3171"/>
      <c r="B105" s="2520" t="s">
        <v>2295</v>
      </c>
      <c r="C105" s="741">
        <f ca="1">I118</f>
        <v>26271</v>
      </c>
      <c r="D105" s="742"/>
      <c r="E105" s="2263" t="s">
        <v>2300</v>
      </c>
      <c r="F105" s="2254"/>
      <c r="G105" s="2518" t="s">
        <v>2297</v>
      </c>
      <c r="H105" s="1045">
        <f>C37</f>
        <v>0</v>
      </c>
      <c r="I105" s="138"/>
    </row>
    <row r="106" spans="1:35" ht="18.75" customHeight="1">
      <c r="A106" s="2415" t="s">
        <v>2301</v>
      </c>
      <c r="B106" s="2415"/>
      <c r="C106" s="2415"/>
      <c r="D106" s="2415"/>
      <c r="E106" s="2521" t="s">
        <v>2302</v>
      </c>
      <c r="F106" s="2254"/>
      <c r="G106" s="2518" t="s">
        <v>2297</v>
      </c>
      <c r="H106" s="1045">
        <f>C38</f>
        <v>0</v>
      </c>
      <c r="I106" s="138"/>
    </row>
    <row r="107" spans="1:35" ht="18.75" customHeight="1">
      <c r="A107" s="138"/>
      <c r="B107" s="138"/>
      <c r="C107" s="138"/>
      <c r="D107" s="138"/>
      <c r="E107" s="3160" t="str">
        <f>IF(项目基本情况!E8="已注销","——","3.房地产抵押价值")</f>
        <v>3.房地产抵押价值</v>
      </c>
      <c r="F107" s="3130"/>
      <c r="G107" s="2517" t="s">
        <v>2293</v>
      </c>
      <c r="H107" s="1044">
        <f ca="1">IF(E107="——","——",H101-H103)</f>
        <v>7975</v>
      </c>
      <c r="I107" s="138"/>
    </row>
    <row r="108" spans="1:35" ht="18.75" customHeight="1">
      <c r="A108" s="138"/>
      <c r="B108" s="138"/>
      <c r="C108" s="138"/>
      <c r="D108" s="138"/>
      <c r="E108" s="3160"/>
      <c r="F108" s="3130"/>
      <c r="G108" s="2517" t="s">
        <v>2295</v>
      </c>
      <c r="H108" s="371">
        <f ca="1">ROUND(H107*10000/'数据-汇总表'!E3,0)</f>
        <v>18224</v>
      </c>
      <c r="I108" s="138"/>
    </row>
    <row r="109" spans="1:35" ht="18.75"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30"/>
      <c r="G109" s="2517" t="s">
        <v>2293</v>
      </c>
      <c r="H109" s="348" t="str">
        <f>IF(E109="——","——",H101-H105-H106)</f>
        <v>——</v>
      </c>
      <c r="I109" s="138"/>
    </row>
    <row r="110" spans="1:35" ht="18.75" customHeight="1">
      <c r="A110" s="138"/>
      <c r="B110" s="138"/>
      <c r="C110" s="138"/>
      <c r="D110" s="138"/>
      <c r="E110" s="3160"/>
      <c r="F110" s="3130"/>
      <c r="G110" s="2517" t="s">
        <v>2295</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7" t="s">
        <v>2293</v>
      </c>
      <c r="H111" s="1044" t="str">
        <f>IF(E111="——","——",N59)</f>
        <v>——</v>
      </c>
      <c r="I111" s="138"/>
    </row>
    <row r="112" spans="1:35" ht="18.75" customHeight="1" thickBot="1">
      <c r="A112" s="138"/>
      <c r="B112" s="138"/>
      <c r="C112" s="138"/>
      <c r="D112" s="138"/>
      <c r="E112" s="3163"/>
      <c r="F112" s="3164"/>
      <c r="G112" s="2522" t="s">
        <v>2295</v>
      </c>
      <c r="H112" s="789" t="str">
        <f>IF(E111="——","——",N61)</f>
        <v>——</v>
      </c>
      <c r="I112" s="138"/>
    </row>
    <row r="113" spans="1:11" ht="18.75" customHeight="1">
      <c r="A113" s="138"/>
      <c r="B113" s="138"/>
      <c r="C113" s="138"/>
      <c r="D113" s="138"/>
      <c r="E113" s="3172" t="s">
        <v>2301</v>
      </c>
      <c r="F113" s="3172"/>
      <c r="G113" s="3172"/>
      <c r="H113" s="3172"/>
      <c r="I113" s="138"/>
    </row>
    <row r="114" spans="1:11" ht="3.75" customHeight="1">
      <c r="A114" s="2415"/>
      <c r="B114" s="2415"/>
      <c r="C114" s="2415"/>
      <c r="D114" s="2415"/>
      <c r="E114" s="2493"/>
      <c r="F114" s="2493"/>
      <c r="G114" s="2493"/>
      <c r="H114" s="2493"/>
      <c r="I114" s="2415"/>
    </row>
    <row r="115" spans="1:11" ht="18.75" customHeight="1">
      <c r="A115" s="3185" t="s">
        <v>2303</v>
      </c>
      <c r="B115" s="3186"/>
      <c r="C115" s="3186"/>
      <c r="D115" s="3186"/>
      <c r="E115" s="3186"/>
      <c r="F115" s="3186"/>
      <c r="G115" s="3186"/>
      <c r="H115" s="3186"/>
      <c r="I115" s="3187"/>
    </row>
    <row r="116" spans="1:11" ht="27" customHeight="1">
      <c r="A116" s="3096" t="s">
        <v>2304</v>
      </c>
      <c r="B116" s="3139" t="s">
        <v>2305</v>
      </c>
      <c r="C116" s="3139" t="s">
        <v>2306</v>
      </c>
      <c r="D116" s="3145" t="s">
        <v>2307</v>
      </c>
      <c r="E116" s="3146"/>
      <c r="F116" s="3181" t="s">
        <v>2308</v>
      </c>
      <c r="G116" s="3181"/>
      <c r="H116" s="3096" t="s">
        <v>2309</v>
      </c>
      <c r="I116" s="3096"/>
    </row>
    <row r="117" spans="1:11" ht="18.75" customHeight="1">
      <c r="A117" s="3096"/>
      <c r="B117" s="3140"/>
      <c r="C117" s="3140"/>
      <c r="D117" s="3008" t="s">
        <v>2310</v>
      </c>
      <c r="E117" s="3008" t="s">
        <v>2311</v>
      </c>
      <c r="F117" s="3008" t="s">
        <v>2310</v>
      </c>
      <c r="G117" s="3008" t="s">
        <v>2312</v>
      </c>
      <c r="H117" s="3008" t="s">
        <v>2310</v>
      </c>
      <c r="I117" s="3008" t="s">
        <v>2312</v>
      </c>
    </row>
    <row r="118" spans="1:11" ht="24.75" customHeight="1">
      <c r="A118" s="2523" t="str">
        <f>项目基本情况!S2</f>
        <v>北京市丰台区万兴路1号院3、4号楼商业用房房地产房地产</v>
      </c>
      <c r="B118" s="3008">
        <f>M18</f>
        <v>3035.67</v>
      </c>
      <c r="C118" s="3008">
        <f>M19</f>
        <v>2781.02</v>
      </c>
      <c r="D118" s="3008">
        <f ca="1">ROUND(IF(D32="总价",C34,E118*B118/10000),0)</f>
        <v>7975</v>
      </c>
      <c r="E118" s="3008">
        <f ca="1">ROUND(IF(C33="自定义",IF(D32="楼面单价",C34,D118*10000/B118),I118-G118),0)</f>
        <v>26271</v>
      </c>
      <c r="F118" s="3008">
        <f ca="1">ROUND(IF(D32="总价",C35,G118*B118/10000),0)</f>
        <v>0</v>
      </c>
      <c r="G118" s="3008">
        <f ca="1">ROUND(IF(D32="楼面单价",C35,F118*10000/B118),0)</f>
        <v>0</v>
      </c>
      <c r="H118" s="3008">
        <f ca="1">ROUND(IF(D32="总价",C32,I118*B118/10000),0)</f>
        <v>7975</v>
      </c>
      <c r="I118" s="3008">
        <f ca="1">ROUND(IF(D32="楼面单价",C32,H118*10000/B118),0)</f>
        <v>26271</v>
      </c>
    </row>
    <row r="119" spans="1:11" ht="18.75" customHeight="1">
      <c r="A119" s="3096" t="s">
        <v>2313</v>
      </c>
      <c r="B119" s="3096"/>
      <c r="C119" s="3096"/>
      <c r="D119" s="3141" t="str">
        <f ca="1">NUMBERSTRING(INT(D118*10000),2)&amp;"元整"</f>
        <v>柒仟玖佰柒拾伍万元整</v>
      </c>
      <c r="E119" s="3142"/>
      <c r="F119" s="3141" t="str">
        <f ca="1">NUMBERSTRING(INT(F118*10000),2)&amp;"元整"</f>
        <v>零元整</v>
      </c>
      <c r="G119" s="3142"/>
      <c r="H119" s="3141" t="str">
        <f ca="1">NUMBERSTRING(INT(H118*10000),2)&amp;"元整"</f>
        <v>柒仟玖佰柒拾伍万元整</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0" t="str">
        <f>IF(D120=0,"故，本次评估不存在"&amp;A120,"故，本次评估"&amp;A120&amp;"为人民币"&amp;D120&amp;"万元整。")</f>
        <v>故，本次评估不存在估价师知悉的法定优先受偿款</v>
      </c>
    </row>
    <row r="121" spans="1:11" ht="18.75" customHeight="1">
      <c r="A121" s="3182" t="s">
        <v>2313</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f ca="1">H107</f>
        <v>7975</v>
      </c>
      <c r="E122" s="3137"/>
      <c r="F122" s="3137"/>
      <c r="G122" s="3137"/>
      <c r="H122" s="3137"/>
      <c r="I122" s="3138"/>
    </row>
    <row r="123" spans="1:11" ht="18.75" customHeight="1">
      <c r="A123" s="3096" t="s">
        <v>2313</v>
      </c>
      <c r="B123" s="3096"/>
      <c r="C123" s="3096"/>
      <c r="D123" s="3141" t="str">
        <f ca="1">NUMBERSTRING(INT(D122*10000),2)&amp;"元整"</f>
        <v>柒仟玖佰柒拾伍万元整</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96" t="s">
        <v>2313</v>
      </c>
      <c r="B125" s="3096"/>
      <c r="C125" s="3096"/>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96" t="s">
        <v>2313</v>
      </c>
      <c r="B127" s="3096"/>
      <c r="C127" s="3096"/>
      <c r="D127" s="3141" t="e">
        <f>NUMBERSTRING(INT(D126*10000),2)&amp;"元整"</f>
        <v>#VALUE!</v>
      </c>
      <c r="E127" s="3143"/>
      <c r="F127" s="3143"/>
      <c r="G127" s="3143"/>
      <c r="H127" s="3143"/>
      <c r="I127" s="3142"/>
    </row>
    <row r="128" spans="1:11" ht="21.75" customHeight="1">
      <c r="A128" s="3144" t="s">
        <v>2314</v>
      </c>
      <c r="B128" s="3144"/>
      <c r="C128" s="3144"/>
      <c r="D128" s="3144"/>
      <c r="E128" s="3144"/>
      <c r="F128" s="3144"/>
      <c r="G128" s="3144"/>
      <c r="H128" s="3144"/>
      <c r="I128" s="3144"/>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2317</v>
      </c>
      <c r="G135" s="2541"/>
      <c r="H135" s="2541"/>
      <c r="I135" s="2542" t="s">
        <v>2318</v>
      </c>
    </row>
    <row r="136" spans="1:35" ht="21.75" customHeight="1">
      <c r="A136" s="794"/>
      <c r="B136" s="2543"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2320</v>
      </c>
    </row>
    <row r="139" spans="1:35" ht="21.75" customHeight="1">
      <c r="A139" s="794"/>
      <c r="B139" s="2543" t="s">
        <v>2321</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2320</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6" sqref="E4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1" t="s">
        <v>2638</v>
      </c>
      <c r="C1" s="1633" t="s">
        <v>2526</v>
      </c>
      <c r="D1" s="1620" t="s">
        <v>3068</v>
      </c>
      <c r="E1" s="2656"/>
      <c r="F1" s="2583" t="s">
        <v>3111</v>
      </c>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7">
        <f>IF(C2="——",ROUND(C49*D3/10000,0),ROUND(C49*D3/10000,0)-D2)</f>
        <v>5434</v>
      </c>
      <c r="C2" s="2585" t="s">
        <v>70</v>
      </c>
      <c r="D2" s="1364" t="e">
        <f ca="1">SUMIF(INDIRECT("'"&amp;F2&amp;"'"&amp;"!A:A"),"承租人权益价值",INDIRECT("'"&amp;F2&amp;"'"&amp;"!c:c"))</f>
        <v>#REF!</v>
      </c>
      <c r="E2" s="2586" t="s">
        <v>2324</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2325</v>
      </c>
      <c r="B3" s="609">
        <f>IF(C2="——",C49,ROUND(B2*10000/D3,0))</f>
        <v>40537</v>
      </c>
      <c r="C3" s="400" t="s">
        <v>2640</v>
      </c>
      <c r="D3" s="399">
        <f>IF(D1="",'数据-汇总表'!E3,SUMIF('数据-汇总表'!$C19:$C33,D1,'数据-汇总表'!$E19:$E33))</f>
        <v>1340.42</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75" t="s">
        <v>2644</v>
      </c>
      <c r="AC4" s="3245" t="s">
        <v>2645</v>
      </c>
    </row>
    <row r="5" spans="1:29">
      <c r="A5" s="404"/>
      <c r="B5" s="405"/>
      <c r="C5" s="3293" t="s">
        <v>3141</v>
      </c>
      <c r="D5" s="3257"/>
      <c r="E5" s="3292" t="s">
        <v>3159</v>
      </c>
      <c r="F5" s="3255"/>
      <c r="G5" s="3293" t="s">
        <v>3146</v>
      </c>
      <c r="H5" s="3257"/>
      <c r="I5" s="3293" t="s">
        <v>3206</v>
      </c>
      <c r="J5" s="3257"/>
      <c r="K5" s="610"/>
      <c r="L5" s="1129"/>
      <c r="M5" s="1130"/>
      <c r="N5" s="1130"/>
      <c r="O5" s="1130"/>
      <c r="P5" s="3269"/>
      <c r="Q5" s="3270"/>
      <c r="R5" s="3252"/>
      <c r="S5" s="3253"/>
      <c r="T5" s="3252"/>
      <c r="U5" s="3253"/>
      <c r="V5" s="3275"/>
      <c r="W5" s="3275"/>
      <c r="X5" s="1812"/>
      <c r="Y5" s="3252"/>
      <c r="Z5" s="3253"/>
      <c r="AA5" s="3246"/>
      <c r="AB5" s="3275"/>
      <c r="AC5" s="3246"/>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1812"/>
      <c r="Y6" s="3273"/>
      <c r="Z6" s="3274"/>
      <c r="AA6" s="3247"/>
      <c r="AB6" s="3275"/>
      <c r="AC6" s="3247"/>
    </row>
    <row r="7" spans="1:29" s="117" customFormat="1" ht="15" thickBot="1">
      <c r="A7" s="408" t="s">
        <v>2544</v>
      </c>
      <c r="B7" s="409"/>
      <c r="C7" s="410">
        <f>'数据-取费表'!B2</f>
        <v>43734</v>
      </c>
      <c r="D7" s="411">
        <v>100</v>
      </c>
      <c r="E7" s="412">
        <f>C7</f>
        <v>43734</v>
      </c>
      <c r="F7" s="413">
        <f>SUMIF(58:58,YEAR(E7)&amp;"-"&amp;MONTH(E7),59:59)</f>
        <v>100</v>
      </c>
      <c r="G7" s="412">
        <f>E7</f>
        <v>43734</v>
      </c>
      <c r="H7" s="411">
        <f>SUMIF(58:58,YEAR(G7)&amp;"-"&amp;MONTH(G7),59:59)</f>
        <v>100</v>
      </c>
      <c r="I7" s="412">
        <f>G7</f>
        <v>43734</v>
      </c>
      <c r="J7" s="411">
        <f>SUMIF(58:58,YEAR(I7)&amp;"-"&amp;MONTH(I7),59:59)</f>
        <v>100</v>
      </c>
      <c r="K7" s="611"/>
      <c r="L7" s="1131"/>
      <c r="M7" s="1132"/>
      <c r="N7" s="1132"/>
      <c r="O7" s="1132"/>
      <c r="P7" s="3248" t="s">
        <v>2545</v>
      </c>
      <c r="Q7" s="3276"/>
      <c r="R7" s="769" t="s">
        <v>17</v>
      </c>
      <c r="S7" s="770">
        <f t="shared" ref="S7:S15" si="0">F7</f>
        <v>100</v>
      </c>
      <c r="T7" s="769" t="s">
        <v>17</v>
      </c>
      <c r="U7" s="770">
        <f t="shared" ref="U7:U15" si="1">H7</f>
        <v>100</v>
      </c>
      <c r="V7" s="769" t="s">
        <v>17</v>
      </c>
      <c r="W7" s="770">
        <f t="shared" ref="W7:W15" si="2">J7</f>
        <v>100</v>
      </c>
      <c r="X7" s="771"/>
      <c r="Y7" s="3248" t="s">
        <v>2545</v>
      </c>
      <c r="Z7" s="3249"/>
      <c r="AA7" s="772">
        <f>D7/F7</f>
        <v>1</v>
      </c>
      <c r="AB7" s="772">
        <f>D7/H7</f>
        <v>1</v>
      </c>
      <c r="AC7" s="772">
        <f>D7/J7</f>
        <v>1</v>
      </c>
    </row>
    <row r="8" spans="1:29" s="117" customFormat="1" ht="15" thickBot="1">
      <c r="A8" s="408" t="s">
        <v>2546</v>
      </c>
      <c r="B8" s="409"/>
      <c r="C8" s="414" t="s">
        <v>2648</v>
      </c>
      <c r="D8" s="411">
        <v>100</v>
      </c>
      <c r="E8" s="414" t="s">
        <v>3142</v>
      </c>
      <c r="F8" s="413">
        <f>SUMIF(61:61,E8,62:62)-SUMIF(61:61,C8,62:62)+100</f>
        <v>100</v>
      </c>
      <c r="G8" s="414" t="s">
        <v>3142</v>
      </c>
      <c r="H8" s="411">
        <f>SUMIF(61:61,G8,62:62)-SUMIF(61:61,C8,62:62)+100</f>
        <v>100</v>
      </c>
      <c r="I8" s="414" t="s">
        <v>3142</v>
      </c>
      <c r="J8" s="411">
        <f>SUMIF(61:61,I8,62:62)-SUMIF(61:61,C8,62:62)+100</f>
        <v>100</v>
      </c>
      <c r="K8" s="611"/>
      <c r="L8" s="1131"/>
      <c r="M8" s="1132"/>
      <c r="N8" s="1132"/>
      <c r="O8" s="1132"/>
      <c r="P8" s="3248" t="s">
        <v>2548</v>
      </c>
      <c r="Q8" s="3249"/>
      <c r="R8" s="769" t="s">
        <v>17</v>
      </c>
      <c r="S8" s="770">
        <f t="shared" si="0"/>
        <v>100</v>
      </c>
      <c r="T8" s="769" t="s">
        <v>17</v>
      </c>
      <c r="U8" s="770">
        <f t="shared" si="1"/>
        <v>100</v>
      </c>
      <c r="V8" s="769" t="s">
        <v>17</v>
      </c>
      <c r="W8" s="770">
        <f t="shared" si="2"/>
        <v>100</v>
      </c>
      <c r="X8" s="771"/>
      <c r="Y8" s="3248" t="s">
        <v>2548</v>
      </c>
      <c r="Z8" s="3249"/>
      <c r="AA8" s="772">
        <f t="shared" ref="AA8:AA46" si="3">D8/F8</f>
        <v>1</v>
      </c>
      <c r="AB8" s="772">
        <f t="shared" ref="AB8:AB46" si="4">D8/H8</f>
        <v>1</v>
      </c>
      <c r="AC8" s="772">
        <f t="shared" ref="AC8:AC46" si="5">D8/J8</f>
        <v>1</v>
      </c>
    </row>
    <row r="9" spans="1:29" s="117" customFormat="1" ht="14.4">
      <c r="A9" s="415" t="s">
        <v>2549</v>
      </c>
      <c r="B9" s="71" t="s">
        <v>2550</v>
      </c>
      <c r="C9" s="2988" t="s">
        <v>3143</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62"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772">
        <f t="shared" si="5"/>
        <v>1</v>
      </c>
    </row>
    <row r="10" spans="1:29" s="427" customFormat="1" ht="28.8">
      <c r="A10" s="421"/>
      <c r="B10" s="422" t="s">
        <v>2553</v>
      </c>
      <c r="C10" s="423" t="s">
        <v>3144</v>
      </c>
      <c r="D10" s="136">
        <v>100</v>
      </c>
      <c r="E10" s="424" t="s">
        <v>3166</v>
      </c>
      <c r="F10" s="425">
        <f>SUMIF(65:65,E10,66:66)-SUMIF(65:65,C10,66:66)+100</f>
        <v>97</v>
      </c>
      <c r="G10" s="424" t="s">
        <v>3166</v>
      </c>
      <c r="H10" s="136">
        <f>SUMIF(65:65,G10,66:66)-SUMIF(65:65,C10,66:66)+100</f>
        <v>97</v>
      </c>
      <c r="I10" s="424" t="s">
        <v>3144</v>
      </c>
      <c r="J10" s="136">
        <f>SUMIF(65:65,I10,66:66)-SUMIF(65:65,C10,66:66)+100</f>
        <v>100</v>
      </c>
      <c r="K10" s="612">
        <v>3</v>
      </c>
      <c r="L10" s="1134"/>
      <c r="M10" s="1135"/>
      <c r="N10" s="1135"/>
      <c r="O10" s="1135"/>
      <c r="P10" s="3262"/>
      <c r="Q10" s="1794" t="str">
        <f t="shared" si="6"/>
        <v>土地使用年限（年）</v>
      </c>
      <c r="R10" s="769" t="s">
        <v>17</v>
      </c>
      <c r="S10" s="770">
        <f t="shared" si="0"/>
        <v>97</v>
      </c>
      <c r="T10" s="769" t="s">
        <v>17</v>
      </c>
      <c r="U10" s="770">
        <f t="shared" si="1"/>
        <v>97</v>
      </c>
      <c r="V10" s="769" t="s">
        <v>17</v>
      </c>
      <c r="W10" s="770">
        <f t="shared" si="2"/>
        <v>100</v>
      </c>
      <c r="X10" s="771"/>
      <c r="Y10" s="3096"/>
      <c r="Z10" s="55" t="str">
        <f t="shared" si="7"/>
        <v>土地使用年限（年）</v>
      </c>
      <c r="AA10" s="772">
        <f t="shared" si="3"/>
        <v>1.0309278350515463</v>
      </c>
      <c r="AB10" s="772">
        <f t="shared" si="4"/>
        <v>1.0309278350515463</v>
      </c>
      <c r="AC10" s="772">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62"/>
      <c r="Q11" s="1794" t="str">
        <f t="shared" si="6"/>
        <v>容积率</v>
      </c>
      <c r="R11" s="769" t="s">
        <v>17</v>
      </c>
      <c r="S11" s="770">
        <f t="shared" si="0"/>
        <v>100</v>
      </c>
      <c r="T11" s="769" t="s">
        <v>17</v>
      </c>
      <c r="U11" s="770">
        <f t="shared" si="1"/>
        <v>100</v>
      </c>
      <c r="V11" s="769" t="s">
        <v>17</v>
      </c>
      <c r="W11" s="770">
        <f t="shared" si="2"/>
        <v>100</v>
      </c>
      <c r="X11" s="771"/>
      <c r="Y11" s="3096"/>
      <c r="Z11" s="55" t="str">
        <f t="shared" si="7"/>
        <v>容积率</v>
      </c>
      <c r="AA11" s="772">
        <f t="shared" si="3"/>
        <v>1</v>
      </c>
      <c r="AB11" s="772">
        <f t="shared" si="4"/>
        <v>1</v>
      </c>
      <c r="AC11" s="772">
        <f t="shared" si="5"/>
        <v>1</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2"/>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2"/>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2"/>
      <c r="Q14" s="1794">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15">
      <c r="A15" s="440" t="s">
        <v>2555</v>
      </c>
      <c r="B15" s="69" t="s">
        <v>2649</v>
      </c>
      <c r="C15" s="2602" t="str">
        <f>估价对象房地状况!C4</f>
        <v>一般</v>
      </c>
      <c r="D15" s="441">
        <v>100</v>
      </c>
      <c r="E15" s="442"/>
      <c r="F15" s="443">
        <f>SUMIF(76:76,E16,77:77)-SUMIF(76:76,C16,77:77)+100</f>
        <v>102</v>
      </c>
      <c r="G15" s="444"/>
      <c r="H15" s="441">
        <f>SUMIF(76:76,G16,77:77)-SUMIF(76:76,C16,77:77)+100</f>
        <v>100</v>
      </c>
      <c r="I15" s="442"/>
      <c r="J15" s="441">
        <f>SUMIF(76:76,I16,77:77)-SUMIF(76:76,C16,77:77)+100</f>
        <v>100</v>
      </c>
      <c r="K15" s="614">
        <v>2</v>
      </c>
      <c r="L15" s="1139"/>
      <c r="M15" s="1130"/>
      <c r="N15" s="1130"/>
      <c r="O15" s="1130"/>
      <c r="P15" s="3289" t="s">
        <v>2556</v>
      </c>
      <c r="Q15" s="1809" t="str">
        <f t="shared" si="6"/>
        <v>商业繁华度</v>
      </c>
      <c r="R15" s="773" t="s">
        <v>17</v>
      </c>
      <c r="S15" s="774">
        <f t="shared" si="0"/>
        <v>102</v>
      </c>
      <c r="T15" s="773" t="s">
        <v>17</v>
      </c>
      <c r="U15" s="774">
        <f t="shared" si="1"/>
        <v>100</v>
      </c>
      <c r="V15" s="773" t="s">
        <v>17</v>
      </c>
      <c r="W15" s="774">
        <f t="shared" si="2"/>
        <v>100</v>
      </c>
      <c r="X15" s="1812"/>
      <c r="Y15" s="3282" t="s">
        <v>2556</v>
      </c>
      <c r="Z15" s="1813" t="str">
        <f t="shared" si="7"/>
        <v>商业繁华度</v>
      </c>
      <c r="AA15" s="1810">
        <f t="shared" si="3"/>
        <v>0.98039215686274506</v>
      </c>
      <c r="AB15" s="1810">
        <f t="shared" si="4"/>
        <v>1</v>
      </c>
      <c r="AC15" s="1810">
        <f t="shared" si="5"/>
        <v>1</v>
      </c>
    </row>
    <row r="16" spans="1:29" ht="15">
      <c r="A16" s="428"/>
      <c r="B16" s="446"/>
      <c r="C16" s="447" t="s">
        <v>3108</v>
      </c>
      <c r="D16" s="448"/>
      <c r="E16" s="447" t="s">
        <v>3104</v>
      </c>
      <c r="F16" s="449"/>
      <c r="G16" s="447" t="s">
        <v>3108</v>
      </c>
      <c r="H16" s="450"/>
      <c r="I16" s="447" t="s">
        <v>3108</v>
      </c>
      <c r="J16" s="448"/>
      <c r="K16" s="615"/>
      <c r="L16" s="1139"/>
      <c r="M16" s="1130"/>
      <c r="N16" s="1130"/>
      <c r="O16" s="1130"/>
      <c r="P16" s="3290"/>
      <c r="Q16" s="1809"/>
      <c r="R16" s="773"/>
      <c r="S16" s="774"/>
      <c r="T16" s="773"/>
      <c r="U16" s="774"/>
      <c r="V16" s="773"/>
      <c r="W16" s="774"/>
      <c r="X16" s="1812"/>
      <c r="Y16" s="3283"/>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90"/>
      <c r="Q17" s="1809" t="str">
        <f>B17</f>
        <v>交通便捷度</v>
      </c>
      <c r="R17" s="773" t="s">
        <v>17</v>
      </c>
      <c r="S17" s="774">
        <f>F17</f>
        <v>100</v>
      </c>
      <c r="T17" s="773" t="s">
        <v>17</v>
      </c>
      <c r="U17" s="774">
        <f>H17</f>
        <v>100</v>
      </c>
      <c r="V17" s="773" t="s">
        <v>17</v>
      </c>
      <c r="W17" s="774">
        <f>J17</f>
        <v>100</v>
      </c>
      <c r="X17" s="1812"/>
      <c r="Y17" s="3283"/>
      <c r="Z17" s="1813" t="str">
        <f>Q17</f>
        <v>交通便捷度</v>
      </c>
      <c r="AA17" s="1810">
        <f t="shared" si="3"/>
        <v>1</v>
      </c>
      <c r="AB17" s="1810">
        <f t="shared" si="4"/>
        <v>1</v>
      </c>
      <c r="AC17" s="1810">
        <f t="shared" si="5"/>
        <v>1</v>
      </c>
    </row>
    <row r="18" spans="1:29" ht="15">
      <c r="A18" s="428"/>
      <c r="B18" s="456"/>
      <c r="C18" s="2607" t="s">
        <v>3104</v>
      </c>
      <c r="D18" s="450"/>
      <c r="E18" s="2607" t="s">
        <v>3104</v>
      </c>
      <c r="F18" s="453"/>
      <c r="G18" s="2607" t="s">
        <v>3104</v>
      </c>
      <c r="H18" s="448"/>
      <c r="I18" s="2607" t="s">
        <v>3104</v>
      </c>
      <c r="J18" s="448"/>
      <c r="K18" s="615"/>
      <c r="L18" s="1139"/>
      <c r="M18" s="1130"/>
      <c r="N18" s="1130"/>
      <c r="O18" s="1130"/>
      <c r="P18" s="3290"/>
      <c r="Q18" s="1809"/>
      <c r="R18" s="773"/>
      <c r="S18" s="774"/>
      <c r="T18" s="773"/>
      <c r="U18" s="774"/>
      <c r="V18" s="773"/>
      <c r="W18" s="774"/>
      <c r="X18" s="1812"/>
      <c r="Y18" s="3283"/>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90"/>
      <c r="Q19" s="1809" t="str">
        <f>B19</f>
        <v>公共配套设施</v>
      </c>
      <c r="R19" s="773" t="s">
        <v>17</v>
      </c>
      <c r="S19" s="774">
        <f>F19</f>
        <v>100</v>
      </c>
      <c r="T19" s="773" t="s">
        <v>17</v>
      </c>
      <c r="U19" s="774">
        <f>H19</f>
        <v>100</v>
      </c>
      <c r="V19" s="773" t="s">
        <v>17</v>
      </c>
      <c r="W19" s="774">
        <f>J19</f>
        <v>100</v>
      </c>
      <c r="X19" s="1812"/>
      <c r="Y19" s="3283"/>
      <c r="Z19" s="1813" t="str">
        <f>Q19</f>
        <v>公共配套设施</v>
      </c>
      <c r="AA19" s="1810">
        <f t="shared" si="3"/>
        <v>1</v>
      </c>
      <c r="AB19" s="1810">
        <f t="shared" si="4"/>
        <v>1</v>
      </c>
      <c r="AC19" s="1810">
        <f t="shared" si="5"/>
        <v>1</v>
      </c>
    </row>
    <row r="20" spans="1:29" ht="15">
      <c r="A20" s="428"/>
      <c r="B20" s="456"/>
      <c r="C20" s="447" t="s">
        <v>3104</v>
      </c>
      <c r="D20" s="448"/>
      <c r="E20" s="447" t="s">
        <v>3104</v>
      </c>
      <c r="F20" s="449"/>
      <c r="G20" s="447" t="s">
        <v>3104</v>
      </c>
      <c r="H20" s="448"/>
      <c r="I20" s="447" t="s">
        <v>3104</v>
      </c>
      <c r="J20" s="448"/>
      <c r="K20" s="615"/>
      <c r="L20" s="1139"/>
      <c r="M20" s="1130"/>
      <c r="N20" s="1130"/>
      <c r="O20" s="1130"/>
      <c r="P20" s="3290"/>
      <c r="Q20" s="1809"/>
      <c r="R20" s="773"/>
      <c r="S20" s="774"/>
      <c r="T20" s="773"/>
      <c r="U20" s="774"/>
      <c r="V20" s="773"/>
      <c r="W20" s="774"/>
      <c r="X20" s="1812"/>
      <c r="Y20" s="3283"/>
      <c r="Z20" s="1813"/>
      <c r="AA20" s="1810">
        <v>1</v>
      </c>
      <c r="AB20" s="1810">
        <v>1</v>
      </c>
      <c r="AC20" s="1810">
        <v>1</v>
      </c>
    </row>
    <row r="21" spans="1:29" ht="15">
      <c r="A21" s="428"/>
      <c r="B21" s="1383"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90"/>
      <c r="Q21" s="1809" t="str">
        <f>B21</f>
        <v>基础设施水平</v>
      </c>
      <c r="R21" s="773" t="s">
        <v>17</v>
      </c>
      <c r="S21" s="774">
        <f>F21</f>
        <v>100</v>
      </c>
      <c r="T21" s="773" t="s">
        <v>17</v>
      </c>
      <c r="U21" s="774">
        <f>H21</f>
        <v>100</v>
      </c>
      <c r="V21" s="773" t="s">
        <v>17</v>
      </c>
      <c r="W21" s="774">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3"/>
      <c r="C22" s="2607" t="s">
        <v>3106</v>
      </c>
      <c r="D22" s="448"/>
      <c r="E22" s="2607" t="s">
        <v>3106</v>
      </c>
      <c r="F22" s="449"/>
      <c r="G22" s="2607" t="s">
        <v>3106</v>
      </c>
      <c r="H22" s="448"/>
      <c r="I22" s="2607" t="s">
        <v>3106</v>
      </c>
      <c r="J22" s="448"/>
      <c r="K22" s="1382"/>
      <c r="L22" s="1139"/>
      <c r="M22" s="1130"/>
      <c r="N22" s="1130"/>
      <c r="O22" s="1130"/>
      <c r="P22" s="3290"/>
      <c r="Q22" s="1809"/>
      <c r="R22" s="773"/>
      <c r="S22" s="774"/>
      <c r="T22" s="773"/>
      <c r="U22" s="774"/>
      <c r="V22" s="773"/>
      <c r="W22" s="774"/>
      <c r="X22" s="1812"/>
      <c r="Y22" s="3283"/>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90"/>
      <c r="Q23" s="1809" t="str">
        <f>B23</f>
        <v>自然及人文环境</v>
      </c>
      <c r="R23" s="773" t="s">
        <v>17</v>
      </c>
      <c r="S23" s="774">
        <f>F23</f>
        <v>100</v>
      </c>
      <c r="T23" s="773" t="s">
        <v>17</v>
      </c>
      <c r="U23" s="774">
        <f>H23</f>
        <v>100</v>
      </c>
      <c r="V23" s="773" t="s">
        <v>17</v>
      </c>
      <c r="W23" s="774">
        <f>J23</f>
        <v>100</v>
      </c>
      <c r="X23" s="1812"/>
      <c r="Y23" s="3283"/>
      <c r="Z23" s="1813" t="str">
        <f>Q23</f>
        <v>自然及人文环境</v>
      </c>
      <c r="AA23" s="1810">
        <f t="shared" si="3"/>
        <v>1</v>
      </c>
      <c r="AB23" s="1810">
        <f t="shared" si="4"/>
        <v>1</v>
      </c>
      <c r="AC23" s="1810">
        <f t="shared" si="5"/>
        <v>1</v>
      </c>
    </row>
    <row r="24" spans="1:29" ht="15">
      <c r="A24" s="428"/>
      <c r="B24" s="456"/>
      <c r="C24" s="447" t="s">
        <v>3104</v>
      </c>
      <c r="D24" s="448"/>
      <c r="E24" s="447" t="s">
        <v>3104</v>
      </c>
      <c r="F24" s="449"/>
      <c r="G24" s="447" t="s">
        <v>3104</v>
      </c>
      <c r="H24" s="448"/>
      <c r="I24" s="447" t="s">
        <v>3104</v>
      </c>
      <c r="J24" s="448"/>
      <c r="K24" s="615"/>
      <c r="L24" s="1139"/>
      <c r="M24" s="1130"/>
      <c r="N24" s="1130"/>
      <c r="O24" s="1130"/>
      <c r="P24" s="3290"/>
      <c r="Q24" s="1809"/>
      <c r="R24" s="773"/>
      <c r="S24" s="774"/>
      <c r="T24" s="773"/>
      <c r="U24" s="774"/>
      <c r="V24" s="773"/>
      <c r="W24" s="774"/>
      <c r="X24" s="1812"/>
      <c r="Y24" s="3283"/>
      <c r="Z24" s="1813"/>
      <c r="AA24" s="1810">
        <v>1</v>
      </c>
      <c r="AB24" s="1810">
        <v>1</v>
      </c>
      <c r="AC24" s="1810">
        <v>1</v>
      </c>
    </row>
    <row r="25" spans="1:29" ht="15">
      <c r="A25" s="428"/>
      <c r="B25" s="422" t="s">
        <v>2652</v>
      </c>
      <c r="C25" s="616" t="s">
        <v>3147</v>
      </c>
      <c r="D25" s="435">
        <v>100</v>
      </c>
      <c r="E25" s="616" t="s">
        <v>3147</v>
      </c>
      <c r="F25" s="461">
        <f>SUMIF(86:86,E25,87:87)-SUMIF(86:86,C25,87:87)+100</f>
        <v>100</v>
      </c>
      <c r="G25" s="616" t="s">
        <v>3147</v>
      </c>
      <c r="H25" s="435">
        <f>SUMIF(86:86,G25,87:87)-SUMIF(86:86,C25,87:87)+100</f>
        <v>100</v>
      </c>
      <c r="I25" s="616" t="s">
        <v>3147</v>
      </c>
      <c r="J25" s="435">
        <f>SUMIF(86:86,I25,87:87)-SUMIF(86:86,C25,87:87)+100</f>
        <v>100</v>
      </c>
      <c r="K25" s="612">
        <v>2</v>
      </c>
      <c r="L25" s="1139"/>
      <c r="M25" s="1130"/>
      <c r="N25" s="1130"/>
      <c r="O25" s="1130"/>
      <c r="P25" s="3290"/>
      <c r="Q25" s="1809" t="str">
        <f t="shared" ref="Q25:Q46" si="11">B25</f>
        <v>临街状况</v>
      </c>
      <c r="R25" s="773" t="s">
        <v>17</v>
      </c>
      <c r="S25" s="774">
        <f>F25</f>
        <v>100</v>
      </c>
      <c r="T25" s="773" t="s">
        <v>17</v>
      </c>
      <c r="U25" s="774">
        <f>H25</f>
        <v>100</v>
      </c>
      <c r="V25" s="773" t="s">
        <v>17</v>
      </c>
      <c r="W25" s="774">
        <f>J25</f>
        <v>100</v>
      </c>
      <c r="X25" s="1812"/>
      <c r="Y25" s="3283"/>
      <c r="Z25" s="1813" t="str">
        <f>Q25</f>
        <v>临街状况</v>
      </c>
      <c r="AA25" s="1810">
        <f t="shared" si="3"/>
        <v>1</v>
      </c>
      <c r="AB25" s="1810">
        <f t="shared" si="4"/>
        <v>1</v>
      </c>
      <c r="AC25" s="1810">
        <f t="shared" si="5"/>
        <v>1</v>
      </c>
    </row>
    <row r="26" spans="1:29" ht="15">
      <c r="A26" s="428"/>
      <c r="B26" s="1385"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90"/>
      <c r="Q26" s="1809" t="str">
        <f t="shared" si="11"/>
        <v>平面位置/可视性</v>
      </c>
      <c r="R26" s="773" t="s">
        <v>17</v>
      </c>
      <c r="S26" s="774">
        <f>F26</f>
        <v>100</v>
      </c>
      <c r="T26" s="773" t="s">
        <v>17</v>
      </c>
      <c r="U26" s="774">
        <f>H26</f>
        <v>100</v>
      </c>
      <c r="V26" s="773" t="s">
        <v>17</v>
      </c>
      <c r="W26" s="774">
        <f>J26</f>
        <v>100</v>
      </c>
      <c r="X26" s="1812"/>
      <c r="Y26" s="3283"/>
      <c r="Z26" s="1813" t="str">
        <f>Q26</f>
        <v>平面位置/可视性</v>
      </c>
      <c r="AA26" s="1810">
        <f t="shared" si="3"/>
        <v>1</v>
      </c>
      <c r="AB26" s="1810">
        <f t="shared" si="4"/>
        <v>1</v>
      </c>
      <c r="AC26" s="1810">
        <f t="shared" si="5"/>
        <v>1</v>
      </c>
    </row>
    <row r="27" spans="1:29" s="117" customFormat="1" ht="15" hidden="1">
      <c r="A27" s="431"/>
      <c r="B27" s="451" t="s">
        <v>2654</v>
      </c>
      <c r="C27" s="2664" t="s">
        <v>3108</v>
      </c>
      <c r="D27" s="462">
        <v>100</v>
      </c>
      <c r="E27" s="2664" t="s">
        <v>3108</v>
      </c>
      <c r="F27" s="464">
        <f>SUMIF(90:90,E27,91:91)-SUMIF(90:90,C27,91:91)+100</f>
        <v>100</v>
      </c>
      <c r="G27" s="2664" t="s">
        <v>3108</v>
      </c>
      <c r="H27" s="462">
        <f>SUMIF(90:90,G27,91:91)-SUMIF(90:90,C27,91:91)+100</f>
        <v>100</v>
      </c>
      <c r="I27" s="2664" t="s">
        <v>3108</v>
      </c>
      <c r="J27" s="462">
        <f>SUMIF(90:90,I27,91:91)-SUMIF(90:90,C27,91:91)+100</f>
        <v>100</v>
      </c>
      <c r="K27" s="612">
        <v>2</v>
      </c>
      <c r="L27" s="1131"/>
      <c r="M27" s="1132"/>
      <c r="N27" s="1132"/>
      <c r="O27" s="1132"/>
      <c r="P27" s="3290"/>
      <c r="Q27" s="1794" t="str">
        <f t="shared" si="11"/>
        <v>人流量</v>
      </c>
      <c r="R27" s="769" t="s">
        <v>17</v>
      </c>
      <c r="S27" s="770">
        <f>F27</f>
        <v>100</v>
      </c>
      <c r="T27" s="769" t="s">
        <v>17</v>
      </c>
      <c r="U27" s="770">
        <f>H27</f>
        <v>100</v>
      </c>
      <c r="V27" s="769" t="s">
        <v>17</v>
      </c>
      <c r="W27" s="770">
        <f>J27</f>
        <v>100</v>
      </c>
      <c r="X27" s="771"/>
      <c r="Y27" s="3283"/>
      <c r="Z27" s="55" t="str">
        <f>Q27</f>
        <v>人流量</v>
      </c>
      <c r="AA27" s="1810">
        <f>D27/F27</f>
        <v>1</v>
      </c>
      <c r="AB27" s="1810">
        <f>D27/H27</f>
        <v>1</v>
      </c>
      <c r="AC27" s="1810">
        <f>D27/J27</f>
        <v>1</v>
      </c>
    </row>
    <row r="28" spans="1:29" ht="15">
      <c r="A28" s="428"/>
      <c r="B28" s="422" t="s">
        <v>2655</v>
      </c>
      <c r="C28" s="616" t="s">
        <v>3139</v>
      </c>
      <c r="D28" s="435">
        <v>100</v>
      </c>
      <c r="E28" s="616" t="s">
        <v>3161</v>
      </c>
      <c r="F28" s="461">
        <f>SUMIF(92:92,E28,93:93)-SUMIF(92:92,C28,93:93)+100</f>
        <v>110</v>
      </c>
      <c r="G28" s="616" t="s">
        <v>3161</v>
      </c>
      <c r="H28" s="435">
        <f>SUMIF(92:92,G28,93:93)-SUMIF(92:92,C28,93:93)+100</f>
        <v>110</v>
      </c>
      <c r="I28" s="616" t="s">
        <v>3161</v>
      </c>
      <c r="J28" s="435">
        <f>SUMIF(92:92,I28,93:93)-SUMIF(92:92,C28,93:93)+100</f>
        <v>110</v>
      </c>
      <c r="K28" s="613"/>
      <c r="L28" s="1139"/>
      <c r="M28" s="1130"/>
      <c r="N28" s="1130"/>
      <c r="O28" s="1130"/>
      <c r="P28" s="3290"/>
      <c r="Q28" s="1809" t="str">
        <f t="shared" si="11"/>
        <v>楼层</v>
      </c>
      <c r="R28" s="773" t="s">
        <v>17</v>
      </c>
      <c r="S28" s="774">
        <f t="shared" ref="S28:S46" si="12">F28</f>
        <v>110</v>
      </c>
      <c r="T28" s="773" t="s">
        <v>17</v>
      </c>
      <c r="U28" s="774">
        <f t="shared" ref="U28:U46" si="13">H28</f>
        <v>110</v>
      </c>
      <c r="V28" s="773" t="s">
        <v>17</v>
      </c>
      <c r="W28" s="774">
        <f t="shared" ref="W28:W46" si="14">J28</f>
        <v>110</v>
      </c>
      <c r="X28" s="1812"/>
      <c r="Y28" s="3283"/>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90"/>
      <c r="Q29" s="1809">
        <f t="shared" si="11"/>
        <v>111</v>
      </c>
      <c r="R29" s="773" t="s">
        <v>17</v>
      </c>
      <c r="S29" s="774">
        <f t="shared" si="12"/>
        <v>100</v>
      </c>
      <c r="T29" s="773" t="s">
        <v>17</v>
      </c>
      <c r="U29" s="774">
        <f t="shared" si="13"/>
        <v>100</v>
      </c>
      <c r="V29" s="773" t="s">
        <v>17</v>
      </c>
      <c r="W29" s="774">
        <f t="shared" si="14"/>
        <v>100</v>
      </c>
      <c r="X29" s="1812"/>
      <c r="Y29" s="328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90"/>
      <c r="Q30" s="1809">
        <f t="shared" si="11"/>
        <v>111</v>
      </c>
      <c r="R30" s="773" t="s">
        <v>17</v>
      </c>
      <c r="S30" s="774">
        <f t="shared" si="12"/>
        <v>100</v>
      </c>
      <c r="T30" s="773" t="s">
        <v>17</v>
      </c>
      <c r="U30" s="774">
        <f t="shared" si="13"/>
        <v>100</v>
      </c>
      <c r="V30" s="773" t="s">
        <v>17</v>
      </c>
      <c r="W30" s="774">
        <f t="shared" si="14"/>
        <v>100</v>
      </c>
      <c r="X30" s="1812"/>
      <c r="Y30" s="3283"/>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90"/>
      <c r="Q31" s="1809">
        <f t="shared" si="11"/>
        <v>111</v>
      </c>
      <c r="R31" s="773" t="s">
        <v>17</v>
      </c>
      <c r="S31" s="774">
        <f t="shared" si="12"/>
        <v>100</v>
      </c>
      <c r="T31" s="773" t="s">
        <v>17</v>
      </c>
      <c r="U31" s="774">
        <f t="shared" si="13"/>
        <v>100</v>
      </c>
      <c r="V31" s="773" t="s">
        <v>17</v>
      </c>
      <c r="W31" s="774">
        <f t="shared" si="14"/>
        <v>100</v>
      </c>
      <c r="X31" s="1812"/>
      <c r="Y31" s="3283"/>
      <c r="Z31" s="1813">
        <f t="shared" si="15"/>
        <v>111</v>
      </c>
      <c r="AA31" s="1810">
        <f t="shared" si="3"/>
        <v>1</v>
      </c>
      <c r="AB31" s="1810">
        <f t="shared" si="4"/>
        <v>1</v>
      </c>
      <c r="AC31" s="1810">
        <f t="shared" si="5"/>
        <v>1</v>
      </c>
    </row>
    <row r="32" spans="1:29" ht="15">
      <c r="A32" s="440" t="s">
        <v>2559</v>
      </c>
      <c r="B32" s="71" t="s">
        <v>2656</v>
      </c>
      <c r="C32" s="2616" t="s">
        <v>3163</v>
      </c>
      <c r="D32" s="467">
        <v>100</v>
      </c>
      <c r="E32" s="3006" t="s">
        <v>3205</v>
      </c>
      <c r="F32" s="461">
        <f>SUMIF(100:100,E32,101:101)-SUMIF(100:100,C32,101:101)+100</f>
        <v>95</v>
      </c>
      <c r="G32" s="2616" t="s">
        <v>3154</v>
      </c>
      <c r="H32" s="435">
        <f>SUMIF(100:100,G32,101:101)-SUMIF(100:100,C32,101:101)+100</f>
        <v>95</v>
      </c>
      <c r="I32" s="2616" t="s">
        <v>3156</v>
      </c>
      <c r="J32" s="467">
        <f>SUMIF(100:100,I32,101:101)-SUMIF(100:100,C32,101:101)+100</f>
        <v>90</v>
      </c>
      <c r="K32" s="612">
        <v>5</v>
      </c>
      <c r="L32" s="1139"/>
      <c r="M32" s="1130"/>
      <c r="N32" s="1130"/>
      <c r="O32" s="1130"/>
      <c r="P32" s="3284" t="s">
        <v>2561</v>
      </c>
      <c r="Q32" s="1809" t="str">
        <f t="shared" si="11"/>
        <v>商业类型</v>
      </c>
      <c r="R32" s="773" t="s">
        <v>17</v>
      </c>
      <c r="S32" s="774">
        <f t="shared" si="12"/>
        <v>95</v>
      </c>
      <c r="T32" s="773" t="s">
        <v>17</v>
      </c>
      <c r="U32" s="774">
        <f t="shared" si="13"/>
        <v>95</v>
      </c>
      <c r="V32" s="773" t="s">
        <v>17</v>
      </c>
      <c r="W32" s="774">
        <f t="shared" si="14"/>
        <v>90</v>
      </c>
      <c r="X32" s="1812"/>
      <c r="Y32" s="3287" t="s">
        <v>2561</v>
      </c>
      <c r="Z32" s="1813" t="str">
        <f t="shared" si="15"/>
        <v>商业类型</v>
      </c>
      <c r="AA32" s="1810">
        <f t="shared" si="3"/>
        <v>1.0526315789473684</v>
      </c>
      <c r="AB32" s="1810">
        <f t="shared" si="4"/>
        <v>1.0526315789473684</v>
      </c>
      <c r="AC32" s="1810">
        <f t="shared" si="5"/>
        <v>1.1111111111111112</v>
      </c>
    </row>
    <row r="33" spans="1:29" s="471" customFormat="1" ht="15">
      <c r="A33" s="468"/>
      <c r="B33" s="422" t="s">
        <v>2562</v>
      </c>
      <c r="C33" s="469">
        <f>'数据-基础表'!I13</f>
        <v>1340.42</v>
      </c>
      <c r="D33" s="136">
        <v>100</v>
      </c>
      <c r="E33" s="430">
        <v>199</v>
      </c>
      <c r="F33" s="425">
        <f>LOOKUP(E33,103:103,104:104)-LOOKUP(C33,103:103,104:104)+100</f>
        <v>104</v>
      </c>
      <c r="G33" s="429">
        <v>108.36</v>
      </c>
      <c r="H33" s="136">
        <f>LOOKUP(G33,103:103,104:104)-LOOKUP(C33,103:103,104:104)+100</f>
        <v>104</v>
      </c>
      <c r="I33" s="429">
        <v>95</v>
      </c>
      <c r="J33" s="136">
        <f>LOOKUP(I33,103:103,104:104)-LOOKUP(C33,103:103,104:104)+100</f>
        <v>104</v>
      </c>
      <c r="K33" s="613"/>
      <c r="L33" s="1137"/>
      <c r="M33" s="1140"/>
      <c r="N33" s="1140"/>
      <c r="O33" s="1140"/>
      <c r="P33" s="3285"/>
      <c r="Q33" s="775" t="str">
        <f t="shared" si="11"/>
        <v>项目建筑规模</v>
      </c>
      <c r="R33" s="776" t="s">
        <v>17</v>
      </c>
      <c r="S33" s="777">
        <f t="shared" si="12"/>
        <v>104</v>
      </c>
      <c r="T33" s="776" t="s">
        <v>17</v>
      </c>
      <c r="U33" s="777">
        <f t="shared" si="13"/>
        <v>104</v>
      </c>
      <c r="V33" s="776" t="s">
        <v>17</v>
      </c>
      <c r="W33" s="777">
        <f t="shared" si="14"/>
        <v>104</v>
      </c>
      <c r="X33" s="778"/>
      <c r="Y33" s="3287"/>
      <c r="Z33" s="779" t="str">
        <f t="shared" si="15"/>
        <v>项目建筑规模</v>
      </c>
      <c r="AA33" s="1810">
        <f t="shared" si="3"/>
        <v>0.96153846153846156</v>
      </c>
      <c r="AB33" s="1810">
        <f t="shared" si="4"/>
        <v>0.96153846153846156</v>
      </c>
      <c r="AC33" s="1810">
        <f t="shared" si="5"/>
        <v>0.96153846153846156</v>
      </c>
    </row>
    <row r="34" spans="1:29" ht="15">
      <c r="A34" s="472"/>
      <c r="B34" s="422" t="s">
        <v>2563</v>
      </c>
      <c r="C34" s="2618" t="s">
        <v>3101</v>
      </c>
      <c r="D34" s="435">
        <v>100</v>
      </c>
      <c r="E34" s="2618" t="s">
        <v>3101</v>
      </c>
      <c r="F34" s="461">
        <f>SUMIF(105:105,E34,106:106)-SUMIF(105:105,C34,106:106)+100</f>
        <v>100</v>
      </c>
      <c r="G34" s="2618" t="s">
        <v>3101</v>
      </c>
      <c r="H34" s="435">
        <f>SUMIF(105:105,G34,106:106)-SUMIF(105:105,C34,106:106)+100</f>
        <v>100</v>
      </c>
      <c r="I34" s="2618" t="s">
        <v>3101</v>
      </c>
      <c r="J34" s="435">
        <f>SUMIF(105:105,I34,106:106)-SUMIF(105:105,C34,106:106)+100</f>
        <v>100</v>
      </c>
      <c r="K34" s="612">
        <v>2</v>
      </c>
      <c r="L34" s="1139"/>
      <c r="M34" s="1130"/>
      <c r="N34" s="1130"/>
      <c r="O34" s="1130"/>
      <c r="P34" s="3285"/>
      <c r="Q34" s="1809" t="str">
        <f t="shared" si="11"/>
        <v>建筑结构</v>
      </c>
      <c r="R34" s="773" t="s">
        <v>17</v>
      </c>
      <c r="S34" s="774">
        <f t="shared" si="12"/>
        <v>100</v>
      </c>
      <c r="T34" s="773" t="s">
        <v>17</v>
      </c>
      <c r="U34" s="774">
        <f t="shared" si="13"/>
        <v>100</v>
      </c>
      <c r="V34" s="773" t="s">
        <v>17</v>
      </c>
      <c r="W34" s="774">
        <f t="shared" si="14"/>
        <v>100</v>
      </c>
      <c r="X34" s="1812"/>
      <c r="Y34" s="3287"/>
      <c r="Z34" s="1813" t="str">
        <f t="shared" si="15"/>
        <v>建筑结构</v>
      </c>
      <c r="AA34" s="1810">
        <f t="shared" si="3"/>
        <v>1</v>
      </c>
      <c r="AB34" s="1810">
        <f t="shared" si="4"/>
        <v>1</v>
      </c>
      <c r="AC34" s="1810">
        <f t="shared" si="5"/>
        <v>1</v>
      </c>
    </row>
    <row r="35" spans="1:29" ht="15">
      <c r="A35" s="472"/>
      <c r="B35" s="422" t="s">
        <v>2657</v>
      </c>
      <c r="C35" s="2612" t="s">
        <v>3158</v>
      </c>
      <c r="D35" s="435">
        <v>100</v>
      </c>
      <c r="E35" s="2612" t="s">
        <v>3158</v>
      </c>
      <c r="F35" s="461">
        <f>SUMIF(107:107,E35,108:108)-SUMIF(107:107,C35,108:108)+100</f>
        <v>100</v>
      </c>
      <c r="G35" s="2612" t="s">
        <v>3158</v>
      </c>
      <c r="H35" s="435">
        <f>SUMIF(107:107,G35,108:108)-SUMIF(107:107,C35,108:108)+100</f>
        <v>100</v>
      </c>
      <c r="I35" s="2612" t="s">
        <v>3162</v>
      </c>
      <c r="J35" s="435">
        <f>SUMIF(107:107,I35,108:108)-SUMIF(107:107,C35,108:108)+100</f>
        <v>98</v>
      </c>
      <c r="K35" s="612">
        <v>2</v>
      </c>
      <c r="L35" s="1139"/>
      <c r="M35" s="1130"/>
      <c r="N35" s="1130"/>
      <c r="O35" s="1130"/>
      <c r="P35" s="3285"/>
      <c r="Q35" s="1809" t="str">
        <f t="shared" si="11"/>
        <v>公共部分装修</v>
      </c>
      <c r="R35" s="773" t="s">
        <v>17</v>
      </c>
      <c r="S35" s="774">
        <f t="shared" si="12"/>
        <v>100</v>
      </c>
      <c r="T35" s="773" t="s">
        <v>17</v>
      </c>
      <c r="U35" s="774">
        <f t="shared" si="13"/>
        <v>100</v>
      </c>
      <c r="V35" s="773" t="s">
        <v>17</v>
      </c>
      <c r="W35" s="774">
        <f t="shared" si="14"/>
        <v>98</v>
      </c>
      <c r="X35" s="1812"/>
      <c r="Y35" s="3287"/>
      <c r="Z35" s="1813" t="str">
        <f t="shared" si="15"/>
        <v>公共部分装修</v>
      </c>
      <c r="AA35" s="1810">
        <f t="shared" si="3"/>
        <v>1</v>
      </c>
      <c r="AB35" s="1810">
        <f t="shared" si="4"/>
        <v>1</v>
      </c>
      <c r="AC35" s="1810">
        <f t="shared" si="5"/>
        <v>1.0204081632653061</v>
      </c>
    </row>
    <row r="36" spans="1:29" ht="15">
      <c r="A36" s="472"/>
      <c r="B36" s="422" t="s">
        <v>2658</v>
      </c>
      <c r="C36" s="474">
        <f>'数据-取费表'!Y6</f>
        <v>0.92</v>
      </c>
      <c r="D36" s="435">
        <v>100</v>
      </c>
      <c r="E36" s="474">
        <v>0.8</v>
      </c>
      <c r="F36" s="461">
        <f>LOOKUP(E36,110:110,111:111)-LOOKUP(C36,110:110,111:111)+100</f>
        <v>98</v>
      </c>
      <c r="G36" s="474">
        <v>0.85</v>
      </c>
      <c r="H36" s="461">
        <f>LOOKUP(G36,110:110,111:111)-LOOKUP(C36,110:110,111:111)+100</f>
        <v>98</v>
      </c>
      <c r="I36" s="474">
        <v>0.95</v>
      </c>
      <c r="J36" s="435">
        <f>LOOKUP(I36,110:110,111:111)-LOOKUP(C36,110:110,111:111)+100</f>
        <v>100</v>
      </c>
      <c r="K36" s="612">
        <v>2</v>
      </c>
      <c r="L36" s="1139"/>
      <c r="M36" s="1130">
        <v>2007</v>
      </c>
      <c r="N36" s="1130">
        <f>ROUND(1-(2019-2007)/60,2)</f>
        <v>0.8</v>
      </c>
      <c r="O36" s="1130"/>
      <c r="P36" s="3285"/>
      <c r="Q36" s="1809" t="str">
        <f t="shared" si="11"/>
        <v>成新度</v>
      </c>
      <c r="R36" s="773" t="s">
        <v>17</v>
      </c>
      <c r="S36" s="774">
        <f t="shared" si="12"/>
        <v>98</v>
      </c>
      <c r="T36" s="773" t="s">
        <v>17</v>
      </c>
      <c r="U36" s="774">
        <f t="shared" si="13"/>
        <v>98</v>
      </c>
      <c r="V36" s="773" t="s">
        <v>17</v>
      </c>
      <c r="W36" s="774">
        <f t="shared" si="14"/>
        <v>100</v>
      </c>
      <c r="X36" s="1812"/>
      <c r="Y36" s="3287"/>
      <c r="Z36" s="1813" t="str">
        <f t="shared" si="15"/>
        <v>成新度</v>
      </c>
      <c r="AA36" s="1810">
        <f t="shared" si="3"/>
        <v>1.0204081632653061</v>
      </c>
      <c r="AB36" s="1810">
        <f t="shared" si="4"/>
        <v>1.0204081632653061</v>
      </c>
      <c r="AC36" s="1810">
        <f t="shared" si="5"/>
        <v>1</v>
      </c>
    </row>
    <row r="37" spans="1:29" s="117" customFormat="1" ht="15">
      <c r="A37" s="473"/>
      <c r="B37" s="422" t="s">
        <v>2659</v>
      </c>
      <c r="C37" s="2612" t="s">
        <v>3106</v>
      </c>
      <c r="D37" s="136">
        <v>100</v>
      </c>
      <c r="E37" s="2612" t="s">
        <v>3106</v>
      </c>
      <c r="F37" s="461">
        <f>SUMIF(112:112,E37,113:113)-SUMIF(112:112,C37,113:113)+100</f>
        <v>100</v>
      </c>
      <c r="G37" s="2612" t="s">
        <v>3106</v>
      </c>
      <c r="H37" s="435">
        <f>SUMIF(112:112,G37,113:113)-SUMIF(112:112,C37,113:113)+100</f>
        <v>100</v>
      </c>
      <c r="I37" s="2612" t="s">
        <v>3106</v>
      </c>
      <c r="J37" s="435">
        <f>SUMIF(112:112,I37,113:113)-SUMIF(112:112,C37,113:113)+100</f>
        <v>100</v>
      </c>
      <c r="K37" s="612">
        <v>2</v>
      </c>
      <c r="L37" s="1131"/>
      <c r="M37" s="1132"/>
      <c r="N37" s="1132"/>
      <c r="O37" s="1132"/>
      <c r="P37" s="3285"/>
      <c r="Q37" s="1794" t="str">
        <f t="shared" si="11"/>
        <v>市政基础设施</v>
      </c>
      <c r="R37" s="769" t="s">
        <v>17</v>
      </c>
      <c r="S37" s="770">
        <f t="shared" si="12"/>
        <v>100</v>
      </c>
      <c r="T37" s="769" t="s">
        <v>17</v>
      </c>
      <c r="U37" s="770">
        <f t="shared" si="13"/>
        <v>100</v>
      </c>
      <c r="V37" s="769" t="s">
        <v>17</v>
      </c>
      <c r="W37" s="770">
        <f t="shared" si="14"/>
        <v>100</v>
      </c>
      <c r="X37" s="771"/>
      <c r="Y37" s="3287"/>
      <c r="Z37" s="55" t="str">
        <f t="shared" si="15"/>
        <v>市政基础设施</v>
      </c>
      <c r="AA37" s="772">
        <f t="shared" si="3"/>
        <v>1</v>
      </c>
      <c r="AB37" s="772">
        <f t="shared" si="4"/>
        <v>1</v>
      </c>
      <c r="AC37" s="772">
        <f t="shared" si="5"/>
        <v>1</v>
      </c>
    </row>
    <row r="38" spans="1:29" ht="15">
      <c r="A38" s="472"/>
      <c r="B38" s="422" t="s">
        <v>2660</v>
      </c>
      <c r="C38" s="2612" t="s">
        <v>3167</v>
      </c>
      <c r="D38" s="435">
        <v>100</v>
      </c>
      <c r="E38" s="2612" t="s">
        <v>3160</v>
      </c>
      <c r="F38" s="461">
        <f>SUMIF(114:114,E38,115:115)-SUMIF(114:114,C38,115:115)+100</f>
        <v>102</v>
      </c>
      <c r="G38" s="2612" t="s">
        <v>3160</v>
      </c>
      <c r="H38" s="435">
        <f>SUMIF(114:114,G38,115:115)-SUMIF(114:114,C38,115:115)+100</f>
        <v>102</v>
      </c>
      <c r="I38" s="2612" t="s">
        <v>3160</v>
      </c>
      <c r="J38" s="435">
        <f>SUMIF(114:114,I38,115:115)-SUMIF(114:114,C38,115:115)+100</f>
        <v>102</v>
      </c>
      <c r="K38" s="612">
        <v>2</v>
      </c>
      <c r="L38" s="1139"/>
      <c r="M38" s="1130"/>
      <c r="N38" s="1130"/>
      <c r="O38" s="1130"/>
      <c r="P38" s="3285" t="s">
        <v>2561</v>
      </c>
      <c r="Q38" s="1809" t="str">
        <f t="shared" si="11"/>
        <v>业态</v>
      </c>
      <c r="R38" s="773" t="s">
        <v>17</v>
      </c>
      <c r="S38" s="774">
        <f t="shared" si="12"/>
        <v>102</v>
      </c>
      <c r="T38" s="773" t="s">
        <v>17</v>
      </c>
      <c r="U38" s="774">
        <f t="shared" si="13"/>
        <v>102</v>
      </c>
      <c r="V38" s="773" t="s">
        <v>17</v>
      </c>
      <c r="W38" s="774">
        <f t="shared" si="14"/>
        <v>102</v>
      </c>
      <c r="X38" s="1812"/>
      <c r="Y38" s="3287" t="s">
        <v>2561</v>
      </c>
      <c r="Z38" s="1813" t="str">
        <f t="shared" si="15"/>
        <v>业态</v>
      </c>
      <c r="AA38" s="1810">
        <f t="shared" si="3"/>
        <v>0.98039215686274506</v>
      </c>
      <c r="AB38" s="1810">
        <f t="shared" si="4"/>
        <v>0.98039215686274506</v>
      </c>
      <c r="AC38" s="1810">
        <f t="shared" si="5"/>
        <v>0.98039215686274506</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v>2</v>
      </c>
      <c r="L39" s="1139"/>
      <c r="M39" s="1130"/>
      <c r="N39" s="1130"/>
      <c r="O39" s="1130"/>
      <c r="P39" s="3285"/>
      <c r="Q39" s="1809" t="str">
        <f t="shared" si="11"/>
        <v>层高</v>
      </c>
      <c r="R39" s="773" t="s">
        <v>17</v>
      </c>
      <c r="S39" s="774">
        <f t="shared" si="12"/>
        <v>100</v>
      </c>
      <c r="T39" s="773" t="s">
        <v>17</v>
      </c>
      <c r="U39" s="774">
        <f t="shared" si="13"/>
        <v>100</v>
      </c>
      <c r="V39" s="773" t="s">
        <v>17</v>
      </c>
      <c r="W39" s="774">
        <f t="shared" si="14"/>
        <v>100</v>
      </c>
      <c r="X39" s="1812"/>
      <c r="Y39" s="3287"/>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85"/>
      <c r="Q40" s="1809" t="str">
        <f t="shared" si="11"/>
        <v>单套建筑面积</v>
      </c>
      <c r="R40" s="773" t="s">
        <v>17</v>
      </c>
      <c r="S40" s="774">
        <f t="shared" si="12"/>
        <v>100</v>
      </c>
      <c r="T40" s="773" t="s">
        <v>17</v>
      </c>
      <c r="U40" s="774">
        <f t="shared" si="13"/>
        <v>100</v>
      </c>
      <c r="V40" s="773" t="s">
        <v>17</v>
      </c>
      <c r="W40" s="774">
        <f t="shared" si="14"/>
        <v>100</v>
      </c>
      <c r="X40" s="1812"/>
      <c r="Y40" s="3287"/>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7"/>
      <c r="M41" s="1140"/>
      <c r="N41" s="1140"/>
      <c r="O41" s="1140"/>
      <c r="P41" s="3285"/>
      <c r="Q41" s="775" t="str">
        <f t="shared" si="11"/>
        <v>进深比</v>
      </c>
      <c r="R41" s="776" t="s">
        <v>17</v>
      </c>
      <c r="S41" s="777">
        <f t="shared" si="12"/>
        <v>100</v>
      </c>
      <c r="T41" s="776" t="s">
        <v>17</v>
      </c>
      <c r="U41" s="777">
        <f t="shared" si="13"/>
        <v>100</v>
      </c>
      <c r="V41" s="776" t="s">
        <v>17</v>
      </c>
      <c r="W41" s="777">
        <f t="shared" si="14"/>
        <v>100</v>
      </c>
      <c r="X41" s="778"/>
      <c r="Y41" s="3287"/>
      <c r="Z41" s="779" t="str">
        <f t="shared" si="15"/>
        <v>进深比</v>
      </c>
      <c r="AA41" s="1810">
        <f t="shared" si="3"/>
        <v>1</v>
      </c>
      <c r="AB41" s="1810">
        <f t="shared" si="4"/>
        <v>1</v>
      </c>
      <c r="AC41" s="1810">
        <f t="shared" si="5"/>
        <v>1</v>
      </c>
    </row>
    <row r="42" spans="1:29" ht="15">
      <c r="A42" s="472"/>
      <c r="B42" s="422" t="s">
        <v>2664</v>
      </c>
      <c r="C42" s="2612" t="s">
        <v>3158</v>
      </c>
      <c r="D42" s="435">
        <v>100</v>
      </c>
      <c r="E42" s="2612" t="s">
        <v>3162</v>
      </c>
      <c r="F42" s="461">
        <f>SUMIF(122:122,E42,123:123)-SUMIF(122:122,C42,123:123)+100</f>
        <v>95</v>
      </c>
      <c r="G42" s="2612" t="s">
        <v>3162</v>
      </c>
      <c r="H42" s="435">
        <f>SUMIF(122:122,G42,123:123)-SUMIF(122:122,C42,123:123)+100</f>
        <v>95</v>
      </c>
      <c r="I42" s="2612" t="s">
        <v>3162</v>
      </c>
      <c r="J42" s="435">
        <f>SUMIF(122:122,I42,123:123)-SUMIF(122:122,C42,123:123)+100</f>
        <v>95</v>
      </c>
      <c r="K42" s="612">
        <v>5</v>
      </c>
      <c r="L42" s="1139"/>
      <c r="M42" s="1130"/>
      <c r="N42" s="1130"/>
      <c r="O42" s="1130"/>
      <c r="P42" s="3285"/>
      <c r="Q42" s="1809" t="str">
        <f t="shared" si="11"/>
        <v>内部装修</v>
      </c>
      <c r="R42" s="773" t="s">
        <v>17</v>
      </c>
      <c r="S42" s="774">
        <f t="shared" si="12"/>
        <v>95</v>
      </c>
      <c r="T42" s="773" t="s">
        <v>17</v>
      </c>
      <c r="U42" s="774">
        <f t="shared" si="13"/>
        <v>95</v>
      </c>
      <c r="V42" s="773" t="s">
        <v>17</v>
      </c>
      <c r="W42" s="774">
        <f t="shared" si="14"/>
        <v>95</v>
      </c>
      <c r="X42" s="1812"/>
      <c r="Y42" s="3287"/>
      <c r="Z42" s="1813" t="str">
        <f t="shared" si="15"/>
        <v>内部装修</v>
      </c>
      <c r="AA42" s="1810">
        <f t="shared" si="3"/>
        <v>1.0526315789473684</v>
      </c>
      <c r="AB42" s="1810">
        <f t="shared" si="4"/>
        <v>1.0526315789473684</v>
      </c>
      <c r="AC42" s="1810">
        <f t="shared" si="5"/>
        <v>1.0526315789473684</v>
      </c>
    </row>
    <row r="43" spans="1:29" ht="28.8">
      <c r="A43" s="472"/>
      <c r="B43" s="422" t="s">
        <v>2572</v>
      </c>
      <c r="C43" s="2612" t="s">
        <v>3104</v>
      </c>
      <c r="D43" s="435">
        <v>100</v>
      </c>
      <c r="E43" s="2612" t="s">
        <v>3104</v>
      </c>
      <c r="F43" s="461">
        <f>SUMIF(124:124,E43,125:125)-SUMIF(124:124,C43,125:125)+100</f>
        <v>100</v>
      </c>
      <c r="G43" s="2612" t="s">
        <v>3104</v>
      </c>
      <c r="H43" s="435">
        <f>SUMIF(124:124,G43,125:125)-SUMIF(124:124,C43,125:125)+100</f>
        <v>100</v>
      </c>
      <c r="I43" s="2612" t="s">
        <v>3104</v>
      </c>
      <c r="J43" s="435">
        <f>SUMIF(124:124,I43,125:125)-SUMIF(124:124,C43,125:125)+100</f>
        <v>100</v>
      </c>
      <c r="K43" s="612">
        <v>2</v>
      </c>
      <c r="L43" s="1139"/>
      <c r="M43" s="1130"/>
      <c r="N43" s="1130"/>
      <c r="O43" s="1130"/>
      <c r="P43" s="3285"/>
      <c r="Q43" s="1809" t="str">
        <f t="shared" si="11"/>
        <v>内部装修维护情况</v>
      </c>
      <c r="R43" s="773" t="s">
        <v>17</v>
      </c>
      <c r="S43" s="774">
        <f t="shared" si="12"/>
        <v>100</v>
      </c>
      <c r="T43" s="773" t="s">
        <v>17</v>
      </c>
      <c r="U43" s="774">
        <f t="shared" si="13"/>
        <v>100</v>
      </c>
      <c r="V43" s="773" t="s">
        <v>17</v>
      </c>
      <c r="W43" s="774">
        <f t="shared" si="14"/>
        <v>100</v>
      </c>
      <c r="X43" s="1812"/>
      <c r="Y43" s="328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5"/>
      <c r="Q44" s="1794">
        <f t="shared" si="11"/>
        <v>111</v>
      </c>
      <c r="R44" s="769" t="s">
        <v>17</v>
      </c>
      <c r="S44" s="770">
        <f t="shared" si="12"/>
        <v>100</v>
      </c>
      <c r="T44" s="769" t="s">
        <v>17</v>
      </c>
      <c r="U44" s="770">
        <f t="shared" si="13"/>
        <v>100</v>
      </c>
      <c r="V44" s="769" t="s">
        <v>17</v>
      </c>
      <c r="W44" s="770">
        <f t="shared" si="14"/>
        <v>100</v>
      </c>
      <c r="X44" s="771"/>
      <c r="Y44" s="3287"/>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5"/>
      <c r="Q45" s="1809">
        <f t="shared" si="11"/>
        <v>111</v>
      </c>
      <c r="R45" s="773" t="s">
        <v>17</v>
      </c>
      <c r="S45" s="774">
        <f t="shared" si="12"/>
        <v>100</v>
      </c>
      <c r="T45" s="773" t="s">
        <v>17</v>
      </c>
      <c r="U45" s="774">
        <f t="shared" si="13"/>
        <v>100</v>
      </c>
      <c r="V45" s="773" t="s">
        <v>17</v>
      </c>
      <c r="W45" s="774">
        <f t="shared" si="14"/>
        <v>100</v>
      </c>
      <c r="X45" s="1812"/>
      <c r="Y45" s="3287"/>
      <c r="Z45" s="1813">
        <f t="shared" si="15"/>
        <v>111</v>
      </c>
      <c r="AA45" s="1810">
        <f t="shared" si="3"/>
        <v>1</v>
      </c>
      <c r="AB45" s="1810">
        <f t="shared" si="4"/>
        <v>1</v>
      </c>
      <c r="AC45" s="1810">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6"/>
      <c r="Q46" s="1809">
        <f t="shared" si="11"/>
        <v>111</v>
      </c>
      <c r="R46" s="773" t="s">
        <v>17</v>
      </c>
      <c r="S46" s="774">
        <f t="shared" si="12"/>
        <v>100</v>
      </c>
      <c r="T46" s="773" t="s">
        <v>17</v>
      </c>
      <c r="U46" s="774">
        <f t="shared" si="13"/>
        <v>100</v>
      </c>
      <c r="V46" s="773" t="s">
        <v>17</v>
      </c>
      <c r="W46" s="774">
        <f t="shared" si="14"/>
        <v>100</v>
      </c>
      <c r="X46" s="1812"/>
      <c r="Y46" s="3288"/>
      <c r="Z46" s="1813">
        <f t="shared" si="15"/>
        <v>111</v>
      </c>
      <c r="AA46" s="1810">
        <f t="shared" si="3"/>
        <v>1</v>
      </c>
      <c r="AB46" s="1810">
        <f t="shared" si="4"/>
        <v>1</v>
      </c>
      <c r="AC46" s="1810">
        <f t="shared" si="5"/>
        <v>1</v>
      </c>
    </row>
    <row r="47" spans="1:29" ht="14.4">
      <c r="A47" s="479" t="s">
        <v>2573</v>
      </c>
      <c r="B47" s="480"/>
      <c r="C47" s="1406" t="s">
        <v>1</v>
      </c>
      <c r="D47" s="1407"/>
      <c r="E47" s="1408">
        <v>41860</v>
      </c>
      <c r="F47" s="1409"/>
      <c r="G47" s="1410">
        <v>40180</v>
      </c>
      <c r="H47" s="1411"/>
      <c r="I47" s="1408">
        <v>39579</v>
      </c>
      <c r="J47" s="1411"/>
      <c r="K47" s="782"/>
      <c r="L47" s="1142"/>
      <c r="M47" s="1143"/>
      <c r="N47" s="1130"/>
      <c r="O47" s="1143"/>
      <c r="P47" s="3280" t="str">
        <f>A47</f>
        <v>成交单价（元/平方米）</v>
      </c>
      <c r="Q47" s="3280"/>
      <c r="R47" s="3275">
        <f>E47</f>
        <v>41860</v>
      </c>
      <c r="S47" s="3275"/>
      <c r="T47" s="3275">
        <f>G47</f>
        <v>40180</v>
      </c>
      <c r="U47" s="3275"/>
      <c r="V47" s="3275">
        <f>I47</f>
        <v>39579</v>
      </c>
      <c r="W47" s="3275"/>
      <c r="X47" s="758"/>
      <c r="Y47" s="780"/>
      <c r="Z47" s="758"/>
      <c r="AA47" s="758"/>
      <c r="AB47" s="758"/>
      <c r="AC47" s="758"/>
    </row>
    <row r="48" spans="1:29" ht="15" thickBot="1">
      <c r="A48" s="486" t="s">
        <v>2665</v>
      </c>
      <c r="B48" s="487"/>
      <c r="C48" s="1412">
        <f>R49</f>
        <v>40537</v>
      </c>
      <c r="D48" s="1413"/>
      <c r="E48" s="1414">
        <f>R48</f>
        <v>40995</v>
      </c>
      <c r="F48" s="1414"/>
      <c r="G48" s="1412">
        <f>T48</f>
        <v>40136</v>
      </c>
      <c r="H48" s="1413"/>
      <c r="I48" s="1414">
        <f>V48</f>
        <v>40481</v>
      </c>
      <c r="J48" s="1413"/>
      <c r="K48" s="783"/>
      <c r="L48" s="1142"/>
      <c r="M48" s="1143"/>
      <c r="N48" s="1130"/>
      <c r="O48" s="1143"/>
      <c r="P48" s="3280" t="str">
        <f>A48</f>
        <v>比较价值（元/平方米）</v>
      </c>
      <c r="Q48" s="3280"/>
      <c r="R48" s="3281">
        <f>IF(F1="售价",ROUND(PRODUCT(R47,AA7:AA46),0),ROUND(PRODUCT(R47,AA7:AA46),1))</f>
        <v>40995</v>
      </c>
      <c r="S48" s="3281"/>
      <c r="T48" s="3281">
        <f>IF(F1="售价",ROUND(PRODUCT(T47,AB7:AB46),0),ROUND(PRODUCT(T47,AB7:AB46),1))</f>
        <v>40136</v>
      </c>
      <c r="U48" s="3281"/>
      <c r="V48" s="3281">
        <f>IF(F1="售价",ROUND(PRODUCT(V47,AC7:AC46),0),ROUND(PRODUCT(V47,AC7:AC46),1))</f>
        <v>40481</v>
      </c>
      <c r="W48" s="3281"/>
      <c r="X48" s="758"/>
      <c r="Y48" s="758"/>
      <c r="Z48" s="758"/>
      <c r="AA48" s="758"/>
      <c r="AB48" s="758"/>
      <c r="AC48" s="758"/>
    </row>
    <row r="49" spans="1:29" ht="15" thickBot="1">
      <c r="A49" s="492" t="s">
        <v>2666</v>
      </c>
      <c r="B49" s="493"/>
      <c r="C49" s="1416">
        <f>R49</f>
        <v>40537</v>
      </c>
      <c r="D49" s="1416"/>
      <c r="E49" s="1416"/>
      <c r="F49" s="1416"/>
      <c r="G49" s="1416"/>
      <c r="H49" s="1416"/>
      <c r="I49" s="1416"/>
      <c r="J49" s="1416"/>
      <c r="K49" s="784"/>
      <c r="L49" s="1142"/>
      <c r="M49" s="1143"/>
      <c r="N49" s="1130"/>
      <c r="O49" s="1143"/>
      <c r="P49" s="3277" t="str">
        <f>A49</f>
        <v>估价对象XX用房的比较价值（楼面单价，元/平方米）</v>
      </c>
      <c r="Q49" s="3278"/>
      <c r="R49" s="3279">
        <f>IF(F1="售价",ROUND(AVERAGE(R48:V48),0),ROUND(AVERAGE(R48:V48),1))</f>
        <v>40537</v>
      </c>
      <c r="S49" s="3279"/>
      <c r="T49" s="3279"/>
      <c r="U49" s="3279"/>
      <c r="V49" s="3279"/>
      <c r="W49" s="32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2667</v>
      </c>
      <c r="D52" s="498"/>
      <c r="E52" s="499">
        <f>IF(E47&lt;E48,E48/E47-1,E47/E48-1)</f>
        <v>2.1100134162702844E-2</v>
      </c>
      <c r="F52" s="500" t="str">
        <f>IF(OR(E52&gt;=0.3,E52&lt;=-0.3),"超过30%","")</f>
        <v/>
      </c>
      <c r="G52" s="499">
        <f>IF(G47&lt;G48,G48/G47-1,G47/G48-1)</f>
        <v>1.0962726729120131E-3</v>
      </c>
      <c r="H52" s="500" t="str">
        <f>IF(OR(G52&gt;=0.3,G52&lt;=-0.3),"超过30%","")</f>
        <v/>
      </c>
      <c r="I52" s="499">
        <f>IF(I47&lt;I48,I48/I47-1,I47/I48-1)</f>
        <v>2.278986331135191E-2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2668</v>
      </c>
      <c r="D53" s="501"/>
      <c r="E53" s="499">
        <f>IF(E48&lt;G48,G48/E48-1,E48/G48-1)</f>
        <v>2.1402232409806654E-2</v>
      </c>
      <c r="F53" s="500" t="str">
        <f>IF(OR(E53&gt;=0.2,E53&lt;=-0.2),"超过20%","")</f>
        <v/>
      </c>
      <c r="G53" s="499">
        <f>IF(G48&lt;I48,I48/G48-1,G48/I48-1)</f>
        <v>8.5957743671516429E-3</v>
      </c>
      <c r="H53" s="500" t="str">
        <f>IF(OR(G53&gt;=0.2,G53&lt;=-0.2),"超过20%","")</f>
        <v/>
      </c>
      <c r="I53" s="499">
        <f>IF(I48&lt;E48,E48/I48-1,I48/E48-1)</f>
        <v>1.2697314789654301E-2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2669</v>
      </c>
      <c r="D54" s="501"/>
      <c r="E54" s="499">
        <f>IF(E47&lt;G47,G47/E47-1,E47/G47-1)</f>
        <v>4.1811846689895571E-2</v>
      </c>
      <c r="F54" s="500" t="str">
        <f>IF(OR(E54&gt;=0.3,E54&lt;=-0.3),"超过30%","")</f>
        <v/>
      </c>
      <c r="G54" s="499">
        <f>IF(G47&lt;I47,I47/G47-1,G47/I47-1)</f>
        <v>1.5184820232951868E-2</v>
      </c>
      <c r="H54" s="500" t="str">
        <f>IF(OR(G54&gt;=0.3,G54&lt;=-0.3),"超过30%","")</f>
        <v/>
      </c>
      <c r="I54" s="499">
        <f>IF(I47&lt;E47,E47/I47-1,I47/E47-1)</f>
        <v>5.7631572298441069E-2</v>
      </c>
      <c r="J54" s="500" t="str">
        <f>IF(OR(I54&gt;=0.3,I54&lt;=-0.3),"超过30%","")</f>
        <v/>
      </c>
      <c r="K54" s="1147"/>
      <c r="L54" s="1148"/>
      <c r="M54" s="1144"/>
      <c r="N54" s="1144"/>
      <c r="O54" s="1144"/>
      <c r="P54" s="2665"/>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2670</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8" customFormat="1" ht="14.4">
      <c r="A58" s="505" t="s">
        <v>2544</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2581</v>
      </c>
      <c r="B60" s="516"/>
      <c r="C60" s="517"/>
      <c r="D60" s="518"/>
      <c r="E60" s="518"/>
      <c r="F60" s="518"/>
      <c r="G60" s="518"/>
      <c r="H60" s="518"/>
      <c r="I60" s="518"/>
      <c r="J60" s="518"/>
      <c r="K60" s="518"/>
      <c r="L60" s="518"/>
      <c r="M60" s="519"/>
      <c r="N60" s="518"/>
      <c r="O60" s="519"/>
      <c r="P60" s="2627"/>
      <c r="Q60" s="504"/>
    </row>
    <row r="61" spans="1:29" s="117" customFormat="1" ht="14.4">
      <c r="A61" s="521" t="s">
        <v>2546</v>
      </c>
      <c r="B61" s="510"/>
      <c r="C61" s="522" t="s">
        <v>2648</v>
      </c>
      <c r="D61" s="523"/>
      <c r="E61" s="523"/>
      <c r="F61" s="523"/>
      <c r="G61" s="523"/>
      <c r="H61" s="523"/>
      <c r="I61" s="523"/>
      <c r="J61" s="523"/>
      <c r="K61" s="523"/>
      <c r="L61" s="524"/>
      <c r="M61" s="525"/>
      <c r="N61" s="1150"/>
      <c r="O61" s="1150"/>
      <c r="P61" s="2628"/>
      <c r="Q61" s="504"/>
    </row>
    <row r="62" spans="1:29" s="117" customFormat="1" ht="14.4" thickBot="1">
      <c r="A62" s="521"/>
      <c r="B62" s="510"/>
      <c r="C62" s="511">
        <v>100</v>
      </c>
      <c r="D62" s="512"/>
      <c r="E62" s="512"/>
      <c r="F62" s="512"/>
      <c r="G62" s="512"/>
      <c r="H62" s="512"/>
      <c r="I62" s="512"/>
      <c r="J62" s="512"/>
      <c r="K62" s="512"/>
      <c r="L62" s="512"/>
      <c r="M62" s="514"/>
      <c r="N62" s="1150"/>
      <c r="O62" s="1150"/>
      <c r="P62" s="2627"/>
      <c r="Q62" s="504"/>
    </row>
    <row r="63" spans="1:29" ht="14.4">
      <c r="A63" s="527" t="s">
        <v>2584</v>
      </c>
      <c r="B63" s="528" t="s">
        <v>2550</v>
      </c>
      <c r="C63" s="529" t="str">
        <f>C9</f>
        <v>商业</v>
      </c>
      <c r="D63" s="530"/>
      <c r="E63" s="530"/>
      <c r="F63" s="530"/>
      <c r="G63" s="530"/>
      <c r="H63" s="530"/>
      <c r="I63" s="530"/>
      <c r="J63" s="530"/>
      <c r="K63" s="531"/>
      <c r="L63" s="532"/>
      <c r="M63" s="533"/>
      <c r="N63" s="1151"/>
      <c r="O63" s="1151"/>
      <c r="P63" s="2629"/>
      <c r="Q63" s="504"/>
    </row>
    <row r="64" spans="1:29" ht="14.4" thickBot="1">
      <c r="A64" s="534"/>
      <c r="B64" s="535"/>
      <c r="C64" s="536">
        <v>100</v>
      </c>
      <c r="D64" s="536"/>
      <c r="E64" s="536"/>
      <c r="F64" s="536"/>
      <c r="G64" s="536"/>
      <c r="H64" s="536"/>
      <c r="I64" s="536"/>
      <c r="J64" s="536"/>
      <c r="K64" s="536"/>
      <c r="L64" s="536"/>
      <c r="M64" s="537"/>
      <c r="N64" s="1152"/>
      <c r="O64" s="1152"/>
      <c r="P64" s="2629"/>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9"/>
      <c r="Q65" s="504"/>
    </row>
    <row r="66" spans="1:17" ht="14.4"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9"/>
      <c r="Q66" s="504"/>
    </row>
    <row r="67" spans="1:17" ht="1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v>
      </c>
      <c r="K67" s="547" t="str">
        <f t="shared" si="17"/>
        <v>（含）-</v>
      </c>
      <c r="L67" s="547" t="str">
        <f t="shared" si="17"/>
        <v>（含）-</v>
      </c>
      <c r="M67" s="448" t="str">
        <f>M68&amp;"（含）"&amp;"-"&amp;P68</f>
        <v>（含）-</v>
      </c>
      <c r="N67" s="1152"/>
      <c r="O67" s="1152"/>
      <c r="P67" s="2629"/>
      <c r="Q67" s="504"/>
    </row>
    <row r="68" spans="1:17">
      <c r="A68" s="534"/>
      <c r="B68" s="548"/>
      <c r="C68" s="549">
        <v>0</v>
      </c>
      <c r="D68" s="549">
        <v>1</v>
      </c>
      <c r="E68" s="549">
        <v>2</v>
      </c>
      <c r="F68" s="549">
        <v>3</v>
      </c>
      <c r="G68" s="549">
        <v>4</v>
      </c>
      <c r="H68" s="549">
        <v>5</v>
      </c>
      <c r="I68" s="549">
        <v>6</v>
      </c>
      <c r="J68" s="549">
        <v>7</v>
      </c>
      <c r="K68" s="550"/>
      <c r="L68" s="551"/>
      <c r="M68" s="552"/>
      <c r="N68" s="1151"/>
      <c r="O68" s="1151"/>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4.4" thickTop="1">
      <c r="A70" s="553"/>
      <c r="B70" s="538">
        <f>B12</f>
        <v>111</v>
      </c>
      <c r="C70" s="554"/>
      <c r="D70" s="554"/>
      <c r="E70" s="554"/>
      <c r="F70" s="554"/>
      <c r="G70" s="554"/>
      <c r="H70" s="555"/>
      <c r="I70" s="555"/>
      <c r="J70" s="555"/>
      <c r="K70" s="555"/>
      <c r="L70" s="556"/>
      <c r="M70" s="557"/>
      <c r="N70" s="1153"/>
      <c r="O70" s="1153"/>
      <c r="P70" s="2630"/>
      <c r="Q70" s="559"/>
    </row>
    <row r="71" spans="1:17" s="471" customFormat="1" ht="14.4" thickBot="1">
      <c r="A71" s="553"/>
      <c r="B71" s="543"/>
      <c r="C71" s="560"/>
      <c r="D71" s="536"/>
      <c r="E71" s="536"/>
      <c r="F71" s="536"/>
      <c r="G71" s="536"/>
      <c r="H71" s="536"/>
      <c r="I71" s="536"/>
      <c r="J71" s="536"/>
      <c r="K71" s="536"/>
      <c r="L71" s="536"/>
      <c r="M71" s="537"/>
      <c r="N71" s="1152"/>
      <c r="O71" s="1152"/>
      <c r="P71" s="2630"/>
      <c r="Q71" s="559"/>
    </row>
    <row r="72" spans="1:17" s="471" customFormat="1" ht="14.4" thickTop="1">
      <c r="A72" s="553"/>
      <c r="B72" s="538">
        <f>B13</f>
        <v>111</v>
      </c>
      <c r="C72" s="554"/>
      <c r="D72" s="554"/>
      <c r="E72" s="554"/>
      <c r="F72" s="554"/>
      <c r="G72" s="554"/>
      <c r="H72" s="555"/>
      <c r="I72" s="555"/>
      <c r="J72" s="555"/>
      <c r="K72" s="555"/>
      <c r="L72" s="556"/>
      <c r="M72" s="557"/>
      <c r="N72" s="1153"/>
      <c r="O72" s="1153"/>
      <c r="P72" s="2631"/>
      <c r="Q72" s="561"/>
    </row>
    <row r="73" spans="1:17" s="471" customFormat="1" ht="14.4" thickBot="1">
      <c r="A73" s="553"/>
      <c r="B73" s="543"/>
      <c r="C73" s="560"/>
      <c r="D73" s="536"/>
      <c r="E73" s="536"/>
      <c r="F73" s="536"/>
      <c r="G73" s="560"/>
      <c r="H73" s="562"/>
      <c r="I73" s="562"/>
      <c r="J73" s="562"/>
      <c r="K73" s="562"/>
      <c r="L73" s="562"/>
      <c r="M73" s="563"/>
      <c r="N73" s="1153"/>
      <c r="O73" s="1153"/>
      <c r="P73" s="2630"/>
      <c r="Q73" s="559"/>
    </row>
    <row r="74" spans="1:17" s="471" customFormat="1" ht="14.4" thickTop="1">
      <c r="A74" s="553"/>
      <c r="B74" s="546">
        <f>B14</f>
        <v>111</v>
      </c>
      <c r="C74" s="554"/>
      <c r="D74" s="554"/>
      <c r="E74" s="554"/>
      <c r="F74" s="554"/>
      <c r="G74" s="523"/>
      <c r="H74" s="564"/>
      <c r="I74" s="564"/>
      <c r="J74" s="564"/>
      <c r="K74" s="564"/>
      <c r="L74" s="565"/>
      <c r="M74" s="566"/>
      <c r="N74" s="1153"/>
      <c r="O74" s="1153"/>
      <c r="P74" s="2632"/>
      <c r="Q74" s="559"/>
    </row>
    <row r="75" spans="1:17" s="471" customFormat="1" ht="14.4" thickBot="1">
      <c r="A75" s="568"/>
      <c r="B75" s="569"/>
      <c r="C75" s="570"/>
      <c r="D75" s="570"/>
      <c r="E75" s="570"/>
      <c r="F75" s="570"/>
      <c r="G75" s="570"/>
      <c r="H75" s="571"/>
      <c r="I75" s="571"/>
      <c r="J75" s="571"/>
      <c r="K75" s="571"/>
      <c r="L75" s="571"/>
      <c r="M75" s="572"/>
      <c r="N75" s="1153"/>
      <c r="O75" s="1153"/>
      <c r="P75" s="2630"/>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9"/>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9"/>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29"/>
      <c r="Q81" s="504"/>
    </row>
    <row r="82" spans="1:17" ht="15" thickTop="1">
      <c r="A82" s="534"/>
      <c r="B82" s="546" t="s">
        <v>2651</v>
      </c>
      <c r="C82" s="660" t="s">
        <v>2671</v>
      </c>
      <c r="D82" s="660" t="s">
        <v>2672</v>
      </c>
      <c r="E82" s="660" t="s">
        <v>2673</v>
      </c>
      <c r="F82" s="660" t="s">
        <v>2674</v>
      </c>
      <c r="G82" s="660" t="s">
        <v>2675</v>
      </c>
      <c r="H82" s="539"/>
      <c r="I82" s="539"/>
      <c r="J82" s="539"/>
      <c r="K82" s="539"/>
      <c r="L82" s="539"/>
      <c r="M82" s="1381"/>
      <c r="N82" s="1152"/>
      <c r="O82" s="1152"/>
      <c r="P82" s="2629"/>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 thickTop="1">
      <c r="A86" s="579"/>
      <c r="B86" s="538" t="s">
        <v>2676</v>
      </c>
      <c r="C86" s="2984" t="s">
        <v>3118</v>
      </c>
      <c r="D86" s="2984" t="s">
        <v>3119</v>
      </c>
      <c r="E86" s="2984" t="s">
        <v>3120</v>
      </c>
      <c r="F86" s="2984" t="s">
        <v>3121</v>
      </c>
      <c r="G86" s="554"/>
      <c r="H86" s="554"/>
      <c r="I86" s="554"/>
      <c r="J86" s="554"/>
      <c r="K86" s="554"/>
      <c r="L86" s="580"/>
      <c r="M86" s="581"/>
      <c r="N86" s="1150"/>
      <c r="O86" s="1150"/>
      <c r="P86" s="2629"/>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4.4" thickBot="1">
      <c r="A89" s="579"/>
      <c r="B89" s="543"/>
      <c r="C89" s="560"/>
      <c r="D89" s="536"/>
      <c r="E89" s="536"/>
      <c r="F89" s="536"/>
      <c r="G89" s="536"/>
      <c r="H89" s="536"/>
      <c r="I89" s="536"/>
      <c r="J89" s="536"/>
      <c r="K89" s="536"/>
      <c r="L89" s="536"/>
      <c r="M89" s="536"/>
      <c r="N89" s="1152"/>
      <c r="O89" s="1152"/>
      <c r="P89" s="2629"/>
      <c r="Q89" s="504"/>
    </row>
    <row r="90" spans="1:17" s="471" customFormat="1" ht="15" thickTop="1">
      <c r="A90" s="553"/>
      <c r="B90" s="538" t="str">
        <f>B27</f>
        <v>人流量</v>
      </c>
      <c r="C90" s="2984" t="s">
        <v>3148</v>
      </c>
      <c r="D90" s="2984" t="s">
        <v>3149</v>
      </c>
      <c r="E90" s="2984" t="s">
        <v>3150</v>
      </c>
      <c r="F90" s="2984" t="s">
        <v>3151</v>
      </c>
      <c r="G90" s="2984" t="s">
        <v>3152</v>
      </c>
      <c r="H90" s="555"/>
      <c r="I90" s="555"/>
      <c r="J90" s="555"/>
      <c r="K90" s="555"/>
      <c r="L90" s="556"/>
      <c r="M90" s="557"/>
      <c r="N90" s="1153"/>
      <c r="O90" s="1153"/>
      <c r="P90" s="2630"/>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0"/>
      <c r="Q91" s="559"/>
    </row>
    <row r="92" spans="1:17" ht="15" thickTop="1">
      <c r="A92" s="534"/>
      <c r="B92" s="538" t="str">
        <f>B28</f>
        <v>楼层</v>
      </c>
      <c r="C92" s="554" t="s">
        <v>3122</v>
      </c>
      <c r="D92" s="554" t="s">
        <v>3123</v>
      </c>
      <c r="E92" s="554"/>
      <c r="F92" s="554"/>
      <c r="G92" s="554"/>
      <c r="H92" s="554"/>
      <c r="I92" s="554"/>
      <c r="J92" s="554"/>
      <c r="K92" s="554"/>
      <c r="L92" s="580"/>
      <c r="M92" s="581"/>
      <c r="N92" s="1151"/>
      <c r="O92" s="1151"/>
      <c r="P92" s="2629"/>
      <c r="Q92" s="504"/>
    </row>
    <row r="93" spans="1:17" ht="14.4" thickBot="1">
      <c r="A93" s="534"/>
      <c r="B93" s="543"/>
      <c r="C93" s="536">
        <v>100</v>
      </c>
      <c r="D93" s="536">
        <v>110</v>
      </c>
      <c r="E93" s="536"/>
      <c r="F93" s="536"/>
      <c r="G93" s="536"/>
      <c r="H93" s="536"/>
      <c r="I93" s="536"/>
      <c r="J93" s="536"/>
      <c r="K93" s="536"/>
      <c r="L93" s="536"/>
      <c r="M93" s="537"/>
      <c r="N93" s="1152"/>
      <c r="O93" s="1152"/>
      <c r="P93" s="2629"/>
      <c r="Q93" s="504"/>
    </row>
    <row r="94" spans="1:17" ht="14.4" thickTop="1">
      <c r="A94" s="534"/>
      <c r="B94" s="538">
        <f>B29</f>
        <v>111</v>
      </c>
      <c r="C94" s="554"/>
      <c r="D94" s="554"/>
      <c r="E94" s="554"/>
      <c r="F94" s="554"/>
      <c r="G94" s="583"/>
      <c r="H94" s="583"/>
      <c r="I94" s="583"/>
      <c r="J94" s="583"/>
      <c r="K94" s="584"/>
      <c r="L94" s="585"/>
      <c r="M94" s="586"/>
      <c r="N94" s="1151"/>
      <c r="O94" s="1151"/>
      <c r="P94" s="2629"/>
      <c r="Q94" s="504"/>
    </row>
    <row r="95" spans="1:17" ht="14.4" thickBot="1">
      <c r="A95" s="534"/>
      <c r="B95" s="543"/>
      <c r="C95" s="560"/>
      <c r="D95" s="536"/>
      <c r="E95" s="536"/>
      <c r="F95" s="536"/>
      <c r="G95" s="536"/>
      <c r="H95" s="536"/>
      <c r="I95" s="536"/>
      <c r="J95" s="536"/>
      <c r="K95" s="536"/>
      <c r="L95" s="536"/>
      <c r="M95" s="537"/>
      <c r="N95" s="1152"/>
      <c r="O95" s="1152"/>
      <c r="P95" s="2629"/>
      <c r="Q95" s="504"/>
    </row>
    <row r="96" spans="1:17" ht="14.4" thickTop="1">
      <c r="A96" s="534"/>
      <c r="B96" s="538">
        <f>B30</f>
        <v>111</v>
      </c>
      <c r="C96" s="554"/>
      <c r="D96" s="554"/>
      <c r="E96" s="554"/>
      <c r="F96" s="554"/>
      <c r="G96" s="583"/>
      <c r="H96" s="583"/>
      <c r="I96" s="583"/>
      <c r="J96" s="583"/>
      <c r="K96" s="584"/>
      <c r="L96" s="585"/>
      <c r="M96" s="586"/>
      <c r="N96" s="1151"/>
      <c r="O96" s="1151"/>
      <c r="P96" s="2629"/>
      <c r="Q96" s="504"/>
    </row>
    <row r="97" spans="1:17" ht="14.4" thickBot="1">
      <c r="A97" s="534"/>
      <c r="B97" s="543"/>
      <c r="C97" s="560"/>
      <c r="D97" s="536"/>
      <c r="E97" s="536"/>
      <c r="F97" s="536"/>
      <c r="G97" s="536"/>
      <c r="H97" s="536"/>
      <c r="I97" s="536"/>
      <c r="J97" s="536"/>
      <c r="K97" s="536"/>
      <c r="L97" s="536"/>
      <c r="M97" s="537"/>
      <c r="N97" s="1152"/>
      <c r="O97" s="1152"/>
      <c r="P97" s="2629"/>
      <c r="Q97" s="504"/>
    </row>
    <row r="98" spans="1:17" ht="14.4" thickTop="1">
      <c r="A98" s="534"/>
      <c r="B98" s="546">
        <f>B31</f>
        <v>111</v>
      </c>
      <c r="C98" s="554"/>
      <c r="D98" s="554"/>
      <c r="E98" s="554"/>
      <c r="F98" s="554"/>
      <c r="G98" s="587"/>
      <c r="H98" s="587"/>
      <c r="I98" s="587"/>
      <c r="J98" s="587"/>
      <c r="K98" s="588"/>
      <c r="L98" s="589"/>
      <c r="M98" s="590"/>
      <c r="N98" s="1151"/>
      <c r="O98" s="1151"/>
      <c r="P98" s="2629"/>
      <c r="Q98" s="504"/>
    </row>
    <row r="99" spans="1:17" ht="14.4" thickBot="1">
      <c r="A99" s="2635"/>
      <c r="B99" s="569"/>
      <c r="C99" s="570"/>
      <c r="D99" s="570"/>
      <c r="E99" s="570"/>
      <c r="F99" s="570"/>
      <c r="G99" s="591"/>
      <c r="H99" s="591"/>
      <c r="I99" s="591"/>
      <c r="J99" s="591"/>
      <c r="K99" s="591"/>
      <c r="L99" s="591"/>
      <c r="M99" s="592"/>
      <c r="N99" s="1152"/>
      <c r="O99" s="1152"/>
      <c r="P99" s="2629"/>
      <c r="Q99" s="504"/>
    </row>
    <row r="100" spans="1:17" ht="14.4">
      <c r="A100" s="527" t="s">
        <v>2559</v>
      </c>
      <c r="B100" s="528" t="s">
        <v>2677</v>
      </c>
      <c r="C100" s="2985" t="s">
        <v>3124</v>
      </c>
      <c r="D100" s="2985" t="s">
        <v>3125</v>
      </c>
      <c r="E100" s="2985" t="s">
        <v>3155</v>
      </c>
      <c r="F100" s="2985" t="s">
        <v>3157</v>
      </c>
      <c r="G100" s="530"/>
      <c r="H100" s="530"/>
      <c r="I100" s="530"/>
      <c r="J100" s="530"/>
      <c r="K100" s="531"/>
      <c r="L100" s="532"/>
      <c r="M100" s="533"/>
      <c r="N100" s="1151"/>
      <c r="O100" s="1151"/>
      <c r="P100" s="2629"/>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2"/>
      <c r="O101" s="1152"/>
      <c r="P101" s="2629"/>
      <c r="Q101" s="504"/>
    </row>
    <row r="102" spans="1:17" ht="28.2" thickTop="1">
      <c r="A102" s="534"/>
      <c r="B102" s="538" t="s">
        <v>2609</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709">
        <v>0</v>
      </c>
      <c r="D103" s="710">
        <v>500</v>
      </c>
      <c r="E103" s="710">
        <v>1000</v>
      </c>
      <c r="F103" s="710">
        <v>1500</v>
      </c>
      <c r="G103" s="710">
        <v>2000</v>
      </c>
      <c r="H103" s="595"/>
      <c r="I103" s="595"/>
      <c r="J103" s="596"/>
      <c r="K103" s="596"/>
      <c r="L103" s="597"/>
      <c r="M103" s="598"/>
      <c r="N103" s="1153"/>
      <c r="O103" s="1153"/>
      <c r="P103" s="2630"/>
      <c r="Q103" s="559"/>
    </row>
    <row r="104" spans="1:17" s="471" customFormat="1" ht="14.4" thickBot="1">
      <c r="A104" s="553"/>
      <c r="B104" s="543"/>
      <c r="C104" s="1209">
        <v>100</v>
      </c>
      <c r="D104" s="1210">
        <v>98</v>
      </c>
      <c r="E104" s="1210">
        <v>96</v>
      </c>
      <c r="F104" s="1707">
        <v>94</v>
      </c>
      <c r="G104" s="1707">
        <v>92</v>
      </c>
      <c r="H104" s="536"/>
      <c r="I104" s="536"/>
      <c r="J104" s="536"/>
      <c r="K104" s="536"/>
      <c r="L104" s="536"/>
      <c r="M104" s="537"/>
      <c r="N104" s="1152"/>
      <c r="O104" s="1152"/>
      <c r="P104" s="2630"/>
      <c r="Q104" s="559"/>
    </row>
    <row r="105" spans="1:17" ht="15" thickTop="1">
      <c r="A105" s="599"/>
      <c r="B105" s="538" t="s">
        <v>2610</v>
      </c>
      <c r="C105" s="2984" t="s">
        <v>3153</v>
      </c>
      <c r="D105" s="554"/>
      <c r="E105" s="583"/>
      <c r="F105" s="583"/>
      <c r="G105" s="583"/>
      <c r="H105" s="583"/>
      <c r="I105" s="583"/>
      <c r="J105" s="583"/>
      <c r="K105" s="584"/>
      <c r="L105" s="585"/>
      <c r="M105" s="586"/>
      <c r="N105" s="1151"/>
      <c r="O105" s="1151"/>
      <c r="P105" s="2629"/>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9"/>
      <c r="Q106" s="504"/>
    </row>
    <row r="107" spans="1:17" ht="15" thickTop="1">
      <c r="A107" s="599"/>
      <c r="B107" s="538" t="s">
        <v>2612</v>
      </c>
      <c r="C107" s="2984" t="s">
        <v>3126</v>
      </c>
      <c r="D107" s="2984" t="s">
        <v>3127</v>
      </c>
      <c r="E107" s="2984" t="s">
        <v>3128</v>
      </c>
      <c r="F107" s="2986" t="s">
        <v>3129</v>
      </c>
      <c r="G107" s="583"/>
      <c r="H107" s="583"/>
      <c r="I107" s="583"/>
      <c r="J107" s="583"/>
      <c r="K107" s="584"/>
      <c r="L107" s="585"/>
      <c r="M107" s="586"/>
      <c r="N107" s="1151"/>
      <c r="O107" s="1151"/>
      <c r="P107" s="2629"/>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2614</v>
      </c>
      <c r="C112" s="2984" t="s">
        <v>3130</v>
      </c>
      <c r="D112" s="2984" t="s">
        <v>3131</v>
      </c>
      <c r="E112" s="2984" t="s">
        <v>3132</v>
      </c>
      <c r="F112" s="2984" t="s">
        <v>3133</v>
      </c>
      <c r="G112" s="2984" t="s">
        <v>3134</v>
      </c>
      <c r="H112" s="583"/>
      <c r="I112" s="583"/>
      <c r="J112" s="583"/>
      <c r="K112" s="584"/>
      <c r="L112" s="585"/>
      <c r="M112" s="586"/>
      <c r="N112" s="1153"/>
      <c r="O112" s="1153"/>
      <c r="P112" s="2630"/>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30"/>
      <c r="Q113" s="559"/>
    </row>
    <row r="114" spans="1:17" ht="15" thickTop="1">
      <c r="A114" s="599"/>
      <c r="B114" s="538" t="s">
        <v>2678</v>
      </c>
      <c r="C114" s="2984" t="s">
        <v>3135</v>
      </c>
      <c r="D114" s="2984" t="s">
        <v>3136</v>
      </c>
      <c r="E114" s="583"/>
      <c r="F114" s="583"/>
      <c r="G114" s="583"/>
      <c r="H114" s="583"/>
      <c r="I114" s="583"/>
      <c r="J114" s="583"/>
      <c r="K114" s="584"/>
      <c r="L114" s="585"/>
      <c r="M114" s="586"/>
      <c r="N114" s="1151"/>
      <c r="O114" s="1151"/>
      <c r="P114" s="2629"/>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9"/>
      <c r="Q115" s="504"/>
    </row>
    <row r="116" spans="1:17" ht="15" thickTop="1">
      <c r="A116" s="599"/>
      <c r="B116" s="538" t="s">
        <v>2679</v>
      </c>
      <c r="C116" s="554"/>
      <c r="D116" s="554"/>
      <c r="E116" s="554"/>
      <c r="F116" s="554"/>
      <c r="G116" s="554"/>
      <c r="H116" s="583"/>
      <c r="I116" s="583"/>
      <c r="J116" s="583"/>
      <c r="K116" s="584"/>
      <c r="L116" s="585"/>
      <c r="M116" s="586"/>
      <c r="N116" s="1151"/>
      <c r="O116" s="1151"/>
      <c r="P116" s="2629"/>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9"/>
      <c r="Q117" s="504"/>
    </row>
    <row r="118" spans="1:17" ht="15" thickTop="1">
      <c r="A118" s="599"/>
      <c r="B118" s="538" t="s">
        <v>2680</v>
      </c>
      <c r="C118" s="627"/>
      <c r="D118" s="627"/>
      <c r="E118" s="627"/>
      <c r="F118" s="627"/>
      <c r="G118" s="627"/>
      <c r="H118" s="555"/>
      <c r="I118" s="555"/>
      <c r="J118" s="555"/>
      <c r="K118" s="555"/>
      <c r="L118" s="556"/>
      <c r="M118" s="557"/>
      <c r="N118" s="1151"/>
      <c r="O118" s="1151"/>
      <c r="P118" s="2629"/>
      <c r="Q118" s="504"/>
    </row>
    <row r="119" spans="1:17" ht="14.4"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30"/>
      <c r="Q120" s="559"/>
    </row>
    <row r="121" spans="1:17" s="471" customFormat="1" ht="14.4"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30"/>
      <c r="Q121" s="559"/>
    </row>
    <row r="122" spans="1:17" ht="15" thickTop="1">
      <c r="A122" s="599"/>
      <c r="B122" s="538" t="s">
        <v>2616</v>
      </c>
      <c r="C122" s="2984" t="s">
        <v>3126</v>
      </c>
      <c r="D122" s="2984" t="s">
        <v>3127</v>
      </c>
      <c r="E122" s="2984" t="s">
        <v>3128</v>
      </c>
      <c r="F122" s="2986" t="s">
        <v>3129</v>
      </c>
      <c r="G122" s="583"/>
      <c r="H122" s="583"/>
      <c r="I122" s="583"/>
      <c r="J122" s="583"/>
      <c r="K122" s="584"/>
      <c r="L122" s="585"/>
      <c r="M122" s="586"/>
      <c r="N122" s="1151"/>
      <c r="O122" s="1151"/>
      <c r="P122" s="2629"/>
      <c r="Q122" s="504"/>
    </row>
    <row r="123" spans="1:17" ht="14.4" thickBot="1">
      <c r="A123" s="534"/>
      <c r="B123" s="543"/>
      <c r="C123" s="544">
        <v>100</v>
      </c>
      <c r="D123" s="544">
        <f t="shared" ref="D123:M123" si="30">C123-$K42</f>
        <v>95</v>
      </c>
      <c r="E123" s="544">
        <f t="shared" si="30"/>
        <v>90</v>
      </c>
      <c r="F123" s="544">
        <f t="shared" si="30"/>
        <v>85</v>
      </c>
      <c r="G123" s="544">
        <f t="shared" si="30"/>
        <v>80</v>
      </c>
      <c r="H123" s="544">
        <f t="shared" si="30"/>
        <v>75</v>
      </c>
      <c r="I123" s="544">
        <f t="shared" si="30"/>
        <v>70</v>
      </c>
      <c r="J123" s="544">
        <f t="shared" si="30"/>
        <v>65</v>
      </c>
      <c r="K123" s="544">
        <f t="shared" si="30"/>
        <v>60</v>
      </c>
      <c r="L123" s="544">
        <f t="shared" si="30"/>
        <v>55</v>
      </c>
      <c r="M123" s="545">
        <f t="shared" si="30"/>
        <v>50</v>
      </c>
      <c r="N123" s="1152"/>
      <c r="O123" s="1152"/>
      <c r="P123" s="2629"/>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30"/>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0"/>
      <c r="Q127" s="559"/>
    </row>
    <row r="128" spans="1:17" ht="14.4" thickTop="1">
      <c r="A128" s="599"/>
      <c r="B128" s="538">
        <f>B45</f>
        <v>111</v>
      </c>
      <c r="C128" s="554"/>
      <c r="D128" s="554"/>
      <c r="E128" s="554"/>
      <c r="F128" s="554"/>
      <c r="G128" s="583"/>
      <c r="H128" s="583"/>
      <c r="I128" s="583"/>
      <c r="J128" s="583"/>
      <c r="K128" s="584"/>
      <c r="L128" s="585"/>
      <c r="M128" s="586"/>
      <c r="N128" s="1151"/>
      <c r="O128" s="1151"/>
      <c r="P128" s="2629"/>
      <c r="Q128" s="504"/>
    </row>
    <row r="129" spans="1:17" ht="14.4" thickBot="1">
      <c r="A129" s="534"/>
      <c r="B129" s="543"/>
      <c r="C129" s="560"/>
      <c r="D129" s="536"/>
      <c r="E129" s="536"/>
      <c r="F129" s="536"/>
      <c r="G129" s="536"/>
      <c r="H129" s="536"/>
      <c r="I129" s="536"/>
      <c r="J129" s="536"/>
      <c r="K129" s="536"/>
      <c r="L129" s="536"/>
      <c r="M129" s="537"/>
      <c r="N129" s="1152"/>
      <c r="O129" s="1152"/>
      <c r="P129" s="2629"/>
      <c r="Q129" s="504"/>
    </row>
    <row r="130" spans="1:17" ht="14.4" thickTop="1">
      <c r="A130" s="599"/>
      <c r="B130" s="546">
        <f>B46</f>
        <v>111</v>
      </c>
      <c r="C130" s="554"/>
      <c r="D130" s="554"/>
      <c r="E130" s="554"/>
      <c r="F130" s="554"/>
      <c r="G130" s="587"/>
      <c r="H130" s="587"/>
      <c r="I130" s="587"/>
      <c r="J130" s="587"/>
      <c r="K130" s="523"/>
      <c r="L130" s="524"/>
      <c r="M130" s="590"/>
      <c r="N130" s="1151"/>
      <c r="O130" s="1151"/>
      <c r="P130" s="2629"/>
      <c r="Q130" s="504"/>
    </row>
    <row r="131" spans="1:17" ht="14.4"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0" sqref="C3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1"/>
      <c r="C1" s="1836" t="s">
        <v>3068</v>
      </c>
      <c r="D1" s="1819" t="s">
        <v>70</v>
      </c>
      <c r="E1" s="1820" t="s">
        <v>1382</v>
      </c>
      <c r="F1" s="1282">
        <f ca="1">J53</f>
        <v>31.46</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3868</v>
      </c>
      <c r="C2" s="1844" t="s">
        <v>1510</v>
      </c>
      <c r="D2" s="1844"/>
      <c r="E2" s="1845"/>
      <c r="F2" s="1846"/>
      <c r="G2" s="1847"/>
      <c r="H2" s="1839"/>
      <c r="I2" s="1839"/>
      <c r="J2" s="1839"/>
      <c r="K2" s="1840"/>
      <c r="L2" s="1839"/>
      <c r="M2" s="1839"/>
    </row>
    <row r="3" spans="1:37" ht="18" customHeight="1" thickBot="1">
      <c r="A3" s="1848" t="s">
        <v>1511</v>
      </c>
      <c r="B3" s="1849">
        <f ca="1">IF(ISERROR(B2*10000/F43),0,ROUND(B2*10000/F43,0))</f>
        <v>28857</v>
      </c>
      <c r="C3" s="1844" t="s">
        <v>1512</v>
      </c>
      <c r="D3" s="1844"/>
      <c r="E3" s="1845"/>
      <c r="F3" s="1846"/>
      <c r="G3" s="1847"/>
      <c r="H3" s="743" t="s">
        <v>1582</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220</v>
      </c>
      <c r="D5" s="1821" t="s">
        <v>1397</v>
      </c>
      <c r="E5" s="1292"/>
      <c r="F5" s="1293"/>
      <c r="G5" s="1850"/>
      <c r="H5" s="344">
        <v>1</v>
      </c>
      <c r="I5" s="345" t="s">
        <v>1396</v>
      </c>
      <c r="J5" s="1291">
        <f ca="1">J6+J10+J12</f>
        <v>0</v>
      </c>
      <c r="K5" s="1821" t="s">
        <v>1397</v>
      </c>
      <c r="L5" s="1292"/>
      <c r="M5" s="1293"/>
    </row>
    <row r="6" spans="1:37" ht="18" customHeight="1">
      <c r="A6" s="1290" t="s">
        <v>1032</v>
      </c>
      <c r="B6" s="3221" t="s">
        <v>1398</v>
      </c>
      <c r="C6" s="1295">
        <f ca="1">ROUND(F6*F8*F7*(1-F9)/10000,0)</f>
        <v>220</v>
      </c>
      <c r="D6" s="164" t="s">
        <v>3026</v>
      </c>
      <c r="E6" s="347" t="s">
        <v>1400</v>
      </c>
      <c r="F6" s="348">
        <f ca="1">INDIRECT("'数据-取费表'!u"&amp;$G$1)</f>
        <v>5</v>
      </c>
      <c r="G6" s="1850"/>
      <c r="H6" s="1290" t="s">
        <v>1032</v>
      </c>
      <c r="I6" s="3221" t="s">
        <v>1398</v>
      </c>
      <c r="J6" s="346">
        <f ca="1">ROUND(M6*M8*M7*(1-M9)/10000,0)</f>
        <v>0</v>
      </c>
      <c r="K6" s="164" t="s">
        <v>3025</v>
      </c>
      <c r="L6" s="347" t="s">
        <v>1400</v>
      </c>
      <c r="M6" s="348">
        <f ca="1">INDIRECT("'数据-取费表'!z"&amp;$G$1)</f>
        <v>0</v>
      </c>
    </row>
    <row r="7" spans="1:37" ht="18" customHeight="1">
      <c r="A7" s="1294"/>
      <c r="B7" s="3222"/>
      <c r="C7" s="1296"/>
      <c r="D7" s="352"/>
      <c r="E7" s="1297" t="s">
        <v>1401</v>
      </c>
      <c r="F7" s="348">
        <f ca="1">IF(INDIRECT("'数据-取费表'!ah"&amp;$G$1)="",INDIRECT("'数据-取费表'!k"&amp;$G$1),INDIRECT("'数据-取费表'!ah"&amp;$G$1))</f>
        <v>1340.42</v>
      </c>
      <c r="G7" s="1850"/>
      <c r="H7" s="349"/>
      <c r="I7" s="3222"/>
      <c r="J7" s="351"/>
      <c r="K7" s="352"/>
      <c r="L7" s="347" t="s">
        <v>1401</v>
      </c>
      <c r="M7" s="348">
        <f ca="1">F7</f>
        <v>1340.42</v>
      </c>
    </row>
    <row r="8" spans="1:37" ht="18" customHeight="1">
      <c r="A8" s="349"/>
      <c r="B8" s="3222"/>
      <c r="C8" s="351"/>
      <c r="D8" s="352"/>
      <c r="E8" s="347" t="s">
        <v>1402</v>
      </c>
      <c r="F8" s="348">
        <f ca="1">INDIRECT("'数据-取费表'!ai"&amp;$G$1)</f>
        <v>365</v>
      </c>
      <c r="G8" s="1850"/>
      <c r="H8" s="349"/>
      <c r="I8" s="3222"/>
      <c r="J8" s="351"/>
      <c r="K8" s="352"/>
      <c r="L8" s="347" t="s">
        <v>1402</v>
      </c>
      <c r="M8" s="348">
        <f ca="1">INDIRECT("'数据-取费表'!ai"&amp;$G$1)</f>
        <v>365</v>
      </c>
    </row>
    <row r="9" spans="1:37" ht="18" customHeight="1">
      <c r="A9" s="349"/>
      <c r="B9" s="3223"/>
      <c r="C9" s="351"/>
      <c r="D9" s="352"/>
      <c r="E9" s="347" t="s">
        <v>1403</v>
      </c>
      <c r="F9" s="357">
        <f ca="1">INDIRECT("'数据-取费表'!w"&amp;$G$1)</f>
        <v>0.1</v>
      </c>
      <c r="G9" s="1850"/>
      <c r="H9" s="349"/>
      <c r="I9" s="3223"/>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3035</v>
      </c>
      <c r="E10" s="358" t="s">
        <v>1405</v>
      </c>
      <c r="F10" s="1365" t="s">
        <v>3099</v>
      </c>
      <c r="G10" s="1850"/>
      <c r="H10" s="1290" t="s">
        <v>1036</v>
      </c>
      <c r="I10" s="1822" t="s">
        <v>1404</v>
      </c>
      <c r="J10" s="346">
        <f ca="1">ROUND(IF(M10="押一",J6/12*M11,IF(M10="押二",J6/12*2*M11,IF(M10="押三",J6/12*3*M11,J11*M11))),0)</f>
        <v>0</v>
      </c>
      <c r="K10" s="1823" t="s">
        <v>3034</v>
      </c>
      <c r="L10" s="358" t="s">
        <v>1405</v>
      </c>
      <c r="M10" s="1365" t="s">
        <v>3180</v>
      </c>
    </row>
    <row r="11" spans="1:37" ht="18" customHeight="1">
      <c r="A11" s="353"/>
      <c r="B11" s="1824" t="s">
        <v>1383</v>
      </c>
      <c r="C11" s="1177"/>
      <c r="D11" s="1825"/>
      <c r="E11" s="358" t="s">
        <v>1406</v>
      </c>
      <c r="F11" s="359">
        <f ca="1">'数据-取费表'!B39</f>
        <v>1.4999999999999999E-2</v>
      </c>
      <c r="G11" s="1850"/>
      <c r="H11" s="1298"/>
      <c r="I11" s="1824" t="s">
        <v>1383</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544</v>
      </c>
      <c r="D13" s="1330" t="s">
        <v>1409</v>
      </c>
      <c r="E13" s="1330" t="s">
        <v>1410</v>
      </c>
      <c r="F13" s="1331">
        <f ca="1">INDIRECT("'数据-取费表'!y"&amp;$G$1)</f>
        <v>0.92</v>
      </c>
      <c r="G13" s="1850"/>
      <c r="H13" s="1328">
        <v>2</v>
      </c>
      <c r="I13" s="1329" t="s">
        <v>1408</v>
      </c>
      <c r="J13" s="1289">
        <f ca="1">ROUND(J14*J15,0)</f>
        <v>0</v>
      </c>
      <c r="K13" s="1336" t="s">
        <v>1409</v>
      </c>
      <c r="L13" s="1851"/>
      <c r="M13" s="1852"/>
    </row>
    <row r="14" spans="1:37" ht="18" customHeight="1">
      <c r="A14" s="1200" t="s">
        <v>1031</v>
      </c>
      <c r="B14" s="347" t="s">
        <v>1411</v>
      </c>
      <c r="C14" s="363">
        <f ca="1">INDIRECT("'数据-取费表'!m"&amp;$G$1)+INDIRECT("'数据-取费表'!t"&amp;$G$1)</f>
        <v>402</v>
      </c>
      <c r="D14" s="1799" t="s">
        <v>1412</v>
      </c>
      <c r="E14" s="1793"/>
      <c r="F14" s="364"/>
      <c r="G14" s="1850"/>
      <c r="H14" s="1200" t="s">
        <v>1032</v>
      </c>
      <c r="I14" s="347" t="s">
        <v>1413</v>
      </c>
      <c r="J14" s="24">
        <f ca="1">C29</f>
        <v>591</v>
      </c>
      <c r="K14" s="15"/>
      <c r="L14" s="978"/>
      <c r="M14" s="979"/>
    </row>
    <row r="15" spans="1:37" s="1857" customFormat="1" ht="18" customHeight="1" thickBot="1">
      <c r="A15" s="1200" t="s">
        <v>1033</v>
      </c>
      <c r="B15" s="347" t="s">
        <v>1414</v>
      </c>
      <c r="C15" s="24">
        <f ca="1">ROUND(C14*F15,0)</f>
        <v>12</v>
      </c>
      <c r="D15" s="365" t="s">
        <v>1415</v>
      </c>
      <c r="E15" s="365" t="s">
        <v>1416</v>
      </c>
      <c r="F15" s="366">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ROUND(INDIRECT("'数据-取费表'!m"&amp;$G$1)*F16,0)</f>
        <v>0</v>
      </c>
      <c r="D16" s="347" t="s">
        <v>1415</v>
      </c>
      <c r="E16" s="347" t="s">
        <v>1416</v>
      </c>
      <c r="F16" s="367">
        <f ca="1">IF(INDIRECT("'数据-取费表'!c"&amp;$G$1)="住宅",'数据-取费表'!B34,0)</f>
        <v>0</v>
      </c>
      <c r="G16" s="1850"/>
      <c r="H16" s="1328" t="s">
        <v>1027</v>
      </c>
      <c r="I16" s="1329" t="s">
        <v>1418</v>
      </c>
      <c r="J16" s="355">
        <f ca="1">ROUND(J17+J22+J23+J24,0)</f>
        <v>14</v>
      </c>
      <c r="K16" s="1336" t="s">
        <v>1419</v>
      </c>
      <c r="L16" s="1337"/>
      <c r="M16" s="1293"/>
    </row>
    <row r="17" spans="1:37" s="1857" customFormat="1" ht="18" customHeight="1">
      <c r="A17" s="1200" t="s">
        <v>1385</v>
      </c>
      <c r="B17" s="347" t="s">
        <v>1420</v>
      </c>
      <c r="C17" s="24">
        <f ca="1">ROUND(F17*(F43+INDIRECT("'数据-取费表'!S"&amp;$G$1))/10000,0)</f>
        <v>27</v>
      </c>
      <c r="D17" s="347" t="s">
        <v>1421</v>
      </c>
      <c r="E17" s="347" t="s">
        <v>1422</v>
      </c>
      <c r="F17" s="26">
        <f>'数据-取费表'!B35</f>
        <v>200</v>
      </c>
      <c r="G17" s="1853"/>
      <c r="H17" s="1200" t="s">
        <v>1032</v>
      </c>
      <c r="I17" s="347" t="s">
        <v>1423</v>
      </c>
      <c r="J17" s="24">
        <f ca="1">ROUND(IF(项目基本情况!B11="自然人",J6*M17/(1+'数据-取费表'!C42),J18+J19+J20),1)</f>
        <v>5.3</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6</v>
      </c>
      <c r="D18" s="347" t="s">
        <v>1415</v>
      </c>
      <c r="E18" s="347" t="s">
        <v>1416</v>
      </c>
      <c r="F18" s="367">
        <f>'数据-取费表'!B36</f>
        <v>1.4999999999999999E-2</v>
      </c>
      <c r="G18" s="1853"/>
      <c r="H18" s="1200" t="s">
        <v>1031</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447</v>
      </c>
      <c r="D19" s="140" t="s">
        <v>1430</v>
      </c>
      <c r="E19" s="1817"/>
      <c r="F19" s="26"/>
      <c r="G19" s="1850"/>
      <c r="H19" s="1200" t="s">
        <v>1033</v>
      </c>
      <c r="I19" s="347" t="s">
        <v>1431</v>
      </c>
      <c r="J19" s="24">
        <f ca="1">IF(K19="按租金收入计税",ROUND(J6*M19/(1+'数据-取费表'!C42),2),ROUND(C29*M19*0.7,2))</f>
        <v>4.96</v>
      </c>
      <c r="K19" s="1827" t="s">
        <v>1432</v>
      </c>
      <c r="L19" s="347" t="s">
        <v>1416</v>
      </c>
      <c r="M19" s="367">
        <f>IF(K19="按租金收入计税",'数据-取费表'!B51,'数据-取费表'!B50)</f>
        <v>1.2E-2</v>
      </c>
    </row>
    <row r="20" spans="1:37" s="1857" customFormat="1" ht="18" customHeight="1">
      <c r="A20" s="1200" t="s">
        <v>1036</v>
      </c>
      <c r="B20" s="347" t="s">
        <v>1433</v>
      </c>
      <c r="C20" s="24">
        <f ca="1">ROUND(C19*F20,0)</f>
        <v>9</v>
      </c>
      <c r="D20" s="369" t="s">
        <v>1434</v>
      </c>
      <c r="E20" s="347" t="s">
        <v>1416</v>
      </c>
      <c r="F20" s="367">
        <f>'数据-取费表'!B37</f>
        <v>0.02</v>
      </c>
      <c r="G20" s="1853"/>
      <c r="H20" s="1200" t="s">
        <v>1384</v>
      </c>
      <c r="I20" s="164" t="s">
        <v>1435</v>
      </c>
      <c r="J20" s="25">
        <f ca="1">ROUND(M20*M21/10000,2)</f>
        <v>0.37</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18</v>
      </c>
      <c r="D21" s="369" t="s">
        <v>1439</v>
      </c>
      <c r="E21" s="347" t="s">
        <v>1440</v>
      </c>
      <c r="F21" s="367">
        <f>'数据-取费表'!B38</f>
        <v>0.02</v>
      </c>
      <c r="G21" s="1853"/>
      <c r="H21" s="372"/>
      <c r="I21" s="356"/>
      <c r="J21" s="29"/>
      <c r="K21" s="373"/>
      <c r="L21" s="347" t="s">
        <v>1441</v>
      </c>
      <c r="M21" s="348">
        <f ca="1">INDIRECT("'数据-取费表'!r"&amp;$G$1)</f>
        <v>1227.98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ROUND(J14*M22,1)</f>
        <v>8.9</v>
      </c>
      <c r="K22" s="1797" t="s">
        <v>1444</v>
      </c>
      <c r="L22" s="347" t="s">
        <v>1416</v>
      </c>
      <c r="M22" s="374">
        <f ca="1">INDIRECT("'数据-取费表'!Ak"&amp;$G$1)</f>
        <v>1.4999999999999999E-2</v>
      </c>
    </row>
    <row r="23" spans="1:37" s="1857" customFormat="1" ht="18" customHeight="1">
      <c r="A23" s="1200" t="s">
        <v>1031</v>
      </c>
      <c r="B23" s="347" t="s">
        <v>1445</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1028</v>
      </c>
      <c r="I25" s="1343" t="s">
        <v>1457</v>
      </c>
      <c r="J25" s="355">
        <f ca="1">J5-J16</f>
        <v>-14</v>
      </c>
      <c r="K25" s="1344" t="s">
        <v>1458</v>
      </c>
      <c r="L25" s="1345"/>
      <c r="M25" s="1346"/>
    </row>
    <row r="26" spans="1:37">
      <c r="A26" s="1200" t="s">
        <v>1031</v>
      </c>
      <c r="B26" s="347" t="s">
        <v>1459</v>
      </c>
      <c r="C26" s="24">
        <f ca="1">ROUND((C19+C20)*F26,0)</f>
        <v>68</v>
      </c>
      <c r="D26" s="369" t="s">
        <v>1460</v>
      </c>
      <c r="E26" s="358" t="s">
        <v>1461</v>
      </c>
      <c r="F26" s="357">
        <f ca="1">INDIRECT("'数据-取费表'!q"&amp;$G$1)</f>
        <v>0.15</v>
      </c>
      <c r="G26" s="1850"/>
      <c r="H26" s="344" t="s">
        <v>1029</v>
      </c>
      <c r="I26" s="345" t="s">
        <v>1462</v>
      </c>
      <c r="J26" s="346">
        <f ca="1">IF(J5&lt;&gt;0,ROUND(J25*(1-((1+M28)/(1+M26))^M27)/(M26-M28),0),0)</f>
        <v>0</v>
      </c>
      <c r="K26" s="370" t="s">
        <v>1463</v>
      </c>
      <c r="L26" s="347" t="s">
        <v>1464</v>
      </c>
      <c r="M26" s="357">
        <f ca="1">INDIRECT("'数据-取费表'!I"&amp;$G$1)</f>
        <v>5.5E-2</v>
      </c>
    </row>
    <row r="27" spans="1:37" ht="18" customHeight="1">
      <c r="A27" s="1200" t="s">
        <v>1033</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591</v>
      </c>
      <c r="D29" s="1341"/>
      <c r="E29" s="1339"/>
      <c r="F29" s="1342"/>
      <c r="G29" s="1853"/>
      <c r="H29" s="380" t="s">
        <v>1030</v>
      </c>
      <c r="I29" s="381" t="s">
        <v>1473</v>
      </c>
      <c r="J29" s="382">
        <f ca="1">ROUND(J26/(1+F40)^F41,0)</f>
        <v>0</v>
      </c>
      <c r="K29" s="383" t="s">
        <v>1474</v>
      </c>
      <c r="L29" s="384"/>
      <c r="M29" s="385">
        <f ca="1">INDIRECT("'数据-取费表'!k"&amp;$G$1)</f>
        <v>1340.42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49</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ROUND(IF(项目基本情况!B11="自然人",C6*F31/(1+'数据-取费表'!C42),C32+C33+C34),1)</f>
        <v>37.200000000000003</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IF(项目基本情况!B11="自然人","——",ROUND(C6*F32/(1+'数据-取费表'!C42),2))</f>
        <v>11.73</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IF(项目基本情况!B11="自然人","——",IF(D33="按租金收入计税",ROUND(C6*F33/(1+'数据-取费表'!C42),2),IF(D33="按房产原值计税",ROUND(C29*F33*0.7,2),INDIRECT("'数据-取费表'!Aj"&amp;$G$1))))</f>
        <v>25.14</v>
      </c>
      <c r="D33" s="1827" t="s">
        <v>3100</v>
      </c>
      <c r="E33" s="347" t="s">
        <v>1416</v>
      </c>
      <c r="F33" s="367">
        <f>IF(D33="按票据","——",IF(D33="按租金收入计税",'数据-取费表'!B51,'数据-取费表'!B50))</f>
        <v>0.12</v>
      </c>
      <c r="G33" s="1850"/>
      <c r="H33" s="1858"/>
      <c r="I33" s="1859"/>
      <c r="J33" s="1860"/>
      <c r="K33" s="1861"/>
      <c r="L33" s="1858"/>
      <c r="M33" s="1858"/>
    </row>
    <row r="34" spans="1:18" ht="18" customHeight="1">
      <c r="A34" s="1290" t="s">
        <v>1384</v>
      </c>
      <c r="B34" s="164" t="s">
        <v>1435</v>
      </c>
      <c r="C34" s="25">
        <f ca="1">IF(项目基本情况!B11="自然人","——",ROUND(F34*F35/10000,2))</f>
        <v>0.37</v>
      </c>
      <c r="D34" s="370" t="s">
        <v>1436</v>
      </c>
      <c r="E34" s="347" t="s">
        <v>1437</v>
      </c>
      <c r="F34" s="371">
        <f>'数据-取费表'!B52</f>
        <v>3</v>
      </c>
      <c r="G34" s="1850"/>
      <c r="H34" s="744"/>
      <c r="I34" s="1859"/>
      <c r="J34" s="1860"/>
      <c r="K34" s="1862"/>
      <c r="L34" s="1863"/>
      <c r="M34" s="1863"/>
    </row>
    <row r="35" spans="1:18" ht="18" customHeight="1">
      <c r="A35" s="1352"/>
      <c r="B35" s="1350"/>
      <c r="C35" s="29"/>
      <c r="D35" s="373"/>
      <c r="E35" s="347" t="s">
        <v>1441</v>
      </c>
      <c r="F35" s="348">
        <f ca="1">INDIRECT("'数据-取费表'!r"&amp;$G$1)</f>
        <v>1227.98</v>
      </c>
      <c r="G35" s="1850"/>
      <c r="H35" s="744"/>
      <c r="I35" s="1859"/>
      <c r="J35" s="1860"/>
      <c r="K35" s="1861"/>
      <c r="L35" s="1858"/>
      <c r="M35" s="1858"/>
    </row>
    <row r="36" spans="1:18" ht="18" customHeight="1">
      <c r="A36" s="1351" t="s">
        <v>1036</v>
      </c>
      <c r="B36" s="347" t="s">
        <v>1443</v>
      </c>
      <c r="C36" s="24">
        <f ca="1">ROUND(C29*F36,1)</f>
        <v>8.9</v>
      </c>
      <c r="D36" s="1797" t="s">
        <v>1476</v>
      </c>
      <c r="E36" s="347" t="s">
        <v>1416</v>
      </c>
      <c r="F36" s="374">
        <f ca="1">INDIRECT("'数据-取费表'!Ak"&amp;$G$1)</f>
        <v>1.4999999999999999E-2</v>
      </c>
      <c r="G36" s="1850"/>
      <c r="H36" s="1858"/>
      <c r="I36" s="1859"/>
      <c r="J36" s="1860"/>
      <c r="K36" s="750"/>
      <c r="L36" s="1858"/>
      <c r="M36" s="1858"/>
    </row>
    <row r="37" spans="1:18" ht="18" customHeight="1">
      <c r="A37" s="1200" t="s">
        <v>1072</v>
      </c>
      <c r="B37" s="347" t="s">
        <v>1447</v>
      </c>
      <c r="C37" s="24">
        <f ca="1">ROUND(C13*F37,1)</f>
        <v>0.8</v>
      </c>
      <c r="D37" s="1797" t="s">
        <v>1448</v>
      </c>
      <c r="E37" s="347" t="s">
        <v>1449</v>
      </c>
      <c r="F37" s="376">
        <f ca="1">INDIRECT("'数据-取费表'!Al"&amp;$G$1)</f>
        <v>1.5E-3</v>
      </c>
      <c r="G37" s="1850"/>
      <c r="H37" s="1858"/>
      <c r="I37" s="1859"/>
      <c r="J37" s="1860"/>
      <c r="K37" s="750"/>
      <c r="L37" s="1858"/>
      <c r="M37" s="1858"/>
    </row>
    <row r="38" spans="1:18" ht="18" customHeight="1" thickBot="1">
      <c r="A38" s="1338" t="s">
        <v>1388</v>
      </c>
      <c r="B38" s="1339" t="s">
        <v>1433</v>
      </c>
      <c r="C38" s="1340">
        <f ca="1">ROUND(C5*F38,1)</f>
        <v>2.2000000000000002</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5">
        <f ca="1">C5-C30</f>
        <v>171</v>
      </c>
      <c r="D39" s="1344" t="s">
        <v>1478</v>
      </c>
      <c r="E39" s="1345"/>
      <c r="F39" s="1346"/>
      <c r="G39" s="1850"/>
      <c r="H39" s="1858"/>
      <c r="I39" s="1859"/>
      <c r="J39" s="1860"/>
      <c r="K39" s="1864"/>
      <c r="L39" s="1858"/>
      <c r="M39" s="1858"/>
    </row>
    <row r="40" spans="1:18" ht="18" customHeight="1">
      <c r="A40" s="344" t="s">
        <v>1029</v>
      </c>
      <c r="B40" s="345" t="s">
        <v>1479</v>
      </c>
      <c r="C40" s="346">
        <f ca="1">ROUND(C39*(1-((1+F42)/(1+F40))^F41)/(F40-F42),0)</f>
        <v>3868</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31.46</v>
      </c>
      <c r="G41" s="1850"/>
      <c r="H41" s="731"/>
      <c r="I41" s="1859"/>
      <c r="J41" s="1860"/>
      <c r="K41" s="750"/>
      <c r="L41" s="731"/>
      <c r="M41" s="731"/>
    </row>
    <row r="42" spans="1:18" ht="18" customHeight="1">
      <c r="A42" s="353"/>
      <c r="B42" s="354"/>
      <c r="C42" s="355"/>
      <c r="D42" s="373"/>
      <c r="E42" s="347" t="s">
        <v>1471</v>
      </c>
      <c r="F42" s="357">
        <f ca="1">INDIRECT("'数据-取费表'!v"&amp;$G$1)</f>
        <v>3.5000000000000003E-2</v>
      </c>
      <c r="G42" s="1850"/>
      <c r="H42" s="731"/>
      <c r="I42" s="1859"/>
      <c r="J42" s="1860"/>
      <c r="K42" s="750"/>
      <c r="L42" s="731"/>
      <c r="M42" s="731"/>
    </row>
    <row r="43" spans="1:18" ht="18" customHeight="1" thickBot="1">
      <c r="A43" s="380" t="s">
        <v>1030</v>
      </c>
      <c r="B43" s="381" t="s">
        <v>1481</v>
      </c>
      <c r="C43" s="382">
        <f ca="1">ROUND(C40*10000/F43,0)</f>
        <v>28857</v>
      </c>
      <c r="D43" s="383" t="s">
        <v>1482</v>
      </c>
      <c r="E43" s="384" t="s">
        <v>1483</v>
      </c>
      <c r="F43" s="385">
        <f ca="1">INDIRECT("'数据-取费表'!k"&amp;$G$1)</f>
        <v>1340.42</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8" thickBot="1">
      <c r="A46" s="1869" t="s">
        <v>1514</v>
      </c>
      <c r="C46" s="1870">
        <f ca="1">C68-C40</f>
        <v>-4756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4" t="s">
        <v>1391</v>
      </c>
      <c r="B47" s="1196" t="s">
        <v>1392</v>
      </c>
      <c r="C47" s="1366" t="s">
        <v>1393</v>
      </c>
      <c r="D47" s="1196" t="s">
        <v>1394</v>
      </c>
      <c r="E47" s="1278" t="s">
        <v>1395</v>
      </c>
      <c r="F47" s="1279"/>
      <c r="G47" s="791"/>
      <c r="I47" s="1879" t="s">
        <v>1520</v>
      </c>
      <c r="J47" s="1880" t="s">
        <v>3101</v>
      </c>
      <c r="K47" s="1881" t="s">
        <v>1521</v>
      </c>
      <c r="L47" s="1882">
        <f ca="1">INDIRECT("'数据-取费表'!d"&amp;$G$1)</f>
        <v>40</v>
      </c>
      <c r="M47" s="1837" t="str">
        <f>IF(ISNUMBER(FIND("住宅",C1)),"住宅","非住宅")</f>
        <v>非住宅</v>
      </c>
      <c r="O47" s="1883" t="s">
        <v>1037</v>
      </c>
      <c r="P47" s="1884" t="s">
        <v>1522</v>
      </c>
      <c r="Q47" s="1885">
        <f ca="1">C40+J29</f>
        <v>3868</v>
      </c>
      <c r="R47" s="1885" t="s">
        <v>1523</v>
      </c>
    </row>
    <row r="48" spans="1:18" s="1841" customFormat="1" ht="40.200000000000003" thickBot="1">
      <c r="A48" s="1359" t="s">
        <v>1132</v>
      </c>
      <c r="B48" s="345" t="s">
        <v>1396</v>
      </c>
      <c r="C48" s="1816">
        <f ca="1">C49+C53+C55</f>
        <v>0</v>
      </c>
      <c r="D48" s="1361"/>
      <c r="E48" s="1362"/>
      <c r="F48" s="1180"/>
      <c r="G48" s="791"/>
      <c r="H48" s="792"/>
      <c r="I48" s="1886" t="s">
        <v>1524</v>
      </c>
      <c r="J48" s="1887" t="s">
        <v>3102</v>
      </c>
      <c r="K48" s="1888" t="s">
        <v>1525</v>
      </c>
      <c r="L48" s="1889">
        <f ca="1">INDIRECT("'数据-取费表'!f"&amp;$G$1)</f>
        <v>31.46</v>
      </c>
      <c r="O48" s="1883" t="s">
        <v>1038</v>
      </c>
      <c r="P48" s="1884" t="s">
        <v>1526</v>
      </c>
      <c r="Q48" s="1885" t="str">
        <f ca="1">J60</f>
        <v>0</v>
      </c>
      <c r="R48" s="1885" t="s">
        <v>1527</v>
      </c>
    </row>
    <row r="49" spans="1:18" s="1841" customFormat="1" ht="13.8" thickBot="1">
      <c r="A49" s="1193" t="s">
        <v>1133</v>
      </c>
      <c r="B49" s="1828" t="s">
        <v>1484</v>
      </c>
      <c r="C49" s="1363">
        <f ca="1">ROUND(F49*F51*F50*(1-F52)/10000,0)</f>
        <v>0</v>
      </c>
      <c r="D49" s="1275" t="s">
        <v>3027</v>
      </c>
      <c r="E49" s="1829" t="s">
        <v>1485</v>
      </c>
      <c r="F49" s="1280"/>
      <c r="G49" s="1890"/>
      <c r="H49" s="792"/>
      <c r="I49" s="1886" t="s">
        <v>1528</v>
      </c>
      <c r="J49" s="1891">
        <v>2014</v>
      </c>
      <c r="K49" s="1888" t="s">
        <v>1529</v>
      </c>
      <c r="L49" s="1892"/>
      <c r="O49" s="1893" t="s">
        <v>1039</v>
      </c>
      <c r="P49" s="1884" t="s">
        <v>1530</v>
      </c>
      <c r="Q49" s="1885">
        <f ca="1">C29</f>
        <v>591</v>
      </c>
      <c r="R49" s="1885" t="s">
        <v>1523</v>
      </c>
    </row>
    <row r="50" spans="1:18" s="1841" customFormat="1" ht="13.8" thickBot="1">
      <c r="A50" s="1194"/>
      <c r="B50" s="1197"/>
      <c r="C50" s="1367"/>
      <c r="D50" s="1171"/>
      <c r="E50" s="1276" t="s">
        <v>1401</v>
      </c>
      <c r="F50" s="1277">
        <f ca="1">F7</f>
        <v>1340.42</v>
      </c>
      <c r="H50" s="792"/>
      <c r="I50" s="1886" t="s">
        <v>1531</v>
      </c>
      <c r="J50" s="1894">
        <f>SUMPRODUCT((I63:I65=J47)*(J62:L62=J48)*(J63:L65))</f>
        <v>60</v>
      </c>
      <c r="K50" s="1888" t="s">
        <v>1532</v>
      </c>
      <c r="L50" s="1892"/>
      <c r="M50" s="1895"/>
      <c r="O50" s="1893" t="s">
        <v>1040</v>
      </c>
      <c r="P50" s="1884" t="s">
        <v>1533</v>
      </c>
      <c r="Q50" s="1896" t="e">
        <f ca="1">J58</f>
        <v>#VALUE!</v>
      </c>
      <c r="R50" s="1885"/>
    </row>
    <row r="51" spans="1:18" s="1841" customFormat="1" ht="13.8" thickBot="1">
      <c r="A51" s="1195"/>
      <c r="B51" s="1197"/>
      <c r="C51" s="1198"/>
      <c r="D51" s="1171"/>
      <c r="E51" s="1199" t="s">
        <v>1402</v>
      </c>
      <c r="F51" s="348">
        <f ca="1">F8</f>
        <v>365</v>
      </c>
      <c r="I51" s="1897" t="s">
        <v>1534</v>
      </c>
      <c r="J51" s="1898">
        <f>IF(J49="",J50,J49+J50-YEAR('数据-取费表'!B2))</f>
        <v>55</v>
      </c>
      <c r="K51" s="1899" t="s">
        <v>1535</v>
      </c>
      <c r="L51" s="1900">
        <f ca="1">ROUND(-PV(INDIRECT("'数据-取费表'!h"&amp;$G$1),L48,(C39-C13*C76),0),0)</f>
        <v>1958</v>
      </c>
      <c r="M51" s="1901"/>
      <c r="O51" s="1893" t="s">
        <v>1041</v>
      </c>
      <c r="P51" s="1884" t="s">
        <v>1536</v>
      </c>
      <c r="Q51" s="1896">
        <f>J52</f>
        <v>0.09</v>
      </c>
      <c r="R51" s="1885"/>
    </row>
    <row r="52" spans="1:18" s="1841" customFormat="1" ht="13.8" thickBot="1">
      <c r="A52" s="1195"/>
      <c r="B52" s="1197"/>
      <c r="C52" s="1198"/>
      <c r="D52" s="1171"/>
      <c r="E52" s="1199" t="s">
        <v>1403</v>
      </c>
      <c r="F52" s="1274"/>
      <c r="I52" s="1902" t="s">
        <v>1537</v>
      </c>
      <c r="J52" s="1903">
        <v>0.09</v>
      </c>
      <c r="K52" s="1902" t="s">
        <v>1538</v>
      </c>
      <c r="L52" s="1903"/>
      <c r="O52" s="1893" t="s">
        <v>1042</v>
      </c>
      <c r="P52" s="1884" t="s">
        <v>1539</v>
      </c>
      <c r="Q52" s="1885">
        <f ca="1">J53</f>
        <v>31.46</v>
      </c>
      <c r="R52" s="1885" t="s">
        <v>1540</v>
      </c>
    </row>
    <row r="53" spans="1:18" s="1841" customFormat="1" ht="36.6" thickBot="1">
      <c r="A53" s="1404" t="s">
        <v>1134</v>
      </c>
      <c r="B53" s="1830" t="s">
        <v>1404</v>
      </c>
      <c r="C53" s="361">
        <f ca="1">ROUND(IF(F53="押一",C49/12*F11,IF(F53="押二",C49/12*2*F11,IF(F53="押三",C49/12*3*F11,C54*F11))),0)</f>
        <v>0</v>
      </c>
      <c r="D53" s="1823" t="s">
        <v>3034</v>
      </c>
      <c r="E53" s="358" t="s">
        <v>1405</v>
      </c>
      <c r="F53" s="1365"/>
      <c r="I53" s="1904" t="s">
        <v>1541</v>
      </c>
      <c r="J53" s="2949">
        <f ca="1">IF(M47="住宅",IF(D1="——",MAX(J51,L48),MAX(J51,L48-'数据-取费表'!B24)),IF(D1="——",MIN(J51,L48),MIN(J51,L48-'数据-取费表'!B24)))</f>
        <v>31.46</v>
      </c>
      <c r="K53" s="3219" t="s">
        <v>1542</v>
      </c>
      <c r="L53" s="3220"/>
      <c r="O53" s="1883" t="s">
        <v>1043</v>
      </c>
      <c r="P53" s="1884" t="s">
        <v>1543</v>
      </c>
      <c r="Q53" s="1885">
        <f ca="1">Q47+Q48</f>
        <v>3868</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1072</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5">
        <v>2</v>
      </c>
      <c r="B56" s="1176" t="s">
        <v>1408</v>
      </c>
      <c r="C56" s="276">
        <f ca="1">C13</f>
        <v>544</v>
      </c>
      <c r="D56" s="1912"/>
      <c r="E56" s="1913"/>
      <c r="F56" s="1905"/>
      <c r="I56" s="1914" t="s">
        <v>1548</v>
      </c>
      <c r="J56" s="1915" t="s">
        <v>3095</v>
      </c>
      <c r="K56" s="1886" t="s">
        <v>1549</v>
      </c>
      <c r="L56" s="1889" t="str">
        <f ca="1">IF(L48&lt;J51,"——",L48-J53)</f>
        <v>——</v>
      </c>
      <c r="O56" s="1883" t="s">
        <v>1037</v>
      </c>
      <c r="P56" s="1884" t="s">
        <v>1522</v>
      </c>
      <c r="Q56" s="1885">
        <f ca="1">C40+J29</f>
        <v>3868</v>
      </c>
      <c r="R56" s="1885" t="s">
        <v>1523</v>
      </c>
    </row>
    <row r="57" spans="1:18" s="1841" customFormat="1" ht="24.6" thickBot="1">
      <c r="A57" s="1916"/>
      <c r="B57" s="1168" t="s">
        <v>1472</v>
      </c>
      <c r="C57" s="282">
        <f ca="1">C29</f>
        <v>591</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6" thickBot="1">
      <c r="A58" s="360" t="s">
        <v>1027</v>
      </c>
      <c r="B58" s="1176" t="s">
        <v>1418</v>
      </c>
      <c r="C58" s="361">
        <f ca="1">ROUND(C59+C64+C65+C66,0)</f>
        <v>60</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6" thickBot="1">
      <c r="A59" s="1200" t="s">
        <v>1032</v>
      </c>
      <c r="B59" s="1168" t="s">
        <v>1423</v>
      </c>
      <c r="C59" s="24">
        <f ca="1">ROUND(IF(项目基本情况!B11="自然人",C48*F59,C60+C61+C62),1)</f>
        <v>50</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IF(项目基本情况!B11="自然人","——",IF(D61="按租金收入计税",ROUND(C48*F61,2),IF(D61="按房产原值计税",ROUND(C57*F61*0.7,2),INDIRECT("'数据-取费表'!Aj"&amp;$G$1))))</f>
        <v>49.64</v>
      </c>
      <c r="D61" s="1827" t="s">
        <v>1432</v>
      </c>
      <c r="E61" s="1168" t="s">
        <v>1488</v>
      </c>
      <c r="F61" s="367">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8" thickBot="1">
      <c r="A62" s="1200" t="s">
        <v>1489</v>
      </c>
      <c r="B62" s="1167" t="s">
        <v>1490</v>
      </c>
      <c r="C62" s="25">
        <f ca="1">IF(项目基本情况!B11="自然人","——",ROUND(F62*F63/10000,2))</f>
        <v>0.37</v>
      </c>
      <c r="D62" s="1183" t="s">
        <v>1491</v>
      </c>
      <c r="E62" s="1168" t="s">
        <v>1492</v>
      </c>
      <c r="F62" s="371">
        <f t="shared" si="0"/>
        <v>3</v>
      </c>
      <c r="I62" s="1927" t="s">
        <v>1564</v>
      </c>
      <c r="J62" s="1928" t="s">
        <v>1565</v>
      </c>
      <c r="K62" s="1928" t="s">
        <v>1566</v>
      </c>
      <c r="L62" s="1928" t="s">
        <v>1567</v>
      </c>
      <c r="M62" s="1929" t="s">
        <v>1568</v>
      </c>
      <c r="O62" s="1883" t="s">
        <v>1043</v>
      </c>
      <c r="P62" s="1884" t="s">
        <v>1569</v>
      </c>
      <c r="Q62" s="1885">
        <f ca="1">Q56+Q57</f>
        <v>3868</v>
      </c>
      <c r="R62" s="1885" t="s">
        <v>1044</v>
      </c>
    </row>
    <row r="63" spans="1:18" s="1841" customFormat="1" ht="13.8" thickBot="1">
      <c r="A63" s="372"/>
      <c r="B63" s="1174"/>
      <c r="C63" s="29"/>
      <c r="D63" s="1184"/>
      <c r="E63" s="1168" t="s">
        <v>1493</v>
      </c>
      <c r="F63" s="348">
        <f t="shared" ca="1" si="0"/>
        <v>1227.98</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ROUND(C57*F64,1)</f>
        <v>8.9</v>
      </c>
      <c r="D64" s="1182" t="s">
        <v>1496</v>
      </c>
      <c r="E64" s="1168"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ROUND(C56*F65,1)</f>
        <v>0.8</v>
      </c>
      <c r="D65" s="1182" t="s">
        <v>1448</v>
      </c>
      <c r="E65" s="1168" t="s">
        <v>1449</v>
      </c>
      <c r="F65" s="376">
        <f t="shared" ca="1" si="0"/>
        <v>1.5E-3</v>
      </c>
      <c r="I65" s="1927" t="s">
        <v>1573</v>
      </c>
      <c r="J65" s="1928">
        <v>40</v>
      </c>
      <c r="K65" s="1928">
        <v>30</v>
      </c>
      <c r="L65" s="1928">
        <v>50</v>
      </c>
      <c r="M65" s="1930">
        <v>0.02</v>
      </c>
      <c r="O65" s="1883" t="s">
        <v>1037</v>
      </c>
      <c r="P65" s="1884" t="s">
        <v>1574</v>
      </c>
      <c r="Q65" s="1885">
        <f ca="1">C40+J29</f>
        <v>3868</v>
      </c>
      <c r="R65" s="1885" t="s">
        <v>1523</v>
      </c>
    </row>
    <row r="66" spans="1:18" s="1841" customFormat="1" ht="16.2" thickBot="1">
      <c r="A66" s="1200" t="s">
        <v>1498</v>
      </c>
      <c r="B66" s="1168" t="s">
        <v>1433</v>
      </c>
      <c r="C66" s="24">
        <f ca="1">ROUND(C48*F66,1)</f>
        <v>0</v>
      </c>
      <c r="D66" s="1182" t="s">
        <v>1499</v>
      </c>
      <c r="E66" s="1168" t="s">
        <v>1416</v>
      </c>
      <c r="F66" s="357">
        <f t="shared" ca="1" si="0"/>
        <v>0.01</v>
      </c>
      <c r="O66" s="1883" t="s">
        <v>1038</v>
      </c>
      <c r="P66" s="1884" t="s">
        <v>1552</v>
      </c>
      <c r="Q66" s="1885">
        <f ca="1">L60</f>
        <v>0</v>
      </c>
      <c r="R66" s="1885" t="s">
        <v>1575</v>
      </c>
    </row>
    <row r="67" spans="1:18" s="1841" customFormat="1" ht="24.6" thickBot="1">
      <c r="A67" s="1175" t="s">
        <v>1028</v>
      </c>
      <c r="B67" s="1185" t="s">
        <v>1457</v>
      </c>
      <c r="C67" s="361">
        <f ca="1">C48-C58</f>
        <v>-60</v>
      </c>
      <c r="D67" s="1181" t="s">
        <v>1458</v>
      </c>
      <c r="E67" s="1186"/>
      <c r="F67" s="1187"/>
      <c r="O67" s="1893" t="s">
        <v>1039</v>
      </c>
      <c r="P67" s="1884" t="s">
        <v>1556</v>
      </c>
      <c r="Q67" s="1931">
        <f ca="1">L51</f>
        <v>1958</v>
      </c>
      <c r="R67" s="1885" t="s">
        <v>1576</v>
      </c>
    </row>
    <row r="68" spans="1:18" s="1841" customFormat="1" ht="16.2" thickBot="1">
      <c r="A68" s="1165" t="s">
        <v>1029</v>
      </c>
      <c r="B68" s="1166" t="s">
        <v>1479</v>
      </c>
      <c r="C68" s="346">
        <f ca="1">ROUND(C67*(1-((1+F70)/(1+F68))^F69)/(F68-F70),0)</f>
        <v>-888</v>
      </c>
      <c r="D68" s="1183" t="s">
        <v>1463</v>
      </c>
      <c r="E68" s="1168" t="s">
        <v>1464</v>
      </c>
      <c r="F68" s="357">
        <f ca="1">F40</f>
        <v>5.5E-2</v>
      </c>
      <c r="O68" s="1893" t="s">
        <v>1040</v>
      </c>
      <c r="P68" s="1932" t="s">
        <v>1577</v>
      </c>
      <c r="Q68" s="1885">
        <f ca="1">ROUND(Q69-Q70*Q71,0)</f>
        <v>125</v>
      </c>
      <c r="R68" s="1885" t="s">
        <v>1048</v>
      </c>
    </row>
    <row r="69" spans="1:18" s="1841" customFormat="1" ht="13.8" thickBot="1">
      <c r="A69" s="1169"/>
      <c r="B69" s="1170"/>
      <c r="C69" s="351"/>
      <c r="D69" s="1188" t="s">
        <v>1467</v>
      </c>
      <c r="E69" s="1168" t="s">
        <v>1468</v>
      </c>
      <c r="F69" s="379">
        <f ca="1">F41</f>
        <v>31.46</v>
      </c>
      <c r="O69" s="1893" t="s">
        <v>1045</v>
      </c>
      <c r="P69" s="1932" t="s">
        <v>1578</v>
      </c>
      <c r="Q69" s="1885">
        <f ca="1">C39</f>
        <v>171</v>
      </c>
      <c r="R69" s="1885" t="s">
        <v>1523</v>
      </c>
    </row>
    <row r="70" spans="1:18" s="1841" customFormat="1" ht="13.8" thickBot="1">
      <c r="A70" s="1172"/>
      <c r="B70" s="1173"/>
      <c r="C70" s="355"/>
      <c r="D70" s="1184"/>
      <c r="E70" s="1168" t="s">
        <v>1471</v>
      </c>
      <c r="F70" s="1274"/>
      <c r="O70" s="1893" t="s">
        <v>1046</v>
      </c>
      <c r="P70" s="1932" t="s">
        <v>1579</v>
      </c>
      <c r="Q70" s="1885">
        <f ca="1">C13</f>
        <v>544</v>
      </c>
      <c r="R70" s="1885" t="s">
        <v>1523</v>
      </c>
    </row>
    <row r="71" spans="1:18" s="1841" customFormat="1" ht="13.8" thickBot="1">
      <c r="A71" s="1189" t="s">
        <v>1030</v>
      </c>
      <c r="B71" s="1190" t="s">
        <v>1481</v>
      </c>
      <c r="C71" s="382">
        <f ca="1">ROUND(C68*10000/F71,0)</f>
        <v>-6625</v>
      </c>
      <c r="D71" s="1191" t="s">
        <v>1482</v>
      </c>
      <c r="E71" s="1192" t="s">
        <v>1483</v>
      </c>
      <c r="F71" s="385">
        <f ca="1">F43</f>
        <v>1340.42</v>
      </c>
      <c r="O71" s="1893" t="s">
        <v>1047</v>
      </c>
      <c r="P71" s="1932" t="s">
        <v>1580</v>
      </c>
      <c r="Q71" s="1896">
        <f ca="1">C76</f>
        <v>8.5000000000000006E-2</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7" t="s">
        <v>1581</v>
      </c>
      <c r="C74" s="1934"/>
      <c r="D74" s="1841"/>
      <c r="E74" s="1841"/>
      <c r="F74" s="1841"/>
      <c r="O74" s="1893" t="s">
        <v>1049</v>
      </c>
      <c r="P74" s="1884" t="str">
        <f>K59</f>
        <v>建筑物剩余耐用年限下的土地年期修正系数Kn</v>
      </c>
      <c r="Q74" s="1885" t="e">
        <f ca="1">L59</f>
        <v>#DIV/0!</v>
      </c>
      <c r="R74" s="1885" t="s">
        <v>1563</v>
      </c>
    </row>
    <row r="75" spans="1:18" ht="13.8" thickBot="1">
      <c r="A75" s="1841"/>
      <c r="B75" s="386" t="s">
        <v>1500</v>
      </c>
      <c r="C75" s="387">
        <f ca="1">ROUND(C13*C76,0)</f>
        <v>46</v>
      </c>
      <c r="D75" s="1841"/>
      <c r="E75" s="1841"/>
      <c r="F75" s="1841"/>
      <c r="K75" s="1867"/>
      <c r="L75" s="1841"/>
      <c r="O75" s="1883" t="s">
        <v>1043</v>
      </c>
      <c r="P75" s="1884" t="s">
        <v>1543</v>
      </c>
      <c r="Q75" s="1885">
        <f ca="1">Q65+Q66</f>
        <v>3868</v>
      </c>
      <c r="R75" s="1885" t="s">
        <v>1044</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0.73099999999999998</v>
      </c>
    </row>
    <row r="80" spans="1:18">
      <c r="B80" s="386" t="s">
        <v>1505</v>
      </c>
      <c r="C80" s="318">
        <f ca="1">ROUND(C75/C39,3)</f>
        <v>0.26900000000000002</v>
      </c>
    </row>
    <row r="81" spans="2:3">
      <c r="B81" s="314" t="s">
        <v>1506</v>
      </c>
      <c r="C81" s="282"/>
    </row>
    <row r="82" spans="2:3">
      <c r="B82" s="317" t="s">
        <v>1507</v>
      </c>
      <c r="C82" s="319">
        <f ca="1">1-C83</f>
        <v>0.85899999999999999</v>
      </c>
    </row>
    <row r="83" spans="2:3">
      <c r="B83" s="317" t="s">
        <v>1508</v>
      </c>
      <c r="C83" s="318">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1"/>
      <c r="C1" s="1836"/>
      <c r="D1" s="1819"/>
      <c r="E1" s="1820" t="s">
        <v>1382</v>
      </c>
      <c r="F1" s="1282">
        <f ca="1">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1032</v>
      </c>
      <c r="B6" s="3221" t="s">
        <v>1398</v>
      </c>
      <c r="C6" s="1295">
        <f ca="1">ROUND(F6*F8*F7*(1-F9),0)</f>
        <v>0</v>
      </c>
      <c r="D6" s="164" t="s">
        <v>3023</v>
      </c>
      <c r="E6" s="347" t="s">
        <v>1400</v>
      </c>
      <c r="F6" s="348">
        <f ca="1">INDIRECT("'数据-取费表'!u"&amp;$G$1)</f>
        <v>0</v>
      </c>
      <c r="G6" s="1850"/>
      <c r="H6" s="1290" t="s">
        <v>1032</v>
      </c>
      <c r="I6" s="3221" t="s">
        <v>1398</v>
      </c>
      <c r="J6" s="346">
        <f ca="1">ROUND(M6*M8*M7*(1-M9),0)</f>
        <v>0</v>
      </c>
      <c r="K6" s="1833" t="s">
        <v>3024</v>
      </c>
      <c r="L6" s="347" t="s">
        <v>1400</v>
      </c>
      <c r="M6" s="348">
        <f ca="1">INDIRECT("'数据-取费表'!z"&amp;$G$1)</f>
        <v>0</v>
      </c>
    </row>
    <row r="7" spans="1:37" ht="18" customHeight="1">
      <c r="A7" s="1294"/>
      <c r="B7" s="3222"/>
      <c r="C7" s="1296"/>
      <c r="D7" s="352"/>
      <c r="E7" s="1297" t="s">
        <v>1401</v>
      </c>
      <c r="F7" s="348">
        <f ca="1">IF(INDIRECT("'数据-取费表'!ah"&amp;$G$1)="",INDIRECT("'数据-取费表'!k"&amp;$G$1),INDIRECT("'数据-取费表'!ah"&amp;$G$1))</f>
        <v>0</v>
      </c>
      <c r="G7" s="1850"/>
      <c r="H7" s="349"/>
      <c r="I7" s="3222"/>
      <c r="J7" s="351"/>
      <c r="K7" s="352"/>
      <c r="L7" s="347" t="s">
        <v>1401</v>
      </c>
      <c r="M7" s="348">
        <f ca="1">F7</f>
        <v>0</v>
      </c>
    </row>
    <row r="8" spans="1:37" ht="18" customHeight="1">
      <c r="A8" s="349"/>
      <c r="B8" s="3222"/>
      <c r="C8" s="351"/>
      <c r="D8" s="352"/>
      <c r="E8" s="347" t="s">
        <v>1402</v>
      </c>
      <c r="F8" s="348">
        <f ca="1">INDIRECT("'数据-取费表'!ai"&amp;$G$1)</f>
        <v>0</v>
      </c>
      <c r="G8" s="1850"/>
      <c r="H8" s="349"/>
      <c r="I8" s="3222"/>
      <c r="J8" s="351"/>
      <c r="K8" s="352"/>
      <c r="L8" s="347" t="s">
        <v>1402</v>
      </c>
      <c r="M8" s="348">
        <f ca="1">INDIRECT("'数据-取费表'!ai"&amp;$G$1)</f>
        <v>0</v>
      </c>
    </row>
    <row r="9" spans="1:37" ht="18" customHeight="1">
      <c r="A9" s="349"/>
      <c r="B9" s="3223"/>
      <c r="C9" s="351"/>
      <c r="D9" s="352"/>
      <c r="E9" s="347" t="s">
        <v>1403</v>
      </c>
      <c r="F9" s="357">
        <f ca="1">INDIRECT("'数据-取费表'!w"&amp;$G$1)</f>
        <v>0</v>
      </c>
      <c r="G9" s="1850"/>
      <c r="H9" s="349"/>
      <c r="I9" s="3223"/>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3034</v>
      </c>
      <c r="E10" s="358" t="s">
        <v>1405</v>
      </c>
      <c r="F10" s="1365"/>
      <c r="G10" s="1850"/>
      <c r="H10" s="1290" t="s">
        <v>1036</v>
      </c>
      <c r="I10" s="1822" t="s">
        <v>1404</v>
      </c>
      <c r="J10" s="346">
        <f ca="1">ROUND(IF(M10="押一",J6/12*M11,IF(M10="押二",J6/12*2*M11,IF(M10="押三",J6/12*3*M11,J11*M11))),0)</f>
        <v>0</v>
      </c>
      <c r="K10" s="1834" t="s">
        <v>3036</v>
      </c>
      <c r="L10" s="358" t="s">
        <v>1405</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7" t="s">
        <v>1411</v>
      </c>
      <c r="C14" s="363">
        <f ca="1">ROUND(INDIRECT("'数据-取费表'!l"&amp;$G$1)*F43+'数据-取费表'!L14*INDIRECT("'数据-取费表'!S"&amp;$G$1),0)</f>
        <v>0</v>
      </c>
      <c r="D14" s="1799" t="s">
        <v>1412</v>
      </c>
      <c r="E14" s="1793"/>
      <c r="F14" s="364"/>
      <c r="G14" s="1850"/>
      <c r="H14" s="1200" t="s">
        <v>1032</v>
      </c>
      <c r="I14" s="347" t="s">
        <v>1413</v>
      </c>
      <c r="J14" s="24">
        <f ca="1">C29</f>
        <v>0</v>
      </c>
      <c r="K14" s="15"/>
      <c r="L14" s="978"/>
      <c r="M14" s="979"/>
    </row>
    <row r="15" spans="1:37" s="1857" customFormat="1" ht="18" customHeight="1" thickBot="1">
      <c r="A15" s="1200" t="s">
        <v>1033</v>
      </c>
      <c r="B15" s="347" t="s">
        <v>1414</v>
      </c>
      <c r="C15" s="24">
        <f ca="1">ROUND(C14*F15,0)</f>
        <v>0</v>
      </c>
      <c r="D15" s="365" t="s">
        <v>1415</v>
      </c>
      <c r="E15" s="365" t="s">
        <v>1416</v>
      </c>
      <c r="F15" s="366">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ROUND(INDIRECT("'数据-取费表'!l"&amp;$G$1)*F43*F16,0)</f>
        <v>0</v>
      </c>
      <c r="D16" s="347" t="s">
        <v>1415</v>
      </c>
      <c r="E16" s="347" t="s">
        <v>1416</v>
      </c>
      <c r="F16" s="367">
        <f ca="1">IF(INDIRECT("'数据-取费表'!c"&amp;$G$1)="住宅",'数据-取费表'!B34,0)</f>
        <v>0</v>
      </c>
      <c r="G16" s="1850"/>
      <c r="H16" s="1328" t="s">
        <v>1027</v>
      </c>
      <c r="I16" s="1329" t="s">
        <v>1418</v>
      </c>
      <c r="J16" s="355">
        <f ca="1">ROUND(J17+J22+J23+J24,0)</f>
        <v>0</v>
      </c>
      <c r="K16" s="1336" t="s">
        <v>1419</v>
      </c>
      <c r="L16" s="1337"/>
      <c r="M16" s="1293"/>
    </row>
    <row r="17" spans="1:37" s="1857" customFormat="1" ht="18" customHeight="1">
      <c r="A17" s="1200" t="s">
        <v>1385</v>
      </c>
      <c r="B17" s="347" t="s">
        <v>1420</v>
      </c>
      <c r="C17" s="24">
        <f ca="1">ROUND(F17*(F43+INDIRECT("'数据-取费表'!S"&amp;$G$1)),0)</f>
        <v>0</v>
      </c>
      <c r="D17" s="347" t="s">
        <v>1421</v>
      </c>
      <c r="E17" s="347" t="s">
        <v>1422</v>
      </c>
      <c r="F17" s="26">
        <f>'数据-取费表'!B35</f>
        <v>200</v>
      </c>
      <c r="G17" s="1853"/>
      <c r="H17" s="1200" t="s">
        <v>1032</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0</v>
      </c>
      <c r="D18" s="347" t="s">
        <v>1415</v>
      </c>
      <c r="E18" s="347" t="s">
        <v>1416</v>
      </c>
      <c r="F18" s="367">
        <f>'数据-取费表'!B36</f>
        <v>1.4999999999999999E-2</v>
      </c>
      <c r="G18" s="1853"/>
      <c r="H18" s="1200" t="s">
        <v>1031</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0</v>
      </c>
      <c r="D19" s="140" t="s">
        <v>1430</v>
      </c>
      <c r="E19" s="1817"/>
      <c r="F19" s="26"/>
      <c r="G19" s="1850"/>
      <c r="H19" s="1200" t="s">
        <v>1033</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1036</v>
      </c>
      <c r="B20" s="347" t="s">
        <v>1433</v>
      </c>
      <c r="C20" s="24">
        <f ca="1">ROUND(C19*F20,0)</f>
        <v>0</v>
      </c>
      <c r="D20" s="369" t="s">
        <v>1434</v>
      </c>
      <c r="E20" s="347" t="s">
        <v>1416</v>
      </c>
      <c r="F20" s="367">
        <f>'数据-取费表'!B37</f>
        <v>0.02</v>
      </c>
      <c r="G20" s="1853"/>
      <c r="H20" s="1200" t="s">
        <v>1384</v>
      </c>
      <c r="I20" s="164" t="s">
        <v>1435</v>
      </c>
      <c r="J20" s="25">
        <f ca="1">ROUND(M20*M21,0)</f>
        <v>0</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ROUND(J14*M22,0)</f>
        <v>0</v>
      </c>
      <c r="K22" s="1797" t="s">
        <v>1444</v>
      </c>
      <c r="L22" s="347" t="s">
        <v>1416</v>
      </c>
      <c r="M22" s="374">
        <f ca="1">INDIRECT("'数据-取费表'!Ak"&amp;$G$1)</f>
        <v>0</v>
      </c>
    </row>
    <row r="23" spans="1:37" s="1857" customFormat="1" ht="18" customHeight="1">
      <c r="A23" s="1200"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1028</v>
      </c>
      <c r="I25" s="1343" t="s">
        <v>1457</v>
      </c>
      <c r="J25" s="355">
        <f ca="1">J5-J16</f>
        <v>0</v>
      </c>
      <c r="K25" s="1344" t="s">
        <v>1458</v>
      </c>
      <c r="L25" s="1345"/>
      <c r="M25" s="1346"/>
    </row>
    <row r="26" spans="1:37" ht="18" customHeight="1">
      <c r="A26" s="1200" t="s">
        <v>1031</v>
      </c>
      <c r="B26" s="347" t="s">
        <v>1459</v>
      </c>
      <c r="C26" s="24">
        <f ca="1">ROUND((C19+C20)*F26,0)</f>
        <v>0</v>
      </c>
      <c r="D26" s="369" t="s">
        <v>1460</v>
      </c>
      <c r="E26" s="358" t="s">
        <v>1461</v>
      </c>
      <c r="F26" s="357">
        <f ca="1">INDIRECT("'数据-取费表'!q"&amp;$G$1)</f>
        <v>0</v>
      </c>
      <c r="G26" s="1850"/>
      <c r="H26" s="344" t="s">
        <v>1029</v>
      </c>
      <c r="I26" s="345" t="s">
        <v>1462</v>
      </c>
      <c r="J26" s="346">
        <f ca="1">IF(J5&lt;&gt;0,ROUND(J25*(1-((1+M28)/(1+M26))^M27)/(M26-M28),0),0)</f>
        <v>0</v>
      </c>
      <c r="K26" s="370" t="s">
        <v>1463</v>
      </c>
      <c r="L26" s="347" t="s">
        <v>1464</v>
      </c>
      <c r="M26" s="357">
        <f ca="1">INDIRECT("'数据-取费表'!I"&amp;$G$1)</f>
        <v>0</v>
      </c>
    </row>
    <row r="27" spans="1:37" ht="18" customHeight="1">
      <c r="A27" s="1200" t="s">
        <v>1033</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80" t="s">
        <v>1030</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0</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1384</v>
      </c>
      <c r="B34" s="164" t="s">
        <v>1435</v>
      </c>
      <c r="C34" s="25">
        <f ca="1">IF(项目基本情况!B11="自然人","——",ROUND(F34*F35,))</f>
        <v>0</v>
      </c>
      <c r="D34" s="370" t="s">
        <v>1436</v>
      </c>
      <c r="E34" s="347" t="s">
        <v>1437</v>
      </c>
      <c r="F34" s="371">
        <f>'数据-取费表'!B52</f>
        <v>3</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1036</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1072</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5">
        <f ca="1">C5-C30</f>
        <v>0</v>
      </c>
      <c r="D39" s="1344" t="s">
        <v>1478</v>
      </c>
      <c r="E39" s="1345"/>
      <c r="F39" s="1346"/>
      <c r="G39" s="1850"/>
      <c r="H39" s="1858"/>
      <c r="I39" s="1859"/>
      <c r="J39" s="1860"/>
      <c r="K39" s="1864"/>
      <c r="L39" s="1858"/>
      <c r="M39" s="1858"/>
    </row>
    <row r="40" spans="1:18" ht="18" customHeight="1">
      <c r="A40" s="344" t="s">
        <v>1029</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8"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40.200000000000003" thickBot="1">
      <c r="A48" s="1359" t="s">
        <v>1132</v>
      </c>
      <c r="B48" s="345"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8"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8"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8" thickBot="1">
      <c r="A51" s="1195"/>
      <c r="B51" s="1197"/>
      <c r="C51" s="1198"/>
      <c r="D51" s="1171"/>
      <c r="E51" s="1199" t="s">
        <v>1402</v>
      </c>
      <c r="F51" s="348">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8"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9" t="s">
        <v>1404</v>
      </c>
      <c r="C53" s="361">
        <f ca="1">ROUND(IF(F53="押一",C49/12*F11,IF(F53="押二",C49/12*2*F11,IF(F53="押三",C49/12*3*F11,C54*F11))),0)</f>
        <v>0</v>
      </c>
      <c r="D53" s="1823" t="s">
        <v>3037</v>
      </c>
      <c r="E53" s="358" t="s">
        <v>1405</v>
      </c>
      <c r="F53" s="1365"/>
      <c r="I53" s="1904" t="s">
        <v>1541</v>
      </c>
      <c r="J53" s="2949">
        <f ca="1">IF(M47="住宅",IF(D1="——",MAX(J51,L48),MAX(J51,L48-'数据-取费表'!B24)),IF(D1="——",MIN(J51,L48),MIN(J51,L48-'数据-取费表'!B24)))</f>
        <v>0</v>
      </c>
      <c r="K53" s="3219" t="s">
        <v>1542</v>
      </c>
      <c r="L53" s="3220"/>
      <c r="O53" s="1883" t="s">
        <v>1043</v>
      </c>
      <c r="P53" s="1884" t="s">
        <v>1543</v>
      </c>
      <c r="Q53" s="1885" t="e">
        <f ca="1">Q47+Q48</f>
        <v>#DIV/0!</v>
      </c>
      <c r="R53" s="1885" t="s">
        <v>1044</v>
      </c>
    </row>
    <row r="54" spans="1:18" s="1841" customFormat="1" ht="13.8"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1037</v>
      </c>
      <c r="P56" s="1884" t="s">
        <v>1522</v>
      </c>
      <c r="Q56" s="1885" t="e">
        <f ca="1">C40+J29</f>
        <v>#DIV/0!</v>
      </c>
      <c r="R56" s="1885" t="s">
        <v>1523</v>
      </c>
    </row>
    <row r="57" spans="1:18" s="1841" customFormat="1" ht="24.6"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6" thickBot="1">
      <c r="A58" s="360" t="s">
        <v>1027</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1039</v>
      </c>
      <c r="P58" s="1884" t="s">
        <v>1556</v>
      </c>
      <c r="Q58" s="1885">
        <f>IF(L55="比较法",L49,IF(L55="基准地价",L50,0))</f>
        <v>0</v>
      </c>
      <c r="R58" s="1885" t="s">
        <v>1523</v>
      </c>
    </row>
    <row r="59" spans="1:18" s="1841" customFormat="1" ht="24.6" thickBot="1">
      <c r="A59" s="1200" t="s">
        <v>1032</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1041</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1042</v>
      </c>
      <c r="P61" s="1884" t="str">
        <f>K59</f>
        <v>建设期及建筑物耐用年限下的土地年期修正系数Kn</v>
      </c>
      <c r="Q61" s="1885" t="e">
        <f ca="1">L59</f>
        <v>#DIV/0!</v>
      </c>
      <c r="R61" s="1885" t="s">
        <v>1563</v>
      </c>
    </row>
    <row r="62" spans="1:18" s="1841" customFormat="1" ht="13.8" thickBot="1">
      <c r="A62" s="1200" t="s">
        <v>1489</v>
      </c>
      <c r="B62" s="1167" t="s">
        <v>1490</v>
      </c>
      <c r="C62" s="25">
        <f ca="1">IF(项目基本情况!B11="自然人","——",ROUND(F62*F63,0))</f>
        <v>0</v>
      </c>
      <c r="D62" s="1183" t="s">
        <v>1491</v>
      </c>
      <c r="E62" s="1168" t="s">
        <v>1492</v>
      </c>
      <c r="F62" s="371">
        <f t="shared" si="0"/>
        <v>3</v>
      </c>
      <c r="I62" s="1927" t="s">
        <v>1564</v>
      </c>
      <c r="J62" s="1928" t="s">
        <v>1565</v>
      </c>
      <c r="K62" s="1928" t="s">
        <v>1566</v>
      </c>
      <c r="L62" s="1928" t="s">
        <v>1567</v>
      </c>
      <c r="M62" s="1929" t="s">
        <v>1568</v>
      </c>
      <c r="O62" s="1883" t="s">
        <v>1043</v>
      </c>
      <c r="P62" s="1884" t="s">
        <v>1569</v>
      </c>
      <c r="Q62" s="1885" t="e">
        <f ca="1">Q56+Q57</f>
        <v>#DIV/0!</v>
      </c>
      <c r="R62" s="1885" t="s">
        <v>1044</v>
      </c>
    </row>
    <row r="63" spans="1:18" s="1841" customFormat="1" ht="13.8"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1037</v>
      </c>
      <c r="P65" s="1884" t="s">
        <v>1574</v>
      </c>
      <c r="Q65" s="1885" t="e">
        <f ca="1">C40+J29</f>
        <v>#DIV/0!</v>
      </c>
      <c r="R65" s="1885" t="s">
        <v>1523</v>
      </c>
    </row>
    <row r="66" spans="1:18" s="1841" customFormat="1" ht="16.2" thickBot="1">
      <c r="A66" s="1200" t="s">
        <v>1498</v>
      </c>
      <c r="B66" s="1168" t="s">
        <v>1433</v>
      </c>
      <c r="C66" s="24">
        <f ca="1">ROUND(C48*F66,0)</f>
        <v>0</v>
      </c>
      <c r="D66" s="1182" t="s">
        <v>1499</v>
      </c>
      <c r="E66" s="1168" t="s">
        <v>1416</v>
      </c>
      <c r="F66" s="357">
        <f t="shared" ca="1" si="0"/>
        <v>0</v>
      </c>
      <c r="O66" s="1883" t="s">
        <v>1038</v>
      </c>
      <c r="P66" s="1884" t="s">
        <v>1552</v>
      </c>
      <c r="Q66" s="1885" t="e">
        <f ca="1">L60</f>
        <v>#DIV/0!</v>
      </c>
      <c r="R66" s="1885" t="s">
        <v>1575</v>
      </c>
    </row>
    <row r="67" spans="1:18" s="1841" customFormat="1" ht="24.6" thickBot="1">
      <c r="A67" s="1175" t="s">
        <v>1028</v>
      </c>
      <c r="B67" s="1185" t="s">
        <v>1457</v>
      </c>
      <c r="C67" s="361">
        <f ca="1">C48-C58</f>
        <v>0</v>
      </c>
      <c r="D67" s="1181" t="s">
        <v>1458</v>
      </c>
      <c r="E67" s="1186"/>
      <c r="F67" s="1187"/>
      <c r="O67" s="1893" t="s">
        <v>1039</v>
      </c>
      <c r="P67" s="1884" t="s">
        <v>1556</v>
      </c>
      <c r="Q67" s="1931">
        <f ca="1">L51</f>
        <v>0</v>
      </c>
      <c r="R67" s="1885" t="s">
        <v>1576</v>
      </c>
    </row>
    <row r="68" spans="1:18" s="1841" customFormat="1" ht="16.2" thickBot="1">
      <c r="A68" s="1165" t="s">
        <v>1029</v>
      </c>
      <c r="B68" s="1166" t="s">
        <v>1479</v>
      </c>
      <c r="C68" s="346" t="e">
        <f ca="1">ROUND(C67*(1-((1+F70)/(1+F68))^F69)/(F68-F70),0)</f>
        <v>#DIV/0!</v>
      </c>
      <c r="D68" s="1183" t="s">
        <v>1463</v>
      </c>
      <c r="E68" s="1168" t="s">
        <v>1464</v>
      </c>
      <c r="F68" s="357">
        <f ca="1">F40</f>
        <v>0</v>
      </c>
      <c r="O68" s="1893" t="s">
        <v>1040</v>
      </c>
      <c r="P68" s="1932" t="s">
        <v>1577</v>
      </c>
      <c r="Q68" s="1885">
        <f ca="1">ROUND(Q69-Q70*Q71,0)</f>
        <v>0</v>
      </c>
      <c r="R68" s="1885" t="s">
        <v>1048</v>
      </c>
    </row>
    <row r="69" spans="1:18" s="1841" customFormat="1" ht="13.8" thickBot="1">
      <c r="A69" s="1169"/>
      <c r="B69" s="1170"/>
      <c r="C69" s="351"/>
      <c r="D69" s="1188" t="s">
        <v>1467</v>
      </c>
      <c r="E69" s="1168" t="s">
        <v>1468</v>
      </c>
      <c r="F69" s="379">
        <f ca="1">F41</f>
        <v>0</v>
      </c>
      <c r="O69" s="1893" t="s">
        <v>1045</v>
      </c>
      <c r="P69" s="1932" t="s">
        <v>1578</v>
      </c>
      <c r="Q69" s="1885">
        <f ca="1">C39</f>
        <v>0</v>
      </c>
      <c r="R69" s="1885" t="s">
        <v>1523</v>
      </c>
    </row>
    <row r="70" spans="1:18" s="1841" customFormat="1" ht="13.8" thickBot="1">
      <c r="A70" s="1172"/>
      <c r="B70" s="1173"/>
      <c r="C70" s="355"/>
      <c r="D70" s="1184"/>
      <c r="E70" s="1168" t="s">
        <v>1471</v>
      </c>
      <c r="F70" s="1274">
        <f ca="1">F42</f>
        <v>0</v>
      </c>
      <c r="O70" s="1893" t="s">
        <v>1046</v>
      </c>
      <c r="P70" s="1932" t="s">
        <v>1579</v>
      </c>
      <c r="Q70" s="1885">
        <f ca="1">C13</f>
        <v>0</v>
      </c>
      <c r="R70" s="1885" t="s">
        <v>1523</v>
      </c>
    </row>
    <row r="71" spans="1:18" s="1841" customFormat="1" ht="13.8" thickBot="1">
      <c r="A71" s="1189" t="s">
        <v>1030</v>
      </c>
      <c r="B71" s="1190" t="s">
        <v>1481</v>
      </c>
      <c r="C71" s="382" t="e">
        <f ca="1">ROUND(C68/F71,0)</f>
        <v>#DIV/0!</v>
      </c>
      <c r="D71" s="1191" t="s">
        <v>1482</v>
      </c>
      <c r="E71" s="1192" t="s">
        <v>1483</v>
      </c>
      <c r="F71" s="385">
        <f ca="1">F43</f>
        <v>0</v>
      </c>
      <c r="O71" s="1893" t="s">
        <v>1047</v>
      </c>
      <c r="P71" s="1932" t="s">
        <v>1580</v>
      </c>
      <c r="Q71" s="1896">
        <f ca="1">C76</f>
        <v>0</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7" t="s">
        <v>1581</v>
      </c>
      <c r="C74" s="1934"/>
      <c r="D74" s="1841"/>
      <c r="E74" s="1841"/>
      <c r="F74" s="1841"/>
      <c r="O74" s="1893" t="s">
        <v>1049</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1043</v>
      </c>
      <c r="P75" s="1884" t="s">
        <v>1543</v>
      </c>
      <c r="Q75" s="1885" t="e">
        <f ca="1">Q65+Q66</f>
        <v>#DIV/0!</v>
      </c>
      <c r="R75" s="1885" t="s">
        <v>1044</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4.4"/>
  <cols>
    <col min="1" max="1" width="10.44140625" customWidth="1"/>
    <col min="2" max="2" width="12.88671875" customWidth="1"/>
    <col min="3" max="3" width="8.77734375" customWidth="1"/>
  </cols>
  <sheetData>
    <row r="1" spans="1:9" ht="15.6">
      <c r="A1" s="3224" t="s">
        <v>1073</v>
      </c>
      <c r="B1" s="3225"/>
      <c r="C1" s="3226"/>
      <c r="D1" s="3227">
        <f>SUM(I10,I15,I20,I21,I23)</f>
        <v>0</v>
      </c>
      <c r="E1" s="3227"/>
      <c r="F1" s="3227"/>
      <c r="G1" s="3227"/>
      <c r="H1" s="3227"/>
      <c r="I1" s="3228"/>
    </row>
    <row r="2" spans="1:9">
      <c r="A2" s="3229" t="s">
        <v>1074</v>
      </c>
      <c r="B2" s="3230" t="s">
        <v>1075</v>
      </c>
      <c r="C2" s="3230"/>
      <c r="D2" s="1300" t="s">
        <v>1076</v>
      </c>
      <c r="E2" s="1300" t="s">
        <v>1077</v>
      </c>
      <c r="F2" s="1300" t="s">
        <v>1078</v>
      </c>
      <c r="G2" s="1300" t="s">
        <v>1079</v>
      </c>
      <c r="H2" s="1300" t="s">
        <v>1080</v>
      </c>
      <c r="I2" s="1301" t="s">
        <v>1081</v>
      </c>
    </row>
    <row r="3" spans="1:9">
      <c r="A3" s="3229"/>
      <c r="B3" s="3230" t="s">
        <v>1082</v>
      </c>
      <c r="C3" s="3230"/>
      <c r="D3" s="1302"/>
      <c r="E3" s="1300"/>
      <c r="F3" s="1303"/>
      <c r="G3" s="1303"/>
      <c r="H3" s="1304"/>
      <c r="I3" s="1305">
        <f>ROUND(D3*E3*F3*G3*H3/10000,0)</f>
        <v>0</v>
      </c>
    </row>
    <row r="4" spans="1:9">
      <c r="A4" s="3229"/>
      <c r="B4" s="3230" t="s">
        <v>1083</v>
      </c>
      <c r="C4" s="3230"/>
      <c r="D4" s="1302"/>
      <c r="E4" s="1300"/>
      <c r="F4" s="1303"/>
      <c r="G4" s="1303"/>
      <c r="H4" s="1304"/>
      <c r="I4" s="1305">
        <f t="shared" ref="I4:I9" si="0">ROUND(D4*E4*F4*G4*H4/10000,0)</f>
        <v>0</v>
      </c>
    </row>
    <row r="5" spans="1:9">
      <c r="A5" s="3229"/>
      <c r="B5" s="3230" t="s">
        <v>1084</v>
      </c>
      <c r="C5" s="3230"/>
      <c r="D5" s="1302"/>
      <c r="E5" s="1300"/>
      <c r="F5" s="1303"/>
      <c r="G5" s="1303"/>
      <c r="H5" s="1304"/>
      <c r="I5" s="1305">
        <f t="shared" si="0"/>
        <v>0</v>
      </c>
    </row>
    <row r="6" spans="1:9">
      <c r="A6" s="3229"/>
      <c r="B6" s="3230" t="s">
        <v>1085</v>
      </c>
      <c r="C6" s="3230"/>
      <c r="D6" s="1302"/>
      <c r="E6" s="1300"/>
      <c r="F6" s="1303"/>
      <c r="G6" s="1303"/>
      <c r="H6" s="1304"/>
      <c r="I6" s="1305">
        <f t="shared" si="0"/>
        <v>0</v>
      </c>
    </row>
    <row r="7" spans="1:9">
      <c r="A7" s="3229"/>
      <c r="B7" s="3230" t="s">
        <v>1086</v>
      </c>
      <c r="C7" s="3230"/>
      <c r="D7" s="1302"/>
      <c r="E7" s="1300"/>
      <c r="F7" s="1303"/>
      <c r="G7" s="1303"/>
      <c r="H7" s="1304"/>
      <c r="I7" s="1305">
        <f t="shared" si="0"/>
        <v>0</v>
      </c>
    </row>
    <row r="8" spans="1:9">
      <c r="A8" s="3229"/>
      <c r="B8" s="3230" t="s">
        <v>1087</v>
      </c>
      <c r="C8" s="3230"/>
      <c r="D8" s="1302"/>
      <c r="E8" s="1300"/>
      <c r="F8" s="1303"/>
      <c r="G8" s="1303"/>
      <c r="H8" s="1304"/>
      <c r="I8" s="1305">
        <f t="shared" si="0"/>
        <v>0</v>
      </c>
    </row>
    <row r="9" spans="1:9">
      <c r="A9" s="3229"/>
      <c r="B9" s="3230" t="s">
        <v>1088</v>
      </c>
      <c r="C9" s="3230"/>
      <c r="D9" s="1302"/>
      <c r="E9" s="1300"/>
      <c r="F9" s="1303"/>
      <c r="G9" s="1303"/>
      <c r="H9" s="1304"/>
      <c r="I9" s="1305">
        <f t="shared" si="0"/>
        <v>0</v>
      </c>
    </row>
    <row r="10" spans="1:9">
      <c r="A10" s="3229"/>
      <c r="B10" s="3231" t="s">
        <v>1089</v>
      </c>
      <c r="C10" s="3231"/>
      <c r="D10" s="1306"/>
      <c r="E10" s="1306" t="e">
        <f>ROUND(D1*10000/D10/H9,0)</f>
        <v>#DIV/0!</v>
      </c>
      <c r="F10" s="1307"/>
      <c r="G10" s="1307"/>
      <c r="H10" s="1308"/>
      <c r="I10" s="1309">
        <f>SUM(I3:I9)</f>
        <v>0</v>
      </c>
    </row>
    <row r="11" spans="1:9" ht="15.6">
      <c r="A11" s="3229" t="s">
        <v>1090</v>
      </c>
      <c r="B11" s="3230" t="s">
        <v>1091</v>
      </c>
      <c r="C11" s="3230"/>
      <c r="D11" s="1302" t="s">
        <v>1092</v>
      </c>
      <c r="E11" s="1302" t="s">
        <v>1093</v>
      </c>
      <c r="F11" s="1303" t="s">
        <v>1094</v>
      </c>
      <c r="G11" s="1303" t="s">
        <v>1080</v>
      </c>
      <c r="H11" s="1310" t="s">
        <v>1095</v>
      </c>
      <c r="I11" s="1301" t="s">
        <v>1081</v>
      </c>
    </row>
    <row r="12" spans="1:9">
      <c r="A12" s="3229"/>
      <c r="B12" s="3230" t="s">
        <v>1096</v>
      </c>
      <c r="C12" s="3230"/>
      <c r="D12" s="1302"/>
      <c r="E12" s="1302"/>
      <c r="F12" s="1303"/>
      <c r="G12" s="1304"/>
      <c r="H12" s="1311"/>
      <c r="I12" s="1301">
        <f>ROUND(D12*E12*F12*G12/10000,0)</f>
        <v>0</v>
      </c>
    </row>
    <row r="13" spans="1:9">
      <c r="A13" s="3229"/>
      <c r="B13" s="3230" t="s">
        <v>1097</v>
      </c>
      <c r="C13" s="3230"/>
      <c r="D13" s="1302"/>
      <c r="E13" s="1302"/>
      <c r="F13" s="1303"/>
      <c r="G13" s="1304"/>
      <c r="H13" s="1311"/>
      <c r="I13" s="1301">
        <f>ROUND(D13*E13*F13*G13/10000,0)</f>
        <v>0</v>
      </c>
    </row>
    <row r="14" spans="1:9">
      <c r="A14" s="3229"/>
      <c r="B14" s="3230" t="s">
        <v>1098</v>
      </c>
      <c r="C14" s="3230"/>
      <c r="D14" s="1302"/>
      <c r="E14" s="1302"/>
      <c r="F14" s="1303"/>
      <c r="G14" s="1304"/>
      <c r="H14" s="1311"/>
      <c r="I14" s="1301">
        <f>ROUND(D14*E14*F14*G14/10000,0)</f>
        <v>0</v>
      </c>
    </row>
    <row r="15" spans="1:9">
      <c r="A15" s="3229"/>
      <c r="B15" s="3231" t="s">
        <v>1089</v>
      </c>
      <c r="C15" s="3231"/>
      <c r="D15" s="1306"/>
      <c r="E15" s="1306">
        <f>SUM(E12:E14)</f>
        <v>0</v>
      </c>
      <c r="F15" s="1307"/>
      <c r="G15" s="1304"/>
      <c r="H15" s="1311"/>
      <c r="I15" s="1312">
        <f>SUM(I12:I14)</f>
        <v>0</v>
      </c>
    </row>
    <row r="16" spans="1:9" ht="24">
      <c r="A16" s="3229" t="s">
        <v>1099</v>
      </c>
      <c r="B16" s="3230" t="s">
        <v>1100</v>
      </c>
      <c r="C16" s="3230"/>
      <c r="D16" s="1302" t="s">
        <v>1076</v>
      </c>
      <c r="E16" s="1313" t="s">
        <v>1101</v>
      </c>
      <c r="F16" s="1303" t="s">
        <v>1102</v>
      </c>
      <c r="G16" s="1304" t="s">
        <v>1080</v>
      </c>
      <c r="H16" s="1310" t="s">
        <v>1095</v>
      </c>
      <c r="I16" s="1301" t="s">
        <v>1081</v>
      </c>
    </row>
    <row r="17" spans="1:9" ht="15.6">
      <c r="A17" s="3229"/>
      <c r="B17" s="3230" t="s">
        <v>1103</v>
      </c>
      <c r="C17" s="3230"/>
      <c r="D17" s="1302"/>
      <c r="E17" s="1302"/>
      <c r="F17" s="1303"/>
      <c r="G17" s="1304"/>
      <c r="H17" s="1314"/>
      <c r="I17" s="1315">
        <f>ROUND(D17*E17*F17*G17/10000,0)</f>
        <v>0</v>
      </c>
    </row>
    <row r="18" spans="1:9" ht="15.6">
      <c r="A18" s="3229"/>
      <c r="B18" s="3230" t="s">
        <v>1104</v>
      </c>
      <c r="C18" s="3230"/>
      <c r="D18" s="1302"/>
      <c r="E18" s="1302"/>
      <c r="F18" s="1303"/>
      <c r="G18" s="1304"/>
      <c r="H18" s="1314"/>
      <c r="I18" s="1315">
        <f>ROUND(D18*E18*F18*G18/10000,0)</f>
        <v>0</v>
      </c>
    </row>
    <row r="19" spans="1:9" ht="15.6">
      <c r="A19" s="3229"/>
      <c r="B19" s="3230" t="s">
        <v>1105</v>
      </c>
      <c r="C19" s="3230"/>
      <c r="D19" s="1302"/>
      <c r="E19" s="1302"/>
      <c r="F19" s="1303"/>
      <c r="G19" s="1304"/>
      <c r="H19" s="1314"/>
      <c r="I19" s="1315">
        <f>ROUND(D19*E19*F19*G19/10000,0)</f>
        <v>0</v>
      </c>
    </row>
    <row r="20" spans="1:9">
      <c r="A20" s="3229"/>
      <c r="B20" s="3231" t="s">
        <v>1089</v>
      </c>
      <c r="C20" s="3231"/>
      <c r="D20" s="1306">
        <f>SUM(D17:D19)</f>
        <v>0</v>
      </c>
      <c r="E20" s="1306"/>
      <c r="F20" s="1307"/>
      <c r="G20" s="1304"/>
      <c r="H20" s="1311"/>
      <c r="I20" s="1312">
        <f>SUM(I17:I19)</f>
        <v>0</v>
      </c>
    </row>
    <row r="21" spans="1:9">
      <c r="A21" s="3229" t="s">
        <v>1106</v>
      </c>
      <c r="B21" s="3233"/>
      <c r="C21" s="3233"/>
      <c r="D21" s="3233"/>
      <c r="E21" s="3233"/>
      <c r="F21" s="3233"/>
      <c r="G21" s="3233"/>
      <c r="H21" s="1764">
        <v>0.1</v>
      </c>
      <c r="I21" s="1309">
        <f>ROUND(I10*H21,0)</f>
        <v>0</v>
      </c>
    </row>
    <row r="22" spans="1:9" ht="15.6">
      <c r="A22" s="3234" t="s">
        <v>1107</v>
      </c>
      <c r="B22" s="3235"/>
      <c r="C22" s="3236"/>
      <c r="D22" s="1316" t="s">
        <v>1108</v>
      </c>
      <c r="E22" s="1316" t="s">
        <v>1109</v>
      </c>
      <c r="F22" s="1317" t="s">
        <v>1110</v>
      </c>
      <c r="G22" s="1317" t="s">
        <v>1111</v>
      </c>
      <c r="H22" s="1310" t="s">
        <v>1112</v>
      </c>
      <c r="I22" s="1301" t="s">
        <v>1113</v>
      </c>
    </row>
    <row r="23" spans="1:9" ht="15" thickBot="1">
      <c r="A23" s="3237"/>
      <c r="B23" s="3238"/>
      <c r="C23" s="3239"/>
      <c r="D23" s="1318"/>
      <c r="E23" s="1318"/>
      <c r="F23" s="1318"/>
      <c r="G23" s="1319"/>
      <c r="H23" s="1320"/>
      <c r="I23" s="1321">
        <f>ROUND(E23*D23*F23*(1-G23)/10000,0)</f>
        <v>0</v>
      </c>
    </row>
    <row r="26" spans="1:9">
      <c r="A26" s="1322" t="s">
        <v>1114</v>
      </c>
      <c r="B26" s="1322"/>
      <c r="C26" s="1322"/>
      <c r="D26" s="1322"/>
      <c r="E26" s="3240">
        <f>C27-C30-C31-C32</f>
        <v>0</v>
      </c>
      <c r="F26" s="3240"/>
      <c r="G26" s="3240"/>
      <c r="H26" s="1736" t="s">
        <v>1336</v>
      </c>
    </row>
    <row r="27" spans="1:9">
      <c r="A27" s="1323">
        <v>1</v>
      </c>
      <c r="B27" s="1324" t="s">
        <v>1115</v>
      </c>
      <c r="C27" s="1324">
        <f>C28+C29</f>
        <v>0</v>
      </c>
      <c r="D27" s="1324"/>
      <c r="E27" s="3241"/>
      <c r="F27" s="3241"/>
      <c r="G27" s="3241"/>
    </row>
    <row r="28" spans="1:9">
      <c r="A28" s="1325" t="s">
        <v>1116</v>
      </c>
      <c r="B28" s="1324" t="s">
        <v>1117</v>
      </c>
      <c r="C28" s="1324"/>
      <c r="D28" s="1324"/>
      <c r="E28" s="3241"/>
      <c r="F28" s="3241"/>
      <c r="G28" s="324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2"/>
      <c r="F32" s="3232"/>
      <c r="G32" s="3232"/>
    </row>
    <row r="33" spans="1:7" hidden="1">
      <c r="A33" s="3242" t="s">
        <v>1126</v>
      </c>
      <c r="B33" s="3243"/>
      <c r="C33" s="3243"/>
      <c r="D33" s="3244"/>
      <c r="E33" s="3240"/>
      <c r="F33" s="3240"/>
      <c r="G33" s="3240"/>
    </row>
    <row r="34" spans="1:7" hidden="1">
      <c r="A34" s="1327">
        <v>1</v>
      </c>
      <c r="B34" s="1324" t="s">
        <v>1127</v>
      </c>
      <c r="C34" s="1324"/>
      <c r="D34" s="1324"/>
      <c r="E34" s="3241"/>
      <c r="F34" s="3241"/>
      <c r="G34" s="3241"/>
    </row>
    <row r="35" spans="1:7" hidden="1">
      <c r="A35" s="1327">
        <v>2</v>
      </c>
      <c r="B35" s="1324" t="s">
        <v>1128</v>
      </c>
      <c r="C35" s="1324"/>
      <c r="D35" s="1324"/>
      <c r="E35" s="3241"/>
      <c r="F35" s="3241"/>
      <c r="G35" s="3241"/>
    </row>
    <row r="36" spans="1:7" hidden="1">
      <c r="A36" s="1327">
        <v>3</v>
      </c>
      <c r="B36" s="1324" t="s">
        <v>1129</v>
      </c>
      <c r="C36" s="1324"/>
      <c r="D36" s="1324"/>
      <c r="E36" s="3241"/>
      <c r="F36" s="3241"/>
      <c r="G36" s="3241"/>
    </row>
    <row r="37" spans="1:7" hidden="1">
      <c r="A37" s="1327">
        <v>4</v>
      </c>
      <c r="B37" s="1324" t="s">
        <v>1130</v>
      </c>
      <c r="C37" s="1324"/>
      <c r="D37" s="1324"/>
      <c r="E37" s="3241"/>
      <c r="F37" s="3241"/>
      <c r="G37" s="3241"/>
    </row>
    <row r="38" spans="1:7" hidden="1">
      <c r="A38" s="3242" t="s">
        <v>1131</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5"/>
      <c r="D2" s="1364" t="e">
        <f ca="1">SUMIF(INDIRECT("'"&amp;F2&amp;"'"&amp;"!A:A"),"承租人权益价值",INDIRECT("'"&amp;F2&amp;"'"&amp;"!c:c"))</f>
        <v>#REF!</v>
      </c>
      <c r="E2" s="2586" t="s">
        <v>2529</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4376.09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4.4">
      <c r="A4" s="401" t="s">
        <v>2531</v>
      </c>
      <c r="B4" s="402"/>
      <c r="C4" s="3263" t="s">
        <v>2532</v>
      </c>
      <c r="D4" s="3264"/>
      <c r="E4" s="3265" t="s">
        <v>2533</v>
      </c>
      <c r="F4" s="3266"/>
      <c r="G4" s="3263" t="s">
        <v>2534</v>
      </c>
      <c r="H4" s="3264"/>
      <c r="I4" s="3263" t="s">
        <v>2535</v>
      </c>
      <c r="J4" s="3264"/>
      <c r="K4" s="2595" t="s">
        <v>2536</v>
      </c>
      <c r="L4" s="1129"/>
      <c r="M4" s="1130"/>
      <c r="N4" s="1130"/>
      <c r="O4" s="1130"/>
      <c r="P4" s="3267" t="s">
        <v>2537</v>
      </c>
      <c r="Q4" s="3268"/>
      <c r="R4" s="3250" t="s">
        <v>2533</v>
      </c>
      <c r="S4" s="3251"/>
      <c r="T4" s="3250" t="s">
        <v>2534</v>
      </c>
      <c r="U4" s="3251"/>
      <c r="V4" s="3275" t="s">
        <v>2535</v>
      </c>
      <c r="W4" s="3275"/>
      <c r="X4" s="1812"/>
      <c r="Y4" s="3250" t="s">
        <v>2537</v>
      </c>
      <c r="Z4" s="3251"/>
      <c r="AA4" s="3245" t="s">
        <v>2533</v>
      </c>
      <c r="AB4" s="3245" t="s">
        <v>2534</v>
      </c>
      <c r="AC4" s="3245" t="s">
        <v>2535</v>
      </c>
    </row>
    <row r="5" spans="1:29">
      <c r="A5" s="404"/>
      <c r="B5" s="405"/>
      <c r="C5" s="3256" t="s">
        <v>2538</v>
      </c>
      <c r="D5" s="3257"/>
      <c r="E5" s="3254" t="s">
        <v>2539</v>
      </c>
      <c r="F5" s="3255"/>
      <c r="G5" s="3256" t="s">
        <v>2540</v>
      </c>
      <c r="H5" s="3257"/>
      <c r="I5" s="3256" t="s">
        <v>2541</v>
      </c>
      <c r="J5" s="3257"/>
      <c r="K5" s="2596"/>
      <c r="L5" s="1129"/>
      <c r="M5" s="1130"/>
      <c r="N5" s="1130"/>
      <c r="O5" s="1130"/>
      <c r="P5" s="3269"/>
      <c r="Q5" s="3270"/>
      <c r="R5" s="3252"/>
      <c r="S5" s="3253"/>
      <c r="T5" s="3252"/>
      <c r="U5" s="3253"/>
      <c r="V5" s="3275"/>
      <c r="W5" s="3275"/>
      <c r="X5" s="1812"/>
      <c r="Y5" s="3252"/>
      <c r="Z5" s="3253"/>
      <c r="AA5" s="3246"/>
      <c r="AB5" s="3246"/>
      <c r="AC5" s="3246"/>
    </row>
    <row r="6" spans="1:29" ht="15" thickBot="1">
      <c r="A6" s="406"/>
      <c r="B6" s="407"/>
      <c r="C6" s="3258" t="s">
        <v>2542</v>
      </c>
      <c r="D6" s="3259"/>
      <c r="E6" s="3260" t="s">
        <v>2542</v>
      </c>
      <c r="F6" s="3261"/>
      <c r="G6" s="3258" t="s">
        <v>2542</v>
      </c>
      <c r="H6" s="3259"/>
      <c r="I6" s="3258" t="s">
        <v>2542</v>
      </c>
      <c r="J6" s="3259"/>
      <c r="K6" s="2596" t="s">
        <v>2543</v>
      </c>
      <c r="L6" s="1129"/>
      <c r="M6" s="1130"/>
      <c r="N6" s="1130"/>
      <c r="O6" s="1130"/>
      <c r="P6" s="3271"/>
      <c r="Q6" s="3272"/>
      <c r="R6" s="3252"/>
      <c r="S6" s="3253"/>
      <c r="T6" s="3273"/>
      <c r="U6" s="3274"/>
      <c r="V6" s="3275"/>
      <c r="W6" s="3275"/>
      <c r="X6" s="1812"/>
      <c r="Y6" s="3273"/>
      <c r="Z6" s="3274"/>
      <c r="AA6" s="3247"/>
      <c r="AB6" s="3247"/>
      <c r="AC6" s="3247"/>
    </row>
    <row r="7" spans="1:29" s="117" customFormat="1" ht="1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248" t="s">
        <v>2545</v>
      </c>
      <c r="Q7" s="3276"/>
      <c r="R7" s="769" t="s">
        <v>23</v>
      </c>
      <c r="S7" s="770">
        <f t="shared" ref="S7:S15" si="0">F7</f>
        <v>0</v>
      </c>
      <c r="T7" s="769" t="s">
        <v>23</v>
      </c>
      <c r="U7" s="770">
        <f t="shared" ref="U7:U15" si="1">H7</f>
        <v>0</v>
      </c>
      <c r="V7" s="769" t="s">
        <v>23</v>
      </c>
      <c r="W7" s="770">
        <f t="shared" ref="W7:W15" si="2">J7</f>
        <v>0</v>
      </c>
      <c r="X7" s="771"/>
      <c r="Y7" s="3248" t="s">
        <v>2545</v>
      </c>
      <c r="Z7" s="3249"/>
      <c r="AA7" s="772" t="e">
        <f>D7/F7</f>
        <v>#DIV/0!</v>
      </c>
      <c r="AB7" s="772" t="e">
        <f>D7/H7</f>
        <v>#DIV/0!</v>
      </c>
      <c r="AC7" s="772" t="e">
        <f>D7/J7</f>
        <v>#DIV/0!</v>
      </c>
    </row>
    <row r="8" spans="1:29" s="117" customFormat="1" ht="1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248" t="s">
        <v>2548</v>
      </c>
      <c r="Q8" s="3249"/>
      <c r="R8" s="769" t="s">
        <v>23</v>
      </c>
      <c r="S8" s="770">
        <f t="shared" si="0"/>
        <v>0</v>
      </c>
      <c r="T8" s="769" t="s">
        <v>23</v>
      </c>
      <c r="U8" s="770">
        <f t="shared" si="1"/>
        <v>0</v>
      </c>
      <c r="V8" s="769" t="s">
        <v>23</v>
      </c>
      <c r="W8" s="770">
        <f t="shared" si="2"/>
        <v>0</v>
      </c>
      <c r="X8" s="771"/>
      <c r="Y8" s="3248" t="s">
        <v>2548</v>
      </c>
      <c r="Z8" s="3249"/>
      <c r="AA8" s="772" t="e">
        <f t="shared" ref="AA8:AA19" si="3">D8/F8</f>
        <v>#DIV/0!</v>
      </c>
      <c r="AB8" s="772" t="e">
        <f t="shared" ref="AB8:AB19" si="4">D8/H8</f>
        <v>#DIV/0!</v>
      </c>
      <c r="AC8" s="772"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262"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772">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62"/>
      <c r="Q10" s="1794"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62"/>
      <c r="Q11" s="1794" t="str">
        <f t="shared" si="6"/>
        <v>容积率</v>
      </c>
      <c r="R11" s="769" t="s">
        <v>21</v>
      </c>
      <c r="S11" s="770" t="e">
        <f t="shared" si="0"/>
        <v>#N/A</v>
      </c>
      <c r="T11" s="769" t="s">
        <v>21</v>
      </c>
      <c r="U11" s="770" t="e">
        <f t="shared" si="1"/>
        <v>#N/A</v>
      </c>
      <c r="V11" s="769" t="s">
        <v>21</v>
      </c>
      <c r="W11" s="770" t="e">
        <f t="shared" si="2"/>
        <v>#N/A</v>
      </c>
      <c r="X11" s="771"/>
      <c r="Y11" s="3096"/>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262"/>
      <c r="Q12" s="1794">
        <f t="shared" si="6"/>
        <v>111</v>
      </c>
      <c r="R12" s="769" t="s">
        <v>21</v>
      </c>
      <c r="S12" s="770">
        <f t="shared" si="0"/>
        <v>100</v>
      </c>
      <c r="T12" s="769" t="s">
        <v>21</v>
      </c>
      <c r="U12" s="770">
        <f t="shared" si="1"/>
        <v>100</v>
      </c>
      <c r="V12" s="769" t="s">
        <v>21</v>
      </c>
      <c r="W12" s="770">
        <f t="shared" si="2"/>
        <v>100</v>
      </c>
      <c r="X12" s="771"/>
      <c r="Y12" s="3096"/>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262"/>
      <c r="Q13" s="1794">
        <f t="shared" si="6"/>
        <v>111</v>
      </c>
      <c r="R13" s="769" t="s">
        <v>21</v>
      </c>
      <c r="S13" s="770">
        <f t="shared" si="0"/>
        <v>100</v>
      </c>
      <c r="T13" s="769" t="s">
        <v>21</v>
      </c>
      <c r="U13" s="770">
        <f t="shared" si="1"/>
        <v>100</v>
      </c>
      <c r="V13" s="769" t="s">
        <v>21</v>
      </c>
      <c r="W13" s="770">
        <f t="shared" si="2"/>
        <v>100</v>
      </c>
      <c r="X13" s="771"/>
      <c r="Y13" s="3096"/>
      <c r="Z13" s="55">
        <f t="shared" si="7"/>
        <v>111</v>
      </c>
      <c r="AA13" s="772">
        <f t="shared" si="3"/>
        <v>1</v>
      </c>
      <c r="AB13" s="772">
        <f t="shared" si="4"/>
        <v>1</v>
      </c>
      <c r="AC13" s="772">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262"/>
      <c r="Q14" s="1794">
        <f t="shared" si="6"/>
        <v>111</v>
      </c>
      <c r="R14" s="769" t="s">
        <v>21</v>
      </c>
      <c r="S14" s="770">
        <f t="shared" si="0"/>
        <v>100</v>
      </c>
      <c r="T14" s="769" t="s">
        <v>21</v>
      </c>
      <c r="U14" s="770">
        <f t="shared" si="1"/>
        <v>100</v>
      </c>
      <c r="V14" s="769" t="s">
        <v>21</v>
      </c>
      <c r="W14" s="770">
        <f t="shared" si="2"/>
        <v>100</v>
      </c>
      <c r="X14" s="771"/>
      <c r="Y14" s="3096"/>
      <c r="Z14" s="55">
        <f t="shared" si="7"/>
        <v>111</v>
      </c>
      <c r="AA14" s="772">
        <f t="shared" si="3"/>
        <v>1</v>
      </c>
      <c r="AB14" s="772">
        <f t="shared" si="4"/>
        <v>1</v>
      </c>
      <c r="AC14" s="772">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89" t="s">
        <v>2556</v>
      </c>
      <c r="Q15" s="1809" t="str">
        <f t="shared" si="6"/>
        <v>居住社区成熟度</v>
      </c>
      <c r="R15" s="773" t="s">
        <v>21</v>
      </c>
      <c r="S15" s="774">
        <f t="shared" si="0"/>
        <v>100</v>
      </c>
      <c r="T15" s="773" t="s">
        <v>21</v>
      </c>
      <c r="U15" s="774">
        <f t="shared" si="1"/>
        <v>100</v>
      </c>
      <c r="V15" s="773" t="s">
        <v>21</v>
      </c>
      <c r="W15" s="774">
        <f t="shared" si="2"/>
        <v>100</v>
      </c>
      <c r="X15" s="1812"/>
      <c r="Y15" s="3282"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9"/>
      <c r="M16" s="1130"/>
      <c r="N16" s="1130"/>
      <c r="O16" s="1130"/>
      <c r="P16" s="3290"/>
      <c r="Q16" s="1809"/>
      <c r="R16" s="773"/>
      <c r="S16" s="774"/>
      <c r="T16" s="773"/>
      <c r="U16" s="774"/>
      <c r="V16" s="773"/>
      <c r="W16" s="774"/>
      <c r="X16" s="1812"/>
      <c r="Y16" s="3283"/>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90"/>
      <c r="Q17" s="1809" t="str">
        <f>B17</f>
        <v>交通便捷度</v>
      </c>
      <c r="R17" s="773" t="s">
        <v>21</v>
      </c>
      <c r="S17" s="774">
        <f>F17</f>
        <v>100</v>
      </c>
      <c r="T17" s="773" t="s">
        <v>21</v>
      </c>
      <c r="U17" s="774">
        <f>H17</f>
        <v>100</v>
      </c>
      <c r="V17" s="773" t="s">
        <v>21</v>
      </c>
      <c r="W17" s="774">
        <f>J17</f>
        <v>100</v>
      </c>
      <c r="X17" s="1812"/>
      <c r="Y17" s="328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9"/>
      <c r="M18" s="1130"/>
      <c r="N18" s="1130"/>
      <c r="O18" s="1130"/>
      <c r="P18" s="3290"/>
      <c r="Q18" s="1809"/>
      <c r="R18" s="773"/>
      <c r="S18" s="774"/>
      <c r="T18" s="773"/>
      <c r="U18" s="774"/>
      <c r="V18" s="773"/>
      <c r="W18" s="774"/>
      <c r="X18" s="1812"/>
      <c r="Y18" s="3283"/>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90"/>
      <c r="Q19" s="1809" t="str">
        <f>B19</f>
        <v>公共配套设施</v>
      </c>
      <c r="R19" s="773" t="s">
        <v>21</v>
      </c>
      <c r="S19" s="774">
        <f>F19</f>
        <v>100</v>
      </c>
      <c r="T19" s="773" t="s">
        <v>21</v>
      </c>
      <c r="U19" s="774">
        <f>H19</f>
        <v>100</v>
      </c>
      <c r="V19" s="773" t="s">
        <v>21</v>
      </c>
      <c r="W19" s="774">
        <f>J19</f>
        <v>100</v>
      </c>
      <c r="X19" s="1812"/>
      <c r="Y19" s="328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9"/>
      <c r="M20" s="1130"/>
      <c r="N20" s="1130"/>
      <c r="O20" s="1130"/>
      <c r="P20" s="3290"/>
      <c r="Q20" s="1809"/>
      <c r="R20" s="773"/>
      <c r="S20" s="774"/>
      <c r="T20" s="773"/>
      <c r="U20" s="774"/>
      <c r="V20" s="773"/>
      <c r="W20" s="774"/>
      <c r="X20" s="1812"/>
      <c r="Y20" s="3283"/>
      <c r="Z20" s="1813"/>
      <c r="AA20" s="1810">
        <v>1</v>
      </c>
      <c r="AB20" s="1810">
        <v>1</v>
      </c>
      <c r="AC20" s="1810">
        <v>1</v>
      </c>
    </row>
    <row r="21" spans="1:29" ht="15">
      <c r="A21" s="428"/>
      <c r="B21" s="1383"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90"/>
      <c r="Q21" s="1809" t="str">
        <f>B21</f>
        <v>基础设施水平</v>
      </c>
      <c r="R21" s="773" t="s">
        <v>17</v>
      </c>
      <c r="S21" s="774">
        <f>F21</f>
        <v>100</v>
      </c>
      <c r="T21" s="773" t="s">
        <v>17</v>
      </c>
      <c r="U21" s="774">
        <f>H21</f>
        <v>100</v>
      </c>
      <c r="V21" s="773" t="s">
        <v>17</v>
      </c>
      <c r="W21" s="774">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8"/>
      <c r="G22" s="2610"/>
      <c r="H22" s="448"/>
      <c r="I22" s="447"/>
      <c r="J22" s="448"/>
      <c r="K22" s="2611"/>
      <c r="L22" s="1139"/>
      <c r="M22" s="1130"/>
      <c r="N22" s="1130"/>
      <c r="O22" s="1130"/>
      <c r="P22" s="3290"/>
      <c r="Q22" s="1809"/>
      <c r="R22" s="773"/>
      <c r="S22" s="774"/>
      <c r="T22" s="773"/>
      <c r="U22" s="774"/>
      <c r="V22" s="773"/>
      <c r="W22" s="774"/>
      <c r="X22" s="1812"/>
      <c r="Y22" s="3283"/>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90"/>
      <c r="Q23" s="1809" t="str">
        <f>B23</f>
        <v>自然及人文环境</v>
      </c>
      <c r="R23" s="773" t="s">
        <v>21</v>
      </c>
      <c r="S23" s="774">
        <f>F23</f>
        <v>100</v>
      </c>
      <c r="T23" s="773" t="s">
        <v>21</v>
      </c>
      <c r="U23" s="774">
        <f>H23</f>
        <v>100</v>
      </c>
      <c r="V23" s="773" t="s">
        <v>21</v>
      </c>
      <c r="W23" s="774">
        <f>J23</f>
        <v>100</v>
      </c>
      <c r="X23" s="1812"/>
      <c r="Y23" s="328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9"/>
      <c r="M24" s="1130"/>
      <c r="N24" s="1130"/>
      <c r="O24" s="1130"/>
      <c r="P24" s="3290"/>
      <c r="Q24" s="1809"/>
      <c r="R24" s="773"/>
      <c r="S24" s="774"/>
      <c r="T24" s="773"/>
      <c r="U24" s="774"/>
      <c r="V24" s="773"/>
      <c r="W24" s="774"/>
      <c r="X24" s="1812"/>
      <c r="Y24" s="3283"/>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9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83"/>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90"/>
      <c r="Q26" s="1809" t="str">
        <f t="shared" si="11"/>
        <v>朝向</v>
      </c>
      <c r="R26" s="773" t="s">
        <v>21</v>
      </c>
      <c r="S26" s="774">
        <f t="shared" si="12"/>
        <v>100</v>
      </c>
      <c r="T26" s="773" t="s">
        <v>21</v>
      </c>
      <c r="U26" s="774">
        <f t="shared" si="13"/>
        <v>100</v>
      </c>
      <c r="V26" s="773" t="s">
        <v>21</v>
      </c>
      <c r="W26" s="774">
        <f t="shared" si="14"/>
        <v>100</v>
      </c>
      <c r="X26" s="1812"/>
      <c r="Y26" s="328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90"/>
      <c r="Q27" s="1794">
        <f t="shared" si="11"/>
        <v>111</v>
      </c>
      <c r="R27" s="769" t="s">
        <v>21</v>
      </c>
      <c r="S27" s="770">
        <f t="shared" si="12"/>
        <v>100</v>
      </c>
      <c r="T27" s="769" t="s">
        <v>21</v>
      </c>
      <c r="U27" s="770">
        <f t="shared" si="13"/>
        <v>100</v>
      </c>
      <c r="V27" s="769" t="s">
        <v>21</v>
      </c>
      <c r="W27" s="770">
        <f t="shared" si="14"/>
        <v>100</v>
      </c>
      <c r="X27" s="771"/>
      <c r="Y27" s="328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90"/>
      <c r="Q28" s="1809">
        <f t="shared" si="11"/>
        <v>111</v>
      </c>
      <c r="R28" s="773" t="s">
        <v>21</v>
      </c>
      <c r="S28" s="774">
        <f t="shared" si="12"/>
        <v>100</v>
      </c>
      <c r="T28" s="773" t="s">
        <v>21</v>
      </c>
      <c r="U28" s="774">
        <f t="shared" si="13"/>
        <v>100</v>
      </c>
      <c r="V28" s="773" t="s">
        <v>21</v>
      </c>
      <c r="W28" s="774">
        <f t="shared" si="14"/>
        <v>100</v>
      </c>
      <c r="X28" s="1812"/>
      <c r="Y28" s="328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90"/>
      <c r="Q29" s="1809">
        <f t="shared" si="11"/>
        <v>111</v>
      </c>
      <c r="R29" s="773" t="s">
        <v>21</v>
      </c>
      <c r="S29" s="774">
        <f t="shared" si="12"/>
        <v>100</v>
      </c>
      <c r="T29" s="773" t="s">
        <v>21</v>
      </c>
      <c r="U29" s="774">
        <f t="shared" si="13"/>
        <v>100</v>
      </c>
      <c r="V29" s="773" t="s">
        <v>21</v>
      </c>
      <c r="W29" s="774">
        <f t="shared" si="14"/>
        <v>100</v>
      </c>
      <c r="X29" s="1812"/>
      <c r="Y29" s="328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90"/>
      <c r="Q30" s="1809">
        <f t="shared" si="11"/>
        <v>111</v>
      </c>
      <c r="R30" s="773" t="s">
        <v>21</v>
      </c>
      <c r="S30" s="774">
        <f t="shared" si="12"/>
        <v>100</v>
      </c>
      <c r="T30" s="773" t="s">
        <v>21</v>
      </c>
      <c r="U30" s="774">
        <f t="shared" si="13"/>
        <v>100</v>
      </c>
      <c r="V30" s="773" t="s">
        <v>21</v>
      </c>
      <c r="W30" s="774">
        <f t="shared" si="14"/>
        <v>100</v>
      </c>
      <c r="X30" s="1812"/>
      <c r="Y30" s="3283"/>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90"/>
      <c r="Q31" s="1809">
        <f t="shared" si="11"/>
        <v>111</v>
      </c>
      <c r="R31" s="773" t="s">
        <v>21</v>
      </c>
      <c r="S31" s="774">
        <f t="shared" si="12"/>
        <v>100</v>
      </c>
      <c r="T31" s="773" t="s">
        <v>21</v>
      </c>
      <c r="U31" s="774">
        <f t="shared" si="13"/>
        <v>100</v>
      </c>
      <c r="V31" s="773" t="s">
        <v>21</v>
      </c>
      <c r="W31" s="774">
        <f t="shared" si="14"/>
        <v>100</v>
      </c>
      <c r="X31" s="1812"/>
      <c r="Y31" s="3283"/>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284" t="s">
        <v>2561</v>
      </c>
      <c r="Q32" s="1809" t="str">
        <f t="shared" si="11"/>
        <v>建筑类型</v>
      </c>
      <c r="R32" s="773" t="s">
        <v>21</v>
      </c>
      <c r="S32" s="774">
        <f t="shared" si="12"/>
        <v>100</v>
      </c>
      <c r="T32" s="773" t="s">
        <v>21</v>
      </c>
      <c r="U32" s="774">
        <f t="shared" si="13"/>
        <v>100</v>
      </c>
      <c r="V32" s="773" t="s">
        <v>21</v>
      </c>
      <c r="W32" s="774">
        <f t="shared" si="14"/>
        <v>100</v>
      </c>
      <c r="X32" s="1812"/>
      <c r="Y32" s="3287"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285"/>
      <c r="Q33" s="775" t="str">
        <f t="shared" si="11"/>
        <v>项目建筑规模</v>
      </c>
      <c r="R33" s="776" t="s">
        <v>21</v>
      </c>
      <c r="S33" s="777" t="e">
        <f t="shared" si="12"/>
        <v>#N/A</v>
      </c>
      <c r="T33" s="776" t="s">
        <v>21</v>
      </c>
      <c r="U33" s="777" t="e">
        <f t="shared" si="13"/>
        <v>#N/A</v>
      </c>
      <c r="V33" s="776" t="s">
        <v>21</v>
      </c>
      <c r="W33" s="777" t="e">
        <f t="shared" si="14"/>
        <v>#N/A</v>
      </c>
      <c r="X33" s="778"/>
      <c r="Y33" s="3287"/>
      <c r="Z33" s="779"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285"/>
      <c r="Q34" s="1809" t="str">
        <f t="shared" si="11"/>
        <v>建筑结构</v>
      </c>
      <c r="R34" s="773" t="s">
        <v>21</v>
      </c>
      <c r="S34" s="774">
        <f t="shared" si="12"/>
        <v>100</v>
      </c>
      <c r="T34" s="773" t="s">
        <v>21</v>
      </c>
      <c r="U34" s="774">
        <f t="shared" si="13"/>
        <v>100</v>
      </c>
      <c r="V34" s="773" t="s">
        <v>21</v>
      </c>
      <c r="W34" s="774">
        <f t="shared" si="14"/>
        <v>100</v>
      </c>
      <c r="X34" s="1812"/>
      <c r="Y34" s="3287"/>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285"/>
      <c r="Q35" s="1809" t="str">
        <f t="shared" si="11"/>
        <v>建筑品质</v>
      </c>
      <c r="R35" s="773" t="s">
        <v>21</v>
      </c>
      <c r="S35" s="774">
        <f t="shared" si="12"/>
        <v>100</v>
      </c>
      <c r="T35" s="773" t="s">
        <v>21</v>
      </c>
      <c r="U35" s="774">
        <f t="shared" si="13"/>
        <v>100</v>
      </c>
      <c r="V35" s="773" t="s">
        <v>21</v>
      </c>
      <c r="W35" s="774">
        <f t="shared" si="14"/>
        <v>100</v>
      </c>
      <c r="X35" s="1812"/>
      <c r="Y35" s="3287"/>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285"/>
      <c r="Q36" s="1809" t="str">
        <f t="shared" si="11"/>
        <v>公共部分装修</v>
      </c>
      <c r="R36" s="773" t="s">
        <v>21</v>
      </c>
      <c r="S36" s="774">
        <f t="shared" si="12"/>
        <v>100</v>
      </c>
      <c r="T36" s="773" t="s">
        <v>21</v>
      </c>
      <c r="U36" s="774">
        <f t="shared" si="13"/>
        <v>100</v>
      </c>
      <c r="V36" s="773" t="s">
        <v>21</v>
      </c>
      <c r="W36" s="774">
        <f t="shared" si="14"/>
        <v>100</v>
      </c>
      <c r="X36" s="1812"/>
      <c r="Y36" s="3287"/>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85"/>
      <c r="Q37" s="1794" t="str">
        <f t="shared" si="11"/>
        <v>成新度</v>
      </c>
      <c r="R37" s="769" t="s">
        <v>21</v>
      </c>
      <c r="S37" s="770" t="e">
        <f t="shared" si="12"/>
        <v>#N/A</v>
      </c>
      <c r="T37" s="769" t="s">
        <v>21</v>
      </c>
      <c r="U37" s="770" t="e">
        <f t="shared" si="13"/>
        <v>#N/A</v>
      </c>
      <c r="V37" s="769" t="s">
        <v>21</v>
      </c>
      <c r="W37" s="770" t="e">
        <f t="shared" si="14"/>
        <v>#N/A</v>
      </c>
      <c r="X37" s="771"/>
      <c r="Y37" s="3287"/>
      <c r="Z37" s="55" t="str">
        <f t="shared" si="18"/>
        <v>成新度</v>
      </c>
      <c r="AA37" s="772" t="e">
        <f t="shared" si="15"/>
        <v>#N/A</v>
      </c>
      <c r="AB37" s="772" t="e">
        <f t="shared" si="16"/>
        <v>#N/A</v>
      </c>
      <c r="AC37" s="772"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285" t="s">
        <v>2561</v>
      </c>
      <c r="Q38" s="1809" t="str">
        <f t="shared" si="11"/>
        <v>物业管理</v>
      </c>
      <c r="R38" s="773" t="s">
        <v>21</v>
      </c>
      <c r="S38" s="774">
        <f t="shared" si="12"/>
        <v>100</v>
      </c>
      <c r="T38" s="773" t="s">
        <v>21</v>
      </c>
      <c r="U38" s="774">
        <f t="shared" si="13"/>
        <v>100</v>
      </c>
      <c r="V38" s="773" t="s">
        <v>21</v>
      </c>
      <c r="W38" s="774">
        <f t="shared" si="14"/>
        <v>100</v>
      </c>
      <c r="X38" s="1812"/>
      <c r="Y38" s="3287"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285"/>
      <c r="Q39" s="1809" t="str">
        <f t="shared" si="11"/>
        <v>市政基础设施</v>
      </c>
      <c r="R39" s="773" t="s">
        <v>21</v>
      </c>
      <c r="S39" s="774">
        <f t="shared" si="12"/>
        <v>100</v>
      </c>
      <c r="T39" s="773" t="s">
        <v>21</v>
      </c>
      <c r="U39" s="774">
        <f t="shared" si="13"/>
        <v>100</v>
      </c>
      <c r="V39" s="773" t="s">
        <v>21</v>
      </c>
      <c r="W39" s="774">
        <f t="shared" si="14"/>
        <v>100</v>
      </c>
      <c r="X39" s="1812"/>
      <c r="Y39" s="3287"/>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85"/>
      <c r="Q40" s="1809" t="str">
        <f t="shared" si="11"/>
        <v>房型</v>
      </c>
      <c r="R40" s="773" t="s">
        <v>21</v>
      </c>
      <c r="S40" s="774">
        <f t="shared" si="12"/>
        <v>100</v>
      </c>
      <c r="T40" s="773" t="s">
        <v>21</v>
      </c>
      <c r="U40" s="774">
        <f t="shared" si="13"/>
        <v>100</v>
      </c>
      <c r="V40" s="773" t="s">
        <v>21</v>
      </c>
      <c r="W40" s="774">
        <f t="shared" si="14"/>
        <v>100</v>
      </c>
      <c r="X40" s="1812"/>
      <c r="Y40" s="3287"/>
      <c r="Z40" s="1813" t="str">
        <f t="shared" si="18"/>
        <v>房型</v>
      </c>
      <c r="AA40" s="1810">
        <f t="shared" si="15"/>
        <v>1</v>
      </c>
      <c r="AB40" s="1810">
        <f t="shared" si="16"/>
        <v>1</v>
      </c>
      <c r="AC40" s="1810">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85"/>
      <c r="Q41" s="775" t="str">
        <f t="shared" si="11"/>
        <v>单套/主力户型建筑面积</v>
      </c>
      <c r="R41" s="776" t="s">
        <v>21</v>
      </c>
      <c r="S41" s="777">
        <f t="shared" si="12"/>
        <v>100</v>
      </c>
      <c r="T41" s="776" t="s">
        <v>21</v>
      </c>
      <c r="U41" s="777">
        <f t="shared" si="13"/>
        <v>100</v>
      </c>
      <c r="V41" s="776" t="s">
        <v>21</v>
      </c>
      <c r="W41" s="777">
        <f t="shared" si="14"/>
        <v>100</v>
      </c>
      <c r="X41" s="778"/>
      <c r="Y41" s="3287"/>
      <c r="Z41" s="779"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285"/>
      <c r="Q42" s="1809" t="str">
        <f t="shared" si="11"/>
        <v>内部装修</v>
      </c>
      <c r="R42" s="773" t="s">
        <v>21</v>
      </c>
      <c r="S42" s="774">
        <f t="shared" si="12"/>
        <v>100</v>
      </c>
      <c r="T42" s="773" t="s">
        <v>21</v>
      </c>
      <c r="U42" s="774">
        <f t="shared" si="13"/>
        <v>100</v>
      </c>
      <c r="V42" s="773" t="s">
        <v>21</v>
      </c>
      <c r="W42" s="774">
        <f t="shared" si="14"/>
        <v>100</v>
      </c>
      <c r="X42" s="1812"/>
      <c r="Y42" s="3287"/>
      <c r="Z42" s="1813" t="str">
        <f t="shared" si="18"/>
        <v>内部装修</v>
      </c>
      <c r="AA42" s="1810">
        <f t="shared" si="15"/>
        <v>1</v>
      </c>
      <c r="AB42" s="1810">
        <f t="shared" si="16"/>
        <v>1</v>
      </c>
      <c r="AC42" s="1810">
        <f t="shared" si="17"/>
        <v>1</v>
      </c>
    </row>
    <row r="43" spans="1:29" ht="28.8">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285"/>
      <c r="Q43" s="1809" t="str">
        <f t="shared" si="11"/>
        <v>内部装修维护情况</v>
      </c>
      <c r="R43" s="773" t="s">
        <v>21</v>
      </c>
      <c r="S43" s="774">
        <f t="shared" si="12"/>
        <v>100</v>
      </c>
      <c r="T43" s="773" t="s">
        <v>21</v>
      </c>
      <c r="U43" s="774">
        <f t="shared" si="13"/>
        <v>100</v>
      </c>
      <c r="V43" s="773" t="s">
        <v>21</v>
      </c>
      <c r="W43" s="774">
        <f t="shared" si="14"/>
        <v>100</v>
      </c>
      <c r="X43" s="1812"/>
      <c r="Y43" s="328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85"/>
      <c r="Q44" s="1794">
        <f t="shared" si="11"/>
        <v>111</v>
      </c>
      <c r="R44" s="769" t="s">
        <v>21</v>
      </c>
      <c r="S44" s="770">
        <f t="shared" si="12"/>
        <v>100</v>
      </c>
      <c r="T44" s="769" t="s">
        <v>21</v>
      </c>
      <c r="U44" s="770">
        <f t="shared" si="13"/>
        <v>100</v>
      </c>
      <c r="V44" s="769" t="s">
        <v>21</v>
      </c>
      <c r="W44" s="770">
        <f t="shared" si="14"/>
        <v>100</v>
      </c>
      <c r="X44" s="771"/>
      <c r="Y44" s="3287"/>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85"/>
      <c r="Q45" s="1809">
        <f t="shared" si="11"/>
        <v>111</v>
      </c>
      <c r="R45" s="773" t="s">
        <v>21</v>
      </c>
      <c r="S45" s="774">
        <f t="shared" si="12"/>
        <v>100</v>
      </c>
      <c r="T45" s="773" t="s">
        <v>21</v>
      </c>
      <c r="U45" s="774">
        <f t="shared" si="13"/>
        <v>100</v>
      </c>
      <c r="V45" s="773" t="s">
        <v>21</v>
      </c>
      <c r="W45" s="774">
        <f t="shared" si="14"/>
        <v>100</v>
      </c>
      <c r="X45" s="1812"/>
      <c r="Y45" s="3287"/>
      <c r="Z45" s="1813">
        <f t="shared" si="18"/>
        <v>111</v>
      </c>
      <c r="AA45" s="1810">
        <f t="shared" si="15"/>
        <v>1</v>
      </c>
      <c r="AB45" s="1810">
        <f t="shared" si="16"/>
        <v>1</v>
      </c>
      <c r="AC45" s="1810">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86"/>
      <c r="Q46" s="1809">
        <f t="shared" si="11"/>
        <v>111</v>
      </c>
      <c r="R46" s="773" t="s">
        <v>20</v>
      </c>
      <c r="S46" s="774">
        <f t="shared" si="12"/>
        <v>100</v>
      </c>
      <c r="T46" s="773" t="s">
        <v>20</v>
      </c>
      <c r="U46" s="774">
        <f t="shared" si="13"/>
        <v>100</v>
      </c>
      <c r="V46" s="773" t="s">
        <v>20</v>
      </c>
      <c r="W46" s="774">
        <f t="shared" si="14"/>
        <v>100</v>
      </c>
      <c r="X46" s="1812"/>
      <c r="Y46" s="3288"/>
      <c r="Z46" s="1813">
        <f t="shared" si="18"/>
        <v>111</v>
      </c>
      <c r="AA46" s="1810">
        <f t="shared" si="15"/>
        <v>1</v>
      </c>
      <c r="AB46" s="1810">
        <f t="shared" si="16"/>
        <v>1</v>
      </c>
      <c r="AC46" s="1810">
        <f t="shared" si="17"/>
        <v>1</v>
      </c>
    </row>
    <row r="47" spans="1:29" ht="14.4">
      <c r="A47" s="479" t="s">
        <v>2573</v>
      </c>
      <c r="B47" s="480"/>
      <c r="C47" s="1406" t="s">
        <v>19</v>
      </c>
      <c r="D47" s="1407"/>
      <c r="E47" s="1408"/>
      <c r="F47" s="1409"/>
      <c r="G47" s="1410"/>
      <c r="H47" s="1411"/>
      <c r="I47" s="1408"/>
      <c r="J47" s="1411"/>
      <c r="K47" s="2620"/>
      <c r="L47" s="1142"/>
      <c r="M47" s="1143"/>
      <c r="N47" s="1130"/>
      <c r="O47" s="1143"/>
      <c r="P47" s="3280" t="str">
        <f>A47</f>
        <v>成交单价（元/平方米）</v>
      </c>
      <c r="Q47" s="3280"/>
      <c r="R47" s="3281">
        <f>E47</f>
        <v>0</v>
      </c>
      <c r="S47" s="3281"/>
      <c r="T47" s="3281">
        <f>G47</f>
        <v>0</v>
      </c>
      <c r="U47" s="3281"/>
      <c r="V47" s="3281">
        <f>I47</f>
        <v>0</v>
      </c>
      <c r="W47" s="3281"/>
      <c r="X47" s="758"/>
      <c r="Y47" s="780"/>
      <c r="Z47" s="758"/>
      <c r="AA47" s="758"/>
      <c r="AB47" s="758"/>
      <c r="AC47" s="758"/>
    </row>
    <row r="48" spans="1:29" ht="15" thickBot="1">
      <c r="A48" s="486" t="s">
        <v>2574</v>
      </c>
      <c r="B48" s="487"/>
      <c r="C48" s="1412" t="e">
        <f>R49</f>
        <v>#DIV/0!</v>
      </c>
      <c r="D48" s="1413"/>
      <c r="E48" s="1414" t="e">
        <f>R48</f>
        <v>#DIV/0!</v>
      </c>
      <c r="F48" s="1414"/>
      <c r="G48" s="1412" t="e">
        <f>T48</f>
        <v>#DIV/0!</v>
      </c>
      <c r="H48" s="1413"/>
      <c r="I48" s="1414" t="e">
        <f>V48</f>
        <v>#DIV/0!</v>
      </c>
      <c r="J48" s="1413"/>
      <c r="K48" s="2621"/>
      <c r="L48" s="1142"/>
      <c r="M48" s="1143"/>
      <c r="N48" s="1143"/>
      <c r="O48" s="1143"/>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8"/>
      <c r="Y48" s="758"/>
      <c r="Z48" s="758"/>
      <c r="AA48" s="758"/>
      <c r="AB48" s="758"/>
      <c r="AC48" s="758"/>
    </row>
    <row r="49" spans="1:29" ht="15" thickBot="1">
      <c r="A49" s="492" t="s">
        <v>2575</v>
      </c>
      <c r="B49" s="493"/>
      <c r="C49" s="1415" t="e">
        <f>R49</f>
        <v>#DIV/0!</v>
      </c>
      <c r="D49" s="1416"/>
      <c r="E49" s="1416"/>
      <c r="F49" s="1416"/>
      <c r="G49" s="1416"/>
      <c r="H49" s="1416"/>
      <c r="I49" s="1416"/>
      <c r="J49" s="1416"/>
      <c r="K49" s="2622"/>
      <c r="L49" s="1142"/>
      <c r="M49" s="1143"/>
      <c r="N49" s="1143"/>
      <c r="O49" s="1143"/>
      <c r="P49" s="3277" t="str">
        <f>A49</f>
        <v>估价对象XX用房的比较价值（楼面单价，元/平方米）</v>
      </c>
      <c r="Q49" s="3278"/>
      <c r="R49" s="3279" t="e">
        <f>IF(F1="售价",ROUND(AVERAGE(R48:V48),0),ROUND(AVERAGE(R48:V48),1))</f>
        <v>#DIV/0!</v>
      </c>
      <c r="S49" s="3279"/>
      <c r="T49" s="3279"/>
      <c r="U49" s="3279"/>
      <c r="V49" s="3279"/>
      <c r="W49" s="32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2.2" thickBot="1">
      <c r="A57" s="762" t="s">
        <v>2579</v>
      </c>
      <c r="B57" s="758"/>
      <c r="C57" s="763"/>
      <c r="D57" s="763"/>
      <c r="E57" s="763"/>
      <c r="F57" s="764"/>
      <c r="G57" s="764"/>
      <c r="H57" s="763"/>
      <c r="I57" s="763"/>
      <c r="J57" s="763"/>
      <c r="K57" s="1159"/>
      <c r="L57" s="1160"/>
      <c r="M57" s="1158"/>
      <c r="N57" s="1158"/>
      <c r="O57" s="1158"/>
      <c r="P57" s="2625"/>
      <c r="Q57" s="504"/>
    </row>
    <row r="58" spans="1:29" s="508" customFormat="1" ht="14.4">
      <c r="A58" s="505" t="s">
        <v>2580</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c r="A59" s="509"/>
      <c r="B59" s="2626"/>
      <c r="C59" s="1572">
        <v>100</v>
      </c>
      <c r="D59" s="511"/>
      <c r="E59" s="512"/>
      <c r="F59" s="512"/>
      <c r="G59" s="512"/>
      <c r="H59" s="512"/>
      <c r="I59" s="512"/>
      <c r="J59" s="512"/>
      <c r="K59" s="512"/>
      <c r="L59" s="512"/>
      <c r="M59" s="513"/>
      <c r="N59" s="512"/>
      <c r="O59" s="513"/>
      <c r="P59" s="2627"/>
    </row>
    <row r="60" spans="1:29" s="117" customFormat="1" ht="15" thickBot="1">
      <c r="A60" s="515" t="s">
        <v>2581</v>
      </c>
      <c r="B60" s="516"/>
      <c r="C60" s="517"/>
      <c r="D60" s="518"/>
      <c r="E60" s="518"/>
      <c r="F60" s="518"/>
      <c r="G60" s="518"/>
      <c r="H60" s="518"/>
      <c r="I60" s="518"/>
      <c r="J60" s="518"/>
      <c r="K60" s="518"/>
      <c r="L60" s="518"/>
      <c r="M60" s="519"/>
      <c r="N60" s="518"/>
      <c r="O60" s="519"/>
      <c r="P60" s="2627"/>
      <c r="Q60" s="504"/>
    </row>
    <row r="61" spans="1:29" s="117" customFormat="1" ht="14.4">
      <c r="A61" s="521" t="s">
        <v>2582</v>
      </c>
      <c r="B61" s="510"/>
      <c r="C61" s="522" t="s">
        <v>2583</v>
      </c>
      <c r="D61" s="523"/>
      <c r="E61" s="523"/>
      <c r="F61" s="523"/>
      <c r="G61" s="523"/>
      <c r="H61" s="523"/>
      <c r="I61" s="523"/>
      <c r="J61" s="523"/>
      <c r="K61" s="523"/>
      <c r="L61" s="524"/>
      <c r="M61" s="525"/>
      <c r="N61" s="1150"/>
      <c r="O61" s="1150"/>
      <c r="P61" s="2628"/>
      <c r="Q61" s="504"/>
    </row>
    <row r="62" spans="1:29" s="117" customFormat="1" ht="14.4" thickBot="1">
      <c r="A62" s="521"/>
      <c r="B62" s="510"/>
      <c r="C62" s="511">
        <v>100</v>
      </c>
      <c r="D62" s="512"/>
      <c r="E62" s="512"/>
      <c r="F62" s="512"/>
      <c r="G62" s="512"/>
      <c r="H62" s="512"/>
      <c r="I62" s="512"/>
      <c r="J62" s="512"/>
      <c r="K62" s="512"/>
      <c r="L62" s="512"/>
      <c r="M62" s="514"/>
      <c r="N62" s="1150"/>
      <c r="O62" s="1150"/>
      <c r="P62" s="2627"/>
      <c r="Q62" s="504"/>
    </row>
    <row r="63" spans="1:29" ht="14.4">
      <c r="A63" s="527" t="s">
        <v>2584</v>
      </c>
      <c r="B63" s="528" t="s">
        <v>2550</v>
      </c>
      <c r="C63" s="529">
        <f>C9</f>
        <v>0</v>
      </c>
      <c r="D63" s="530"/>
      <c r="E63" s="530"/>
      <c r="F63" s="530"/>
      <c r="G63" s="530"/>
      <c r="H63" s="530"/>
      <c r="I63" s="530"/>
      <c r="J63" s="530"/>
      <c r="K63" s="531"/>
      <c r="L63" s="532"/>
      <c r="M63" s="533"/>
      <c r="N63" s="1151"/>
      <c r="O63" s="1151"/>
      <c r="P63" s="2629"/>
      <c r="Q63" s="504"/>
    </row>
    <row r="64" spans="1:29" ht="14.4" thickBot="1">
      <c r="A64" s="534"/>
      <c r="B64" s="535"/>
      <c r="C64" s="536">
        <v>100</v>
      </c>
      <c r="D64" s="536"/>
      <c r="E64" s="536"/>
      <c r="F64" s="536"/>
      <c r="G64" s="536"/>
      <c r="H64" s="536"/>
      <c r="I64" s="536"/>
      <c r="J64" s="536"/>
      <c r="K64" s="536"/>
      <c r="L64" s="536"/>
      <c r="M64" s="537"/>
      <c r="N64" s="1152"/>
      <c r="O64" s="1152"/>
      <c r="P64" s="2629"/>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c r="A68" s="534"/>
      <c r="B68" s="548"/>
      <c r="C68" s="549"/>
      <c r="D68" s="549"/>
      <c r="E68" s="549"/>
      <c r="F68" s="549"/>
      <c r="G68" s="549"/>
      <c r="H68" s="549"/>
      <c r="I68" s="549"/>
      <c r="J68" s="549"/>
      <c r="K68" s="550"/>
      <c r="L68" s="551"/>
      <c r="M68" s="552"/>
      <c r="N68" s="1151"/>
      <c r="O68" s="1151"/>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4.4" thickTop="1">
      <c r="A70" s="553"/>
      <c r="B70" s="538">
        <f>B12</f>
        <v>111</v>
      </c>
      <c r="C70" s="554"/>
      <c r="D70" s="554"/>
      <c r="E70" s="554"/>
      <c r="F70" s="554"/>
      <c r="G70" s="554"/>
      <c r="H70" s="555"/>
      <c r="I70" s="555"/>
      <c r="J70" s="555"/>
      <c r="K70" s="555"/>
      <c r="L70" s="556"/>
      <c r="M70" s="557"/>
      <c r="N70" s="1153"/>
      <c r="O70" s="1153"/>
      <c r="P70" s="2630"/>
      <c r="Q70" s="559"/>
    </row>
    <row r="71" spans="1:17" s="471" customFormat="1" ht="14.4" thickBot="1">
      <c r="A71" s="553"/>
      <c r="B71" s="543"/>
      <c r="C71" s="560"/>
      <c r="D71" s="536"/>
      <c r="E71" s="536"/>
      <c r="F71" s="536"/>
      <c r="G71" s="536"/>
      <c r="H71" s="536"/>
      <c r="I71" s="536"/>
      <c r="J71" s="536"/>
      <c r="K71" s="536"/>
      <c r="L71" s="536"/>
      <c r="M71" s="537"/>
      <c r="N71" s="1152"/>
      <c r="O71" s="1152"/>
      <c r="P71" s="2630"/>
      <c r="Q71" s="559"/>
    </row>
    <row r="72" spans="1:17" s="471" customFormat="1" ht="14.4" thickTop="1">
      <c r="A72" s="553"/>
      <c r="B72" s="538">
        <f>B13</f>
        <v>111</v>
      </c>
      <c r="C72" s="554"/>
      <c r="D72" s="554"/>
      <c r="E72" s="554"/>
      <c r="F72" s="554"/>
      <c r="G72" s="554"/>
      <c r="H72" s="555"/>
      <c r="I72" s="555"/>
      <c r="J72" s="555"/>
      <c r="K72" s="555"/>
      <c r="L72" s="556"/>
      <c r="M72" s="557"/>
      <c r="N72" s="1153"/>
      <c r="O72" s="1153"/>
      <c r="P72" s="2631"/>
      <c r="Q72" s="561"/>
    </row>
    <row r="73" spans="1:17" s="471" customFormat="1" ht="14.4" thickBot="1">
      <c r="A73" s="553"/>
      <c r="B73" s="543"/>
      <c r="C73" s="560"/>
      <c r="D73" s="560"/>
      <c r="E73" s="560"/>
      <c r="F73" s="560"/>
      <c r="G73" s="560"/>
      <c r="H73" s="562"/>
      <c r="I73" s="562"/>
      <c r="J73" s="562"/>
      <c r="K73" s="562"/>
      <c r="L73" s="562"/>
      <c r="M73" s="563"/>
      <c r="N73" s="1153"/>
      <c r="O73" s="1153"/>
      <c r="P73" s="2630"/>
      <c r="Q73" s="559"/>
    </row>
    <row r="74" spans="1:17" s="471" customFormat="1" ht="14.4" thickTop="1">
      <c r="A74" s="553"/>
      <c r="B74" s="546">
        <f>B14</f>
        <v>111</v>
      </c>
      <c r="C74" s="554"/>
      <c r="D74" s="554"/>
      <c r="E74" s="554"/>
      <c r="F74" s="554"/>
      <c r="G74" s="523"/>
      <c r="H74" s="564"/>
      <c r="I74" s="564"/>
      <c r="J74" s="564"/>
      <c r="K74" s="564"/>
      <c r="L74" s="565"/>
      <c r="M74" s="566"/>
      <c r="N74" s="1153"/>
      <c r="O74" s="1153"/>
      <c r="P74" s="2632"/>
      <c r="Q74" s="559"/>
    </row>
    <row r="75" spans="1:17" s="471" customFormat="1" ht="14.4" thickBot="1">
      <c r="A75" s="568"/>
      <c r="B75" s="569"/>
      <c r="C75" s="570"/>
      <c r="D75" s="570"/>
      <c r="E75" s="570"/>
      <c r="F75" s="570"/>
      <c r="G75" s="570"/>
      <c r="H75" s="571"/>
      <c r="I75" s="571"/>
      <c r="J75" s="571"/>
      <c r="K75" s="571"/>
      <c r="L75" s="571"/>
      <c r="M75" s="572"/>
      <c r="N75" s="1153"/>
      <c r="O75" s="1153"/>
      <c r="P75" s="2630"/>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 thickTop="1">
      <c r="A82" s="534"/>
      <c r="B82" s="546" t="s">
        <v>2094</v>
      </c>
      <c r="C82" s="539" t="s">
        <v>2600</v>
      </c>
      <c r="D82" s="539" t="s">
        <v>2601</v>
      </c>
      <c r="E82" s="539" t="s">
        <v>2602</v>
      </c>
      <c r="F82" s="539" t="s">
        <v>2603</v>
      </c>
      <c r="G82" s="539" t="s">
        <v>2604</v>
      </c>
      <c r="H82" s="539"/>
      <c r="I82" s="539"/>
      <c r="J82" s="539"/>
      <c r="K82" s="539"/>
      <c r="L82" s="539"/>
      <c r="M82" s="1381"/>
      <c r="N82" s="1152"/>
      <c r="O82" s="1152"/>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 thickTop="1">
      <c r="A86" s="579"/>
      <c r="B86" s="538" t="s">
        <v>2606</v>
      </c>
      <c r="C86" s="554"/>
      <c r="D86" s="554"/>
      <c r="E86" s="554"/>
      <c r="F86" s="554"/>
      <c r="G86" s="554"/>
      <c r="H86" s="554"/>
      <c r="I86" s="554"/>
      <c r="J86" s="554"/>
      <c r="K86" s="554"/>
      <c r="L86" s="580"/>
      <c r="M86" s="581"/>
      <c r="N86" s="1150"/>
      <c r="O86" s="1150"/>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 thickTop="1">
      <c r="A88" s="579"/>
      <c r="B88" s="538" t="s">
        <v>2607</v>
      </c>
      <c r="C88" s="554"/>
      <c r="D88" s="554"/>
      <c r="E88" s="554"/>
      <c r="F88" s="2634"/>
      <c r="G88" s="554"/>
      <c r="H88" s="554"/>
      <c r="I88" s="554"/>
      <c r="J88" s="554"/>
      <c r="K88" s="554"/>
      <c r="L88" s="554"/>
      <c r="M88" s="581"/>
      <c r="N88" s="1150"/>
      <c r="O88" s="1150"/>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4.4" thickTop="1">
      <c r="A90" s="553"/>
      <c r="B90" s="538">
        <f>B27</f>
        <v>111</v>
      </c>
      <c r="C90" s="554"/>
      <c r="D90" s="554"/>
      <c r="E90" s="554"/>
      <c r="F90" s="554"/>
      <c r="G90" s="554"/>
      <c r="H90" s="555"/>
      <c r="I90" s="555"/>
      <c r="J90" s="555"/>
      <c r="K90" s="555"/>
      <c r="L90" s="556"/>
      <c r="M90" s="557"/>
      <c r="N90" s="1153"/>
      <c r="O90" s="1153"/>
      <c r="P90" s="2630"/>
      <c r="Q90" s="559"/>
    </row>
    <row r="91" spans="1:17" s="471" customFormat="1" ht="14.4" thickBot="1">
      <c r="A91" s="553"/>
      <c r="B91" s="543"/>
      <c r="C91" s="560"/>
      <c r="D91" s="560"/>
      <c r="E91" s="560"/>
      <c r="F91" s="560"/>
      <c r="G91" s="560"/>
      <c r="H91" s="562"/>
      <c r="I91" s="562"/>
      <c r="J91" s="562"/>
      <c r="K91" s="562"/>
      <c r="L91" s="562"/>
      <c r="M91" s="563"/>
      <c r="N91" s="1153"/>
      <c r="O91" s="1153"/>
      <c r="P91" s="2630"/>
      <c r="Q91" s="559"/>
    </row>
    <row r="92" spans="1:17" ht="14.4" thickTop="1">
      <c r="A92" s="534"/>
      <c r="B92" s="538">
        <f>B28</f>
        <v>111</v>
      </c>
      <c r="C92" s="554"/>
      <c r="D92" s="554"/>
      <c r="E92" s="554"/>
      <c r="F92" s="554"/>
      <c r="G92" s="583"/>
      <c r="H92" s="583"/>
      <c r="I92" s="583"/>
      <c r="J92" s="583"/>
      <c r="K92" s="584"/>
      <c r="L92" s="585"/>
      <c r="M92" s="586"/>
      <c r="N92" s="1151"/>
      <c r="O92" s="1151"/>
      <c r="P92" s="2629"/>
      <c r="Q92" s="504"/>
    </row>
    <row r="93" spans="1:17" ht="14.4" thickBot="1">
      <c r="A93" s="534"/>
      <c r="B93" s="543"/>
      <c r="C93" s="560"/>
      <c r="D93" s="536"/>
      <c r="E93" s="536"/>
      <c r="F93" s="536"/>
      <c r="G93" s="536"/>
      <c r="H93" s="536"/>
      <c r="I93" s="536"/>
      <c r="J93" s="536"/>
      <c r="K93" s="536"/>
      <c r="L93" s="536"/>
      <c r="M93" s="537"/>
      <c r="N93" s="1152"/>
      <c r="O93" s="1152"/>
      <c r="P93" s="2629"/>
      <c r="Q93" s="504"/>
    </row>
    <row r="94" spans="1:17" ht="14.4" thickTop="1">
      <c r="A94" s="534"/>
      <c r="B94" s="538">
        <f>B29</f>
        <v>111</v>
      </c>
      <c r="C94" s="554"/>
      <c r="D94" s="554"/>
      <c r="E94" s="554"/>
      <c r="F94" s="554"/>
      <c r="G94" s="583"/>
      <c r="H94" s="583"/>
      <c r="I94" s="583"/>
      <c r="J94" s="583"/>
      <c r="K94" s="584"/>
      <c r="L94" s="585"/>
      <c r="M94" s="586"/>
      <c r="N94" s="1151"/>
      <c r="O94" s="1151"/>
      <c r="P94" s="2629"/>
      <c r="Q94" s="504"/>
    </row>
    <row r="95" spans="1:17" ht="14.4" thickBot="1">
      <c r="A95" s="534"/>
      <c r="B95" s="543"/>
      <c r="C95" s="560"/>
      <c r="D95" s="560"/>
      <c r="E95" s="560"/>
      <c r="F95" s="560"/>
      <c r="G95" s="536"/>
      <c r="H95" s="536"/>
      <c r="I95" s="536"/>
      <c r="J95" s="536"/>
      <c r="K95" s="536"/>
      <c r="L95" s="536"/>
      <c r="M95" s="537"/>
      <c r="N95" s="1152"/>
      <c r="O95" s="1152"/>
      <c r="P95" s="2629"/>
      <c r="Q95" s="504"/>
    </row>
    <row r="96" spans="1:17" ht="14.4" thickTop="1">
      <c r="A96" s="534"/>
      <c r="B96" s="538">
        <f>B30</f>
        <v>111</v>
      </c>
      <c r="C96" s="554"/>
      <c r="D96" s="554"/>
      <c r="E96" s="554"/>
      <c r="F96" s="554"/>
      <c r="G96" s="583"/>
      <c r="H96" s="583"/>
      <c r="I96" s="583"/>
      <c r="J96" s="583"/>
      <c r="K96" s="584"/>
      <c r="L96" s="585"/>
      <c r="M96" s="586"/>
      <c r="N96" s="1151"/>
      <c r="O96" s="1151"/>
      <c r="P96" s="2629"/>
      <c r="Q96" s="504"/>
    </row>
    <row r="97" spans="1:17" ht="14.4" thickBot="1">
      <c r="A97" s="534"/>
      <c r="B97" s="543"/>
      <c r="C97" s="570"/>
      <c r="D97" s="570"/>
      <c r="E97" s="570"/>
      <c r="F97" s="570"/>
      <c r="G97" s="536"/>
      <c r="H97" s="536"/>
      <c r="I97" s="536"/>
      <c r="J97" s="536"/>
      <c r="K97" s="536"/>
      <c r="L97" s="536"/>
      <c r="M97" s="537"/>
      <c r="N97" s="1152"/>
      <c r="O97" s="1152"/>
      <c r="P97" s="2629"/>
      <c r="Q97" s="504"/>
    </row>
    <row r="98" spans="1:17" ht="14.4" thickTop="1">
      <c r="A98" s="534"/>
      <c r="B98" s="546">
        <f>B31</f>
        <v>111</v>
      </c>
      <c r="C98" s="587"/>
      <c r="D98" s="587"/>
      <c r="E98" s="587"/>
      <c r="F98" s="587"/>
      <c r="G98" s="587"/>
      <c r="H98" s="587"/>
      <c r="I98" s="587"/>
      <c r="J98" s="587"/>
      <c r="K98" s="588"/>
      <c r="L98" s="589"/>
      <c r="M98" s="590"/>
      <c r="N98" s="1151"/>
      <c r="O98" s="1151"/>
      <c r="P98" s="2629"/>
      <c r="Q98" s="504"/>
    </row>
    <row r="99" spans="1:17" ht="14.4" thickBot="1">
      <c r="A99" s="2635"/>
      <c r="B99" s="569"/>
      <c r="C99" s="591"/>
      <c r="D99" s="591"/>
      <c r="E99" s="591"/>
      <c r="F99" s="591"/>
      <c r="G99" s="591"/>
      <c r="H99" s="591"/>
      <c r="I99" s="591"/>
      <c r="J99" s="591"/>
      <c r="K99" s="591"/>
      <c r="L99" s="591"/>
      <c r="M99" s="592"/>
      <c r="N99" s="1152"/>
      <c r="O99" s="1152"/>
      <c r="P99" s="2629"/>
      <c r="Q99" s="504"/>
    </row>
    <row r="100" spans="1:17" ht="14.4">
      <c r="A100" s="527" t="s">
        <v>2559</v>
      </c>
      <c r="B100" s="528" t="s">
        <v>2608</v>
      </c>
      <c r="C100" s="530"/>
      <c r="D100" s="530"/>
      <c r="E100" s="530"/>
      <c r="F100" s="530"/>
      <c r="G100" s="530"/>
      <c r="H100" s="530"/>
      <c r="I100" s="530"/>
      <c r="J100" s="530"/>
      <c r="K100" s="531"/>
      <c r="L100" s="532"/>
      <c r="M100" s="533"/>
      <c r="N100" s="1151"/>
      <c r="O100" s="1151"/>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4.4"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2610</v>
      </c>
      <c r="C105" s="554"/>
      <c r="D105" s="554"/>
      <c r="E105" s="583"/>
      <c r="F105" s="583"/>
      <c r="G105" s="583"/>
      <c r="H105" s="583"/>
      <c r="I105" s="583"/>
      <c r="J105" s="583"/>
      <c r="K105" s="584"/>
      <c r="L105" s="585"/>
      <c r="M105" s="586"/>
      <c r="N105" s="1151"/>
      <c r="O105" s="1151"/>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2611</v>
      </c>
      <c r="C107" s="583"/>
      <c r="D107" s="583"/>
      <c r="E107" s="583"/>
      <c r="F107" s="583"/>
      <c r="G107" s="583"/>
      <c r="H107" s="583"/>
      <c r="I107" s="583"/>
      <c r="J107" s="583"/>
      <c r="K107" s="584"/>
      <c r="L107" s="585"/>
      <c r="M107" s="586"/>
      <c r="N107" s="1151"/>
      <c r="O107" s="1151"/>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2612</v>
      </c>
      <c r="C109" s="554"/>
      <c r="D109" s="554"/>
      <c r="E109" s="554"/>
      <c r="F109" s="583"/>
      <c r="G109" s="583"/>
      <c r="H109" s="583"/>
      <c r="I109" s="583"/>
      <c r="J109" s="583"/>
      <c r="K109" s="584"/>
      <c r="L109" s="585"/>
      <c r="M109" s="586"/>
      <c r="N109" s="1151"/>
      <c r="O109" s="1151"/>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2613</v>
      </c>
      <c r="C114" s="554"/>
      <c r="D114" s="554"/>
      <c r="E114" s="583"/>
      <c r="F114" s="583"/>
      <c r="G114" s="583"/>
      <c r="H114" s="583"/>
      <c r="I114" s="583"/>
      <c r="J114" s="583"/>
      <c r="K114" s="584"/>
      <c r="L114" s="585"/>
      <c r="M114" s="586"/>
      <c r="N114" s="1151"/>
      <c r="O114" s="1151"/>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2614</v>
      </c>
      <c r="C116" s="554"/>
      <c r="D116" s="554"/>
      <c r="E116" s="554"/>
      <c r="F116" s="554"/>
      <c r="G116" s="554"/>
      <c r="H116" s="583"/>
      <c r="I116" s="583"/>
      <c r="J116" s="583"/>
      <c r="K116" s="584"/>
      <c r="L116" s="585"/>
      <c r="M116" s="586"/>
      <c r="N116" s="1151"/>
      <c r="O116" s="1151"/>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2615</v>
      </c>
      <c r="C118" s="583"/>
      <c r="D118" s="583"/>
      <c r="E118" s="583"/>
      <c r="F118" s="583"/>
      <c r="G118" s="583"/>
      <c r="H118" s="583"/>
      <c r="I118" s="583"/>
      <c r="J118" s="583"/>
      <c r="K118" s="584"/>
      <c r="L118" s="585"/>
      <c r="M118" s="586"/>
      <c r="N118" s="1151"/>
      <c r="O118" s="1151"/>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9.4" thickTop="1">
      <c r="A120" s="593"/>
      <c r="B120" s="538" t="s">
        <v>2570</v>
      </c>
      <c r="C120" s="554"/>
      <c r="D120" s="554"/>
      <c r="E120" s="554"/>
      <c r="F120" s="554"/>
      <c r="G120" s="554"/>
      <c r="H120" s="554"/>
      <c r="I120" s="554"/>
      <c r="J120" s="554"/>
      <c r="K120" s="554"/>
      <c r="L120" s="580"/>
      <c r="M120" s="581"/>
      <c r="N120" s="1153"/>
      <c r="O120" s="1153"/>
      <c r="P120" s="2630"/>
      <c r="Q120" s="559"/>
    </row>
    <row r="121" spans="1:17" s="471" customFormat="1" ht="14.4"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2616</v>
      </c>
      <c r="C122" s="554"/>
      <c r="D122" s="554"/>
      <c r="E122" s="554"/>
      <c r="F122" s="583"/>
      <c r="G122" s="583"/>
      <c r="H122" s="583"/>
      <c r="I122" s="583"/>
      <c r="J122" s="583"/>
      <c r="K122" s="584"/>
      <c r="L122" s="585"/>
      <c r="M122" s="586"/>
      <c r="N122" s="1151"/>
      <c r="O122" s="1151"/>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0"/>
      <c r="Q127" s="559"/>
    </row>
    <row r="128" spans="1:17" ht="14.4" thickTop="1">
      <c r="A128" s="599"/>
      <c r="B128" s="538">
        <f>B45</f>
        <v>111</v>
      </c>
      <c r="C128" s="554"/>
      <c r="D128" s="554"/>
      <c r="E128" s="554"/>
      <c r="F128" s="554"/>
      <c r="G128" s="583"/>
      <c r="H128" s="583"/>
      <c r="I128" s="583"/>
      <c r="J128" s="583"/>
      <c r="K128" s="584"/>
      <c r="L128" s="585"/>
      <c r="M128" s="586"/>
      <c r="N128" s="1151"/>
      <c r="O128" s="1151"/>
      <c r="P128" s="2629"/>
      <c r="Q128" s="504"/>
    </row>
    <row r="129" spans="1:17" ht="14.4" thickBot="1">
      <c r="A129" s="534"/>
      <c r="B129" s="543"/>
      <c r="C129" s="560"/>
      <c r="D129" s="560"/>
      <c r="E129" s="560"/>
      <c r="F129" s="560"/>
      <c r="G129" s="536"/>
      <c r="H129" s="536"/>
      <c r="I129" s="536"/>
      <c r="J129" s="536"/>
      <c r="K129" s="536"/>
      <c r="L129" s="536"/>
      <c r="M129" s="537"/>
      <c r="N129" s="1152"/>
      <c r="O129" s="1152"/>
      <c r="P129" s="2629"/>
      <c r="Q129" s="504"/>
    </row>
    <row r="130" spans="1:17" ht="14.4" thickTop="1">
      <c r="A130" s="599"/>
      <c r="B130" s="546">
        <f>B46</f>
        <v>111</v>
      </c>
      <c r="C130" s="554"/>
      <c r="D130" s="554"/>
      <c r="E130" s="554"/>
      <c r="F130" s="554"/>
      <c r="G130" s="587"/>
      <c r="H130" s="587"/>
      <c r="I130" s="587"/>
      <c r="J130" s="587"/>
      <c r="K130" s="523"/>
      <c r="L130" s="524"/>
      <c r="M130" s="590"/>
      <c r="N130" s="1151"/>
      <c r="O130" s="1151"/>
      <c r="P130" s="2629"/>
      <c r="Q130" s="504"/>
    </row>
    <row r="131" spans="1:17" ht="14.4"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3">
        <v>6</v>
      </c>
      <c r="C139" s="1084">
        <v>96</v>
      </c>
      <c r="D139" s="2647" t="s">
        <v>2627</v>
      </c>
      <c r="E139" s="1085">
        <v>100</v>
      </c>
      <c r="F139" s="1086">
        <v>102.5</v>
      </c>
      <c r="G139" s="2647" t="s">
        <v>2627</v>
      </c>
      <c r="H139" s="1087">
        <v>105</v>
      </c>
      <c r="I139" s="2648" t="s">
        <v>2628</v>
      </c>
      <c r="J139" s="1084">
        <v>20</v>
      </c>
      <c r="K139" s="1088">
        <f>C145/(J139-2)</f>
        <v>4.0555555555555553E-3</v>
      </c>
    </row>
    <row r="140" spans="1:17" ht="15">
      <c r="B140" s="1089">
        <v>5</v>
      </c>
      <c r="C140" s="1090">
        <v>100</v>
      </c>
      <c r="D140" s="1090"/>
      <c r="E140" s="1091"/>
      <c r="F140" s="1092">
        <v>102</v>
      </c>
      <c r="G140" s="1090"/>
      <c r="H140" s="1093"/>
      <c r="I140" s="2649" t="s">
        <v>2629</v>
      </c>
      <c r="J140" s="315">
        <f>ROUNDUP((J139-1)/2,0)</f>
        <v>10</v>
      </c>
      <c r="K140" s="1094">
        <v>100</v>
      </c>
    </row>
    <row r="141" spans="1:17" ht="15">
      <c r="B141" s="1089">
        <v>4</v>
      </c>
      <c r="C141" s="1090">
        <v>102</v>
      </c>
      <c r="D141" s="1090"/>
      <c r="E141" s="1091"/>
      <c r="F141" s="1092">
        <v>101.5</v>
      </c>
      <c r="G141" s="1090"/>
      <c r="H141" s="1093"/>
      <c r="I141" s="2649" t="s">
        <v>2630</v>
      </c>
      <c r="J141" s="315">
        <v>1</v>
      </c>
      <c r="K141" s="1095">
        <f>ROUND(100+(J141-J140)*K139*100,1)</f>
        <v>96.4</v>
      </c>
    </row>
    <row r="142" spans="1:17" ht="15">
      <c r="B142" s="1089">
        <v>3</v>
      </c>
      <c r="C142" s="1090">
        <v>103</v>
      </c>
      <c r="D142" s="1090"/>
      <c r="E142" s="1091"/>
      <c r="F142" s="1092">
        <v>101</v>
      </c>
      <c r="G142" s="1090"/>
      <c r="H142" s="1093"/>
      <c r="I142" s="2649" t="s">
        <v>2631</v>
      </c>
      <c r="J142" s="315">
        <f>J139</f>
        <v>20</v>
      </c>
      <c r="K142" s="1096">
        <v>95</v>
      </c>
    </row>
    <row r="143" spans="1:17" ht="15">
      <c r="B143" s="1089">
        <v>2</v>
      </c>
      <c r="C143" s="1090">
        <v>100</v>
      </c>
      <c r="D143" s="1090"/>
      <c r="E143" s="1091"/>
      <c r="F143" s="1092">
        <v>100.5</v>
      </c>
      <c r="G143" s="1090"/>
      <c r="H143" s="1093"/>
      <c r="I143" s="2649" t="s">
        <v>2632</v>
      </c>
      <c r="J143" s="1090">
        <v>15</v>
      </c>
      <c r="K143" s="1095">
        <f>ROUND(100+(J143-J140)*K139*100,1)</f>
        <v>102</v>
      </c>
    </row>
    <row r="144" spans="1:17" ht="15">
      <c r="B144" s="1089">
        <v>1</v>
      </c>
      <c r="C144" s="1090">
        <v>98</v>
      </c>
      <c r="D144" s="2650" t="s">
        <v>2633</v>
      </c>
      <c r="E144" s="1091">
        <v>102</v>
      </c>
      <c r="F144" s="1097">
        <v>100</v>
      </c>
      <c r="G144" s="2650" t="s">
        <v>2633</v>
      </c>
      <c r="H144" s="1093">
        <v>105</v>
      </c>
      <c r="I144" s="2649" t="s">
        <v>2632</v>
      </c>
      <c r="J144" s="1090">
        <v>18</v>
      </c>
      <c r="K144" s="1095">
        <f>ROUND(100+(J144-J140)*K139*100,1)</f>
        <v>103.2</v>
      </c>
    </row>
    <row r="145" spans="2:11" ht="16.2" thickBot="1">
      <c r="B145" s="2651" t="s">
        <v>2634</v>
      </c>
      <c r="C145" s="1098">
        <f>ROUND(MAX(C139:C144)/MIN(C139:C144)-1,3)</f>
        <v>7.2999999999999995E-2</v>
      </c>
      <c r="D145" s="1099"/>
      <c r="E145" s="1099"/>
      <c r="F145" s="2652" t="s">
        <v>2635</v>
      </c>
      <c r="G145" s="2653"/>
      <c r="H145" s="2654"/>
      <c r="I145" s="2655" t="s">
        <v>2632</v>
      </c>
      <c r="J145" s="1100">
        <v>8</v>
      </c>
      <c r="K145" s="1101">
        <f>ROUND(100+(J145-J140)*K139*100,1)</f>
        <v>99.2</v>
      </c>
    </row>
    <row r="147" spans="2:11" ht="14.4">
      <c r="B147" s="2636" t="s">
        <v>2636</v>
      </c>
    </row>
    <row r="148" spans="2:11" ht="14.4">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5" zoomScale="70" zoomScaleNormal="70" workbookViewId="0">
      <selection activeCell="C33" sqref="C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1" t="s">
        <v>2638</v>
      </c>
      <c r="C1" s="1633" t="s">
        <v>2526</v>
      </c>
      <c r="D1" s="1620" t="s">
        <v>3060</v>
      </c>
      <c r="E1" s="2656"/>
      <c r="F1" s="2583" t="s">
        <v>3111</v>
      </c>
      <c r="G1" s="1630" t="s">
        <v>2528</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1389</v>
      </c>
      <c r="B2" s="1417">
        <f ca="1">IF(C2="——",ROUND(C49*D3/10000,0),ROUND(C49*D3/10000,0)-D2)</f>
        <v>9800</v>
      </c>
      <c r="C2" s="2585" t="s">
        <v>3177</v>
      </c>
      <c r="D2" s="1364">
        <f ca="1">SUMIF(INDIRECT("'"&amp;F2&amp;"'"&amp;"!A:A"),"承租人权益价值",INDIRECT("'"&amp;F2&amp;"'"&amp;"!c:c"))</f>
        <v>1480</v>
      </c>
      <c r="E2" s="2586" t="s">
        <v>2324</v>
      </c>
      <c r="F2" s="2587" t="s">
        <v>3178</v>
      </c>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1390</v>
      </c>
      <c r="B3" s="609">
        <f ca="1">IF(C2="——",C49,ROUND(B2*10000/D3,0))</f>
        <v>32283</v>
      </c>
      <c r="C3" s="400" t="s">
        <v>2530</v>
      </c>
      <c r="D3" s="399">
        <f>IF(D1="",'数据-汇总表'!E3,SUMIF('数据-汇总表'!$C19:$C33,D1,'数据-汇总表'!$E19:$E33))</f>
        <v>3035.67</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1" t="s">
        <v>2531</v>
      </c>
      <c r="B4" s="402"/>
      <c r="C4" s="3263" t="s">
        <v>2532</v>
      </c>
      <c r="D4" s="3264"/>
      <c r="E4" s="3265" t="s">
        <v>2533</v>
      </c>
      <c r="F4" s="3266"/>
      <c r="G4" s="3263" t="s">
        <v>2534</v>
      </c>
      <c r="H4" s="3264"/>
      <c r="I4" s="3263" t="s">
        <v>2535</v>
      </c>
      <c r="J4" s="3264"/>
      <c r="K4" s="610" t="s">
        <v>2536</v>
      </c>
      <c r="L4" s="1129"/>
      <c r="M4" s="1130"/>
      <c r="N4" s="1130"/>
      <c r="O4" s="1130"/>
      <c r="P4" s="3267" t="s">
        <v>2537</v>
      </c>
      <c r="Q4" s="3268"/>
      <c r="R4" s="3250" t="s">
        <v>2533</v>
      </c>
      <c r="S4" s="3251"/>
      <c r="T4" s="3250" t="s">
        <v>2534</v>
      </c>
      <c r="U4" s="3251"/>
      <c r="V4" s="3275" t="s">
        <v>2535</v>
      </c>
      <c r="W4" s="3275"/>
      <c r="X4" s="3028"/>
      <c r="Y4" s="3250" t="s">
        <v>2537</v>
      </c>
      <c r="Z4" s="3251"/>
      <c r="AA4" s="3245" t="s">
        <v>2533</v>
      </c>
      <c r="AB4" s="3275" t="s">
        <v>2534</v>
      </c>
      <c r="AC4" s="3245" t="s">
        <v>2535</v>
      </c>
    </row>
    <row r="5" spans="1:29">
      <c r="A5" s="404"/>
      <c r="B5" s="405"/>
      <c r="C5" s="3293" t="s">
        <v>3141</v>
      </c>
      <c r="D5" s="3257"/>
      <c r="E5" s="3292" t="s">
        <v>3159</v>
      </c>
      <c r="F5" s="3255"/>
      <c r="G5" s="3293" t="s">
        <v>3146</v>
      </c>
      <c r="H5" s="3257"/>
      <c r="I5" s="3293" t="s">
        <v>3206</v>
      </c>
      <c r="J5" s="3257"/>
      <c r="K5" s="610"/>
      <c r="L5" s="1129"/>
      <c r="M5" s="1130"/>
      <c r="N5" s="1130"/>
      <c r="O5" s="1130"/>
      <c r="P5" s="3269"/>
      <c r="Q5" s="3270"/>
      <c r="R5" s="3252"/>
      <c r="S5" s="3253"/>
      <c r="T5" s="3252"/>
      <c r="U5" s="3253"/>
      <c r="V5" s="3275"/>
      <c r="W5" s="3275"/>
      <c r="X5" s="3028"/>
      <c r="Y5" s="3252"/>
      <c r="Z5" s="3253"/>
      <c r="AA5" s="3246"/>
      <c r="AB5" s="3275"/>
      <c r="AC5" s="3246"/>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3028"/>
      <c r="Y6" s="3273"/>
      <c r="Z6" s="3274"/>
      <c r="AA6" s="3247"/>
      <c r="AB6" s="3275"/>
      <c r="AC6" s="3247"/>
    </row>
    <row r="7" spans="1:29" s="117" customFormat="1" ht="15" thickBot="1">
      <c r="A7" s="408" t="s">
        <v>2544</v>
      </c>
      <c r="B7" s="409"/>
      <c r="C7" s="410">
        <f>'数据-取费表'!B2</f>
        <v>43734</v>
      </c>
      <c r="D7" s="411">
        <v>100</v>
      </c>
      <c r="E7" s="412">
        <f>C7</f>
        <v>43734</v>
      </c>
      <c r="F7" s="413">
        <f>SUMIF(58:58,YEAR(E7)&amp;"-"&amp;MONTH(E7),59:59)</f>
        <v>100</v>
      </c>
      <c r="G7" s="412">
        <f>E7</f>
        <v>43734</v>
      </c>
      <c r="H7" s="411">
        <f>SUMIF(58:58,YEAR(G7)&amp;"-"&amp;MONTH(G7),59:59)</f>
        <v>100</v>
      </c>
      <c r="I7" s="412">
        <f>G7</f>
        <v>43734</v>
      </c>
      <c r="J7" s="411">
        <f>SUMIF(58:58,YEAR(I7)&amp;"-"&amp;MONTH(I7),59:59)</f>
        <v>100</v>
      </c>
      <c r="K7" s="611"/>
      <c r="L7" s="1131"/>
      <c r="M7" s="1132"/>
      <c r="N7" s="1132"/>
      <c r="O7" s="1132"/>
      <c r="P7" s="3248" t="s">
        <v>2545</v>
      </c>
      <c r="Q7" s="3276"/>
      <c r="R7" s="769" t="s">
        <v>17</v>
      </c>
      <c r="S7" s="770">
        <f t="shared" ref="S7:S15" si="0">F7</f>
        <v>100</v>
      </c>
      <c r="T7" s="769" t="s">
        <v>17</v>
      </c>
      <c r="U7" s="770">
        <f t="shared" ref="U7:U15" si="1">H7</f>
        <v>100</v>
      </c>
      <c r="V7" s="769" t="s">
        <v>17</v>
      </c>
      <c r="W7" s="770">
        <f t="shared" ref="W7:W15" si="2">J7</f>
        <v>100</v>
      </c>
      <c r="X7" s="771"/>
      <c r="Y7" s="3248" t="s">
        <v>2545</v>
      </c>
      <c r="Z7" s="3249"/>
      <c r="AA7" s="772">
        <f>D7/F7</f>
        <v>1</v>
      </c>
      <c r="AB7" s="772">
        <f>D7/H7</f>
        <v>1</v>
      </c>
      <c r="AC7" s="772">
        <f>D7/J7</f>
        <v>1</v>
      </c>
    </row>
    <row r="8" spans="1:29" s="117" customFormat="1" ht="15" thickBot="1">
      <c r="A8" s="408" t="s">
        <v>2546</v>
      </c>
      <c r="B8" s="409"/>
      <c r="C8" s="414" t="s">
        <v>2583</v>
      </c>
      <c r="D8" s="411">
        <v>100</v>
      </c>
      <c r="E8" s="414" t="s">
        <v>3142</v>
      </c>
      <c r="F8" s="413">
        <f>SUMIF(61:61,E8,62:62)-SUMIF(61:61,C8,62:62)+100</f>
        <v>100</v>
      </c>
      <c r="G8" s="414" t="s">
        <v>3142</v>
      </c>
      <c r="H8" s="411">
        <f>SUMIF(61:61,G8,62:62)-SUMIF(61:61,C8,62:62)+100</f>
        <v>100</v>
      </c>
      <c r="I8" s="414" t="s">
        <v>3142</v>
      </c>
      <c r="J8" s="411">
        <f>SUMIF(61:61,I8,62:62)-SUMIF(61:61,C8,62:62)+100</f>
        <v>100</v>
      </c>
      <c r="K8" s="611"/>
      <c r="L8" s="1131"/>
      <c r="M8" s="1132"/>
      <c r="N8" s="1132"/>
      <c r="O8" s="1132"/>
      <c r="P8" s="3248" t="s">
        <v>2548</v>
      </c>
      <c r="Q8" s="3249"/>
      <c r="R8" s="769" t="s">
        <v>17</v>
      </c>
      <c r="S8" s="770">
        <f t="shared" si="0"/>
        <v>100</v>
      </c>
      <c r="T8" s="769" t="s">
        <v>17</v>
      </c>
      <c r="U8" s="770">
        <f t="shared" si="1"/>
        <v>100</v>
      </c>
      <c r="V8" s="769" t="s">
        <v>17</v>
      </c>
      <c r="W8" s="770">
        <f t="shared" si="2"/>
        <v>100</v>
      </c>
      <c r="X8" s="771"/>
      <c r="Y8" s="3248" t="s">
        <v>2548</v>
      </c>
      <c r="Z8" s="3249"/>
      <c r="AA8" s="772">
        <f t="shared" ref="AA8:AA46" si="3">D8/F8</f>
        <v>1</v>
      </c>
      <c r="AB8" s="772">
        <f t="shared" ref="AB8:AB46" si="4">D8/H8</f>
        <v>1</v>
      </c>
      <c r="AC8" s="772">
        <f t="shared" ref="AC8:AC46" si="5">D8/J8</f>
        <v>1</v>
      </c>
    </row>
    <row r="9" spans="1:29" s="117" customFormat="1" ht="14.4">
      <c r="A9" s="415" t="s">
        <v>2549</v>
      </c>
      <c r="B9" s="71" t="s">
        <v>2550</v>
      </c>
      <c r="C9" s="2988" t="s">
        <v>3143</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62" t="s">
        <v>2551</v>
      </c>
      <c r="Q9" s="3008" t="str">
        <f t="shared" ref="Q9:Q15" si="6">B9</f>
        <v>用途</v>
      </c>
      <c r="R9" s="769" t="s">
        <v>17</v>
      </c>
      <c r="S9" s="770">
        <f t="shared" si="0"/>
        <v>100</v>
      </c>
      <c r="T9" s="769" t="s">
        <v>17</v>
      </c>
      <c r="U9" s="770">
        <f t="shared" si="1"/>
        <v>100</v>
      </c>
      <c r="V9" s="769" t="s">
        <v>17</v>
      </c>
      <c r="W9" s="770">
        <f t="shared" si="2"/>
        <v>100</v>
      </c>
      <c r="X9" s="771"/>
      <c r="Y9" s="3096" t="s">
        <v>2552</v>
      </c>
      <c r="Z9" s="3010" t="str">
        <f t="shared" ref="Z9:Z15" si="7">Q9</f>
        <v>用途</v>
      </c>
      <c r="AA9" s="772">
        <f t="shared" si="3"/>
        <v>1</v>
      </c>
      <c r="AB9" s="772">
        <f t="shared" si="4"/>
        <v>1</v>
      </c>
      <c r="AC9" s="772">
        <f t="shared" si="5"/>
        <v>1</v>
      </c>
    </row>
    <row r="10" spans="1:29" s="427" customFormat="1" ht="28.8">
      <c r="A10" s="421"/>
      <c r="B10" s="3019" t="s">
        <v>2553</v>
      </c>
      <c r="C10" s="423" t="s">
        <v>3144</v>
      </c>
      <c r="D10" s="136">
        <v>100</v>
      </c>
      <c r="E10" s="424" t="s">
        <v>3166</v>
      </c>
      <c r="F10" s="425">
        <f>SUMIF(65:65,E10,66:66)-SUMIF(65:65,C10,66:66)+100</f>
        <v>97</v>
      </c>
      <c r="G10" s="424" t="s">
        <v>3166</v>
      </c>
      <c r="H10" s="136">
        <f>SUMIF(65:65,G10,66:66)-SUMIF(65:65,C10,66:66)+100</f>
        <v>97</v>
      </c>
      <c r="I10" s="424" t="s">
        <v>3144</v>
      </c>
      <c r="J10" s="136">
        <f>SUMIF(65:65,I10,66:66)-SUMIF(65:65,C10,66:66)+100</f>
        <v>100</v>
      </c>
      <c r="K10" s="612">
        <v>3</v>
      </c>
      <c r="L10" s="1134"/>
      <c r="M10" s="1135"/>
      <c r="N10" s="1135"/>
      <c r="O10" s="1135"/>
      <c r="P10" s="3262"/>
      <c r="Q10" s="3008" t="str">
        <f t="shared" si="6"/>
        <v>土地使用年限（年）</v>
      </c>
      <c r="R10" s="769" t="s">
        <v>17</v>
      </c>
      <c r="S10" s="770">
        <f t="shared" si="0"/>
        <v>97</v>
      </c>
      <c r="T10" s="769" t="s">
        <v>17</v>
      </c>
      <c r="U10" s="770">
        <f t="shared" si="1"/>
        <v>97</v>
      </c>
      <c r="V10" s="769" t="s">
        <v>17</v>
      </c>
      <c r="W10" s="770">
        <f t="shared" si="2"/>
        <v>100</v>
      </c>
      <c r="X10" s="771"/>
      <c r="Y10" s="3096"/>
      <c r="Z10" s="3010" t="str">
        <f t="shared" si="7"/>
        <v>土地使用年限（年）</v>
      </c>
      <c r="AA10" s="772">
        <f t="shared" si="3"/>
        <v>1.0309278350515463</v>
      </c>
      <c r="AB10" s="772">
        <f t="shared" si="4"/>
        <v>1.0309278350515463</v>
      </c>
      <c r="AC10" s="772">
        <f t="shared" si="5"/>
        <v>1</v>
      </c>
    </row>
    <row r="11" spans="1:29" ht="15">
      <c r="A11" s="428"/>
      <c r="B11" s="3019"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62"/>
      <c r="Q11" s="3008" t="str">
        <f t="shared" si="6"/>
        <v>容积率</v>
      </c>
      <c r="R11" s="769" t="s">
        <v>17</v>
      </c>
      <c r="S11" s="770">
        <f t="shared" si="0"/>
        <v>100</v>
      </c>
      <c r="T11" s="769" t="s">
        <v>17</v>
      </c>
      <c r="U11" s="770">
        <f t="shared" si="1"/>
        <v>100</v>
      </c>
      <c r="V11" s="769" t="s">
        <v>17</v>
      </c>
      <c r="W11" s="770">
        <f t="shared" si="2"/>
        <v>100</v>
      </c>
      <c r="X11" s="771"/>
      <c r="Y11" s="3096"/>
      <c r="Z11" s="3010" t="str">
        <f t="shared" si="7"/>
        <v>容积率</v>
      </c>
      <c r="AA11" s="772">
        <f t="shared" si="3"/>
        <v>1</v>
      </c>
      <c r="AB11" s="772">
        <f t="shared" si="4"/>
        <v>1</v>
      </c>
      <c r="AC11" s="772">
        <f t="shared" si="5"/>
        <v>1</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2"/>
      <c r="Q12" s="3008">
        <f t="shared" si="6"/>
        <v>111</v>
      </c>
      <c r="R12" s="769" t="s">
        <v>17</v>
      </c>
      <c r="S12" s="770">
        <f t="shared" si="0"/>
        <v>100</v>
      </c>
      <c r="T12" s="769" t="s">
        <v>17</v>
      </c>
      <c r="U12" s="770">
        <f t="shared" si="1"/>
        <v>100</v>
      </c>
      <c r="V12" s="769" t="s">
        <v>17</v>
      </c>
      <c r="W12" s="770">
        <f t="shared" si="2"/>
        <v>100</v>
      </c>
      <c r="X12" s="771"/>
      <c r="Y12" s="3096"/>
      <c r="Z12" s="3010">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2"/>
      <c r="Q13" s="3008">
        <f t="shared" si="6"/>
        <v>111</v>
      </c>
      <c r="R13" s="769" t="s">
        <v>17</v>
      </c>
      <c r="S13" s="770">
        <f t="shared" si="0"/>
        <v>100</v>
      </c>
      <c r="T13" s="769" t="s">
        <v>17</v>
      </c>
      <c r="U13" s="770">
        <f t="shared" si="1"/>
        <v>100</v>
      </c>
      <c r="V13" s="769" t="s">
        <v>17</v>
      </c>
      <c r="W13" s="770">
        <f t="shared" si="2"/>
        <v>100</v>
      </c>
      <c r="X13" s="771"/>
      <c r="Y13" s="3096"/>
      <c r="Z13" s="3010">
        <f t="shared" si="7"/>
        <v>111</v>
      </c>
      <c r="AA13" s="772">
        <f t="shared" si="3"/>
        <v>1</v>
      </c>
      <c r="AB13" s="772">
        <f t="shared" si="4"/>
        <v>1</v>
      </c>
      <c r="AC13" s="772">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2"/>
      <c r="Q14" s="3008">
        <f t="shared" si="6"/>
        <v>111</v>
      </c>
      <c r="R14" s="769" t="s">
        <v>17</v>
      </c>
      <c r="S14" s="770">
        <f t="shared" si="0"/>
        <v>100</v>
      </c>
      <c r="T14" s="769" t="s">
        <v>17</v>
      </c>
      <c r="U14" s="770">
        <f t="shared" si="1"/>
        <v>100</v>
      </c>
      <c r="V14" s="769" t="s">
        <v>17</v>
      </c>
      <c r="W14" s="770">
        <f t="shared" si="2"/>
        <v>100</v>
      </c>
      <c r="X14" s="771"/>
      <c r="Y14" s="3096"/>
      <c r="Z14" s="3010">
        <f t="shared" si="7"/>
        <v>111</v>
      </c>
      <c r="AA14" s="772">
        <f t="shared" si="3"/>
        <v>1</v>
      </c>
      <c r="AB14" s="772">
        <f t="shared" si="4"/>
        <v>1</v>
      </c>
      <c r="AC14" s="772">
        <f t="shared" si="5"/>
        <v>1</v>
      </c>
    </row>
    <row r="15" spans="1:29" ht="15">
      <c r="A15" s="440" t="s">
        <v>2555</v>
      </c>
      <c r="B15" s="69" t="s">
        <v>2649</v>
      </c>
      <c r="C15" s="2602" t="str">
        <f>估价对象房地状况!C4</f>
        <v>一般</v>
      </c>
      <c r="D15" s="441">
        <v>100</v>
      </c>
      <c r="E15" s="442"/>
      <c r="F15" s="443">
        <f>SUMIF(76:76,E16,77:77)-SUMIF(76:76,C16,77:77)+100</f>
        <v>102</v>
      </c>
      <c r="G15" s="444"/>
      <c r="H15" s="441">
        <f>SUMIF(76:76,G16,77:77)-SUMIF(76:76,C16,77:77)+100</f>
        <v>100</v>
      </c>
      <c r="I15" s="442"/>
      <c r="J15" s="441">
        <f>SUMIF(76:76,I16,77:77)-SUMIF(76:76,C16,77:77)+100</f>
        <v>100</v>
      </c>
      <c r="K15" s="614">
        <v>2</v>
      </c>
      <c r="L15" s="1139"/>
      <c r="M15" s="1130"/>
      <c r="N15" s="1130"/>
      <c r="O15" s="1130"/>
      <c r="P15" s="3289" t="s">
        <v>2556</v>
      </c>
      <c r="Q15" s="3026" t="str">
        <f t="shared" si="6"/>
        <v>商业繁华度</v>
      </c>
      <c r="R15" s="773" t="s">
        <v>17</v>
      </c>
      <c r="S15" s="774">
        <f t="shared" si="0"/>
        <v>102</v>
      </c>
      <c r="T15" s="773" t="s">
        <v>17</v>
      </c>
      <c r="U15" s="774">
        <f t="shared" si="1"/>
        <v>100</v>
      </c>
      <c r="V15" s="773" t="s">
        <v>17</v>
      </c>
      <c r="W15" s="774">
        <f t="shared" si="2"/>
        <v>100</v>
      </c>
      <c r="X15" s="3028"/>
      <c r="Y15" s="3282" t="s">
        <v>2556</v>
      </c>
      <c r="Z15" s="3029" t="str">
        <f t="shared" si="7"/>
        <v>商业繁华度</v>
      </c>
      <c r="AA15" s="3027">
        <f t="shared" si="3"/>
        <v>0.98039215686274506</v>
      </c>
      <c r="AB15" s="3027">
        <f t="shared" si="4"/>
        <v>1</v>
      </c>
      <c r="AC15" s="3027">
        <f t="shared" si="5"/>
        <v>1</v>
      </c>
    </row>
    <row r="16" spans="1:29" ht="15">
      <c r="A16" s="428"/>
      <c r="B16" s="446"/>
      <c r="C16" s="447" t="s">
        <v>3108</v>
      </c>
      <c r="D16" s="448"/>
      <c r="E16" s="447" t="s">
        <v>3104</v>
      </c>
      <c r="F16" s="449"/>
      <c r="G16" s="447" t="s">
        <v>3108</v>
      </c>
      <c r="H16" s="450"/>
      <c r="I16" s="447" t="s">
        <v>3108</v>
      </c>
      <c r="J16" s="448"/>
      <c r="K16" s="615"/>
      <c r="L16" s="1139"/>
      <c r="M16" s="1130"/>
      <c r="N16" s="1130"/>
      <c r="O16" s="1130"/>
      <c r="P16" s="3290"/>
      <c r="Q16" s="3026"/>
      <c r="R16" s="773"/>
      <c r="S16" s="774"/>
      <c r="T16" s="773"/>
      <c r="U16" s="774"/>
      <c r="V16" s="773"/>
      <c r="W16" s="774"/>
      <c r="X16" s="3028"/>
      <c r="Y16" s="3283"/>
      <c r="Z16" s="3029"/>
      <c r="AA16" s="3027">
        <v>1</v>
      </c>
      <c r="AB16" s="3027">
        <v>1</v>
      </c>
      <c r="AC16" s="3027">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90"/>
      <c r="Q17" s="3026" t="str">
        <f>B17</f>
        <v>交通便捷度</v>
      </c>
      <c r="R17" s="773" t="s">
        <v>17</v>
      </c>
      <c r="S17" s="774">
        <f>F17</f>
        <v>100</v>
      </c>
      <c r="T17" s="773" t="s">
        <v>17</v>
      </c>
      <c r="U17" s="774">
        <f>H17</f>
        <v>100</v>
      </c>
      <c r="V17" s="773" t="s">
        <v>17</v>
      </c>
      <c r="W17" s="774">
        <f>J17</f>
        <v>100</v>
      </c>
      <c r="X17" s="3028"/>
      <c r="Y17" s="3283"/>
      <c r="Z17" s="3029" t="str">
        <f>Q17</f>
        <v>交通便捷度</v>
      </c>
      <c r="AA17" s="3027">
        <f t="shared" si="3"/>
        <v>1</v>
      </c>
      <c r="AB17" s="3027">
        <f t="shared" si="4"/>
        <v>1</v>
      </c>
      <c r="AC17" s="3027">
        <f t="shared" si="5"/>
        <v>1</v>
      </c>
    </row>
    <row r="18" spans="1:29" ht="15">
      <c r="A18" s="428"/>
      <c r="B18" s="456"/>
      <c r="C18" s="2607" t="s">
        <v>3104</v>
      </c>
      <c r="D18" s="450"/>
      <c r="E18" s="2607" t="s">
        <v>3104</v>
      </c>
      <c r="F18" s="453"/>
      <c r="G18" s="2607" t="s">
        <v>3104</v>
      </c>
      <c r="H18" s="448"/>
      <c r="I18" s="2607" t="s">
        <v>3104</v>
      </c>
      <c r="J18" s="448"/>
      <c r="K18" s="615"/>
      <c r="L18" s="1139"/>
      <c r="M18" s="1130"/>
      <c r="N18" s="1130"/>
      <c r="O18" s="1130"/>
      <c r="P18" s="3290"/>
      <c r="Q18" s="3026"/>
      <c r="R18" s="773"/>
      <c r="S18" s="774"/>
      <c r="T18" s="773"/>
      <c r="U18" s="774"/>
      <c r="V18" s="773"/>
      <c r="W18" s="774"/>
      <c r="X18" s="3028"/>
      <c r="Y18" s="3283"/>
      <c r="Z18" s="3029"/>
      <c r="AA18" s="3027">
        <v>1</v>
      </c>
      <c r="AB18" s="3027">
        <v>1</v>
      </c>
      <c r="AC18" s="3027">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90"/>
      <c r="Q19" s="3026" t="str">
        <f>B19</f>
        <v>公共配套设施</v>
      </c>
      <c r="R19" s="773" t="s">
        <v>17</v>
      </c>
      <c r="S19" s="774">
        <f>F19</f>
        <v>100</v>
      </c>
      <c r="T19" s="773" t="s">
        <v>17</v>
      </c>
      <c r="U19" s="774">
        <f>H19</f>
        <v>100</v>
      </c>
      <c r="V19" s="773" t="s">
        <v>17</v>
      </c>
      <c r="W19" s="774">
        <f>J19</f>
        <v>100</v>
      </c>
      <c r="X19" s="3028"/>
      <c r="Y19" s="3283"/>
      <c r="Z19" s="3029" t="str">
        <f>Q19</f>
        <v>公共配套设施</v>
      </c>
      <c r="AA19" s="3027">
        <f t="shared" si="3"/>
        <v>1</v>
      </c>
      <c r="AB19" s="3027">
        <f t="shared" si="4"/>
        <v>1</v>
      </c>
      <c r="AC19" s="3027">
        <f t="shared" si="5"/>
        <v>1</v>
      </c>
    </row>
    <row r="20" spans="1:29" ht="15">
      <c r="A20" s="428"/>
      <c r="B20" s="456"/>
      <c r="C20" s="447" t="s">
        <v>3104</v>
      </c>
      <c r="D20" s="448"/>
      <c r="E20" s="447" t="s">
        <v>3104</v>
      </c>
      <c r="F20" s="449"/>
      <c r="G20" s="447" t="s">
        <v>3104</v>
      </c>
      <c r="H20" s="448"/>
      <c r="I20" s="447" t="s">
        <v>3104</v>
      </c>
      <c r="J20" s="448"/>
      <c r="K20" s="615"/>
      <c r="L20" s="1139"/>
      <c r="M20" s="1130"/>
      <c r="N20" s="1130"/>
      <c r="O20" s="1130"/>
      <c r="P20" s="3290"/>
      <c r="Q20" s="3026"/>
      <c r="R20" s="773"/>
      <c r="S20" s="774"/>
      <c r="T20" s="773"/>
      <c r="U20" s="774"/>
      <c r="V20" s="773"/>
      <c r="W20" s="774"/>
      <c r="X20" s="3028"/>
      <c r="Y20" s="3283"/>
      <c r="Z20" s="3029"/>
      <c r="AA20" s="3027">
        <v>1</v>
      </c>
      <c r="AB20" s="3027">
        <v>1</v>
      </c>
      <c r="AC20" s="3027">
        <v>1</v>
      </c>
    </row>
    <row r="21" spans="1:29" ht="15">
      <c r="A21" s="428"/>
      <c r="B21" s="1383"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90"/>
      <c r="Q21" s="3026" t="str">
        <f>B21</f>
        <v>基础设施水平</v>
      </c>
      <c r="R21" s="773" t="s">
        <v>17</v>
      </c>
      <c r="S21" s="774">
        <f>F21</f>
        <v>100</v>
      </c>
      <c r="T21" s="773" t="s">
        <v>17</v>
      </c>
      <c r="U21" s="774">
        <f>H21</f>
        <v>100</v>
      </c>
      <c r="V21" s="773" t="s">
        <v>17</v>
      </c>
      <c r="W21" s="774">
        <f>J21</f>
        <v>100</v>
      </c>
      <c r="X21" s="3028"/>
      <c r="Y21" s="3283"/>
      <c r="Z21" s="3029" t="str">
        <f>Q21</f>
        <v>基础设施水平</v>
      </c>
      <c r="AA21" s="3027">
        <f t="shared" ref="AA21" si="8">D21/F21</f>
        <v>1</v>
      </c>
      <c r="AB21" s="3027">
        <f t="shared" ref="AB21" si="9">D21/H21</f>
        <v>1</v>
      </c>
      <c r="AC21" s="3027">
        <f t="shared" ref="AC21" si="10">D21/J21</f>
        <v>1</v>
      </c>
    </row>
    <row r="22" spans="1:29" ht="15">
      <c r="A22" s="428"/>
      <c r="B22" s="1383"/>
      <c r="C22" s="2607" t="s">
        <v>3106</v>
      </c>
      <c r="D22" s="448"/>
      <c r="E22" s="2607" t="s">
        <v>3106</v>
      </c>
      <c r="F22" s="449"/>
      <c r="G22" s="2607" t="s">
        <v>3106</v>
      </c>
      <c r="H22" s="448"/>
      <c r="I22" s="2607" t="s">
        <v>3106</v>
      </c>
      <c r="J22" s="448"/>
      <c r="K22" s="1382"/>
      <c r="L22" s="1139"/>
      <c r="M22" s="1130"/>
      <c r="N22" s="1130"/>
      <c r="O22" s="1130"/>
      <c r="P22" s="3290"/>
      <c r="Q22" s="3026"/>
      <c r="R22" s="773"/>
      <c r="S22" s="774"/>
      <c r="T22" s="773"/>
      <c r="U22" s="774"/>
      <c r="V22" s="773"/>
      <c r="W22" s="774"/>
      <c r="X22" s="3028"/>
      <c r="Y22" s="3283"/>
      <c r="Z22" s="3029"/>
      <c r="AA22" s="3027">
        <v>1</v>
      </c>
      <c r="AB22" s="3027">
        <v>1</v>
      </c>
      <c r="AC22" s="3027">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90"/>
      <c r="Q23" s="3026" t="str">
        <f>B23</f>
        <v>自然及人文环境</v>
      </c>
      <c r="R23" s="773" t="s">
        <v>17</v>
      </c>
      <c r="S23" s="774">
        <f>F23</f>
        <v>100</v>
      </c>
      <c r="T23" s="773" t="s">
        <v>17</v>
      </c>
      <c r="U23" s="774">
        <f>H23</f>
        <v>100</v>
      </c>
      <c r="V23" s="773" t="s">
        <v>17</v>
      </c>
      <c r="W23" s="774">
        <f>J23</f>
        <v>100</v>
      </c>
      <c r="X23" s="3028"/>
      <c r="Y23" s="3283"/>
      <c r="Z23" s="3029" t="str">
        <f>Q23</f>
        <v>自然及人文环境</v>
      </c>
      <c r="AA23" s="3027">
        <f t="shared" si="3"/>
        <v>1</v>
      </c>
      <c r="AB23" s="3027">
        <f t="shared" si="4"/>
        <v>1</v>
      </c>
      <c r="AC23" s="3027">
        <f t="shared" si="5"/>
        <v>1</v>
      </c>
    </row>
    <row r="24" spans="1:29" ht="15">
      <c r="A24" s="428"/>
      <c r="B24" s="456"/>
      <c r="C24" s="447" t="s">
        <v>3104</v>
      </c>
      <c r="D24" s="448"/>
      <c r="E24" s="447" t="s">
        <v>3104</v>
      </c>
      <c r="F24" s="449"/>
      <c r="G24" s="447" t="s">
        <v>3104</v>
      </c>
      <c r="H24" s="448"/>
      <c r="I24" s="447" t="s">
        <v>3104</v>
      </c>
      <c r="J24" s="448"/>
      <c r="K24" s="615"/>
      <c r="L24" s="1139"/>
      <c r="M24" s="1130"/>
      <c r="N24" s="1130"/>
      <c r="O24" s="1130"/>
      <c r="P24" s="3290"/>
      <c r="Q24" s="3026"/>
      <c r="R24" s="773"/>
      <c r="S24" s="774"/>
      <c r="T24" s="773"/>
      <c r="U24" s="774"/>
      <c r="V24" s="773"/>
      <c r="W24" s="774"/>
      <c r="X24" s="3028"/>
      <c r="Y24" s="3283"/>
      <c r="Z24" s="3029"/>
      <c r="AA24" s="3027">
        <v>1</v>
      </c>
      <c r="AB24" s="3027">
        <v>1</v>
      </c>
      <c r="AC24" s="3027">
        <v>1</v>
      </c>
    </row>
    <row r="25" spans="1:29" ht="15">
      <c r="A25" s="428"/>
      <c r="B25" s="3019" t="s">
        <v>2652</v>
      </c>
      <c r="C25" s="616" t="s">
        <v>3147</v>
      </c>
      <c r="D25" s="435">
        <v>100</v>
      </c>
      <c r="E25" s="616" t="s">
        <v>3147</v>
      </c>
      <c r="F25" s="461">
        <f>SUMIF(86:86,E25,87:87)-SUMIF(86:86,C25,87:87)+100</f>
        <v>100</v>
      </c>
      <c r="G25" s="616" t="s">
        <v>3147</v>
      </c>
      <c r="H25" s="435">
        <f>SUMIF(86:86,G25,87:87)-SUMIF(86:86,C25,87:87)+100</f>
        <v>100</v>
      </c>
      <c r="I25" s="616" t="s">
        <v>3147</v>
      </c>
      <c r="J25" s="435">
        <f>SUMIF(86:86,I25,87:87)-SUMIF(86:86,C25,87:87)+100</f>
        <v>100</v>
      </c>
      <c r="K25" s="612">
        <v>2</v>
      </c>
      <c r="L25" s="1139"/>
      <c r="M25" s="1130"/>
      <c r="N25" s="1130"/>
      <c r="O25" s="1130"/>
      <c r="P25" s="3290"/>
      <c r="Q25" s="3026" t="str">
        <f t="shared" ref="Q25:Q46" si="11">B25</f>
        <v>临街状况</v>
      </c>
      <c r="R25" s="773" t="s">
        <v>17</v>
      </c>
      <c r="S25" s="774">
        <f>F25</f>
        <v>100</v>
      </c>
      <c r="T25" s="773" t="s">
        <v>17</v>
      </c>
      <c r="U25" s="774">
        <f>H25</f>
        <v>100</v>
      </c>
      <c r="V25" s="773" t="s">
        <v>17</v>
      </c>
      <c r="W25" s="774">
        <f>J25</f>
        <v>100</v>
      </c>
      <c r="X25" s="3028"/>
      <c r="Y25" s="3283"/>
      <c r="Z25" s="3029" t="str">
        <f>Q25</f>
        <v>临街状况</v>
      </c>
      <c r="AA25" s="3027">
        <f t="shared" si="3"/>
        <v>1</v>
      </c>
      <c r="AB25" s="3027">
        <f t="shared" si="4"/>
        <v>1</v>
      </c>
      <c r="AC25" s="3027">
        <f t="shared" si="5"/>
        <v>1</v>
      </c>
    </row>
    <row r="26" spans="1:29" ht="15">
      <c r="A26" s="428"/>
      <c r="B26" s="1385"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90"/>
      <c r="Q26" s="3026" t="str">
        <f t="shared" si="11"/>
        <v>平面位置/可视性</v>
      </c>
      <c r="R26" s="773" t="s">
        <v>17</v>
      </c>
      <c r="S26" s="774">
        <f>F26</f>
        <v>100</v>
      </c>
      <c r="T26" s="773" t="s">
        <v>17</v>
      </c>
      <c r="U26" s="774">
        <f>H26</f>
        <v>100</v>
      </c>
      <c r="V26" s="773" t="s">
        <v>17</v>
      </c>
      <c r="W26" s="774">
        <f>J26</f>
        <v>100</v>
      </c>
      <c r="X26" s="3028"/>
      <c r="Y26" s="3283"/>
      <c r="Z26" s="3029" t="str">
        <f>Q26</f>
        <v>平面位置/可视性</v>
      </c>
      <c r="AA26" s="3027">
        <f t="shared" si="3"/>
        <v>1</v>
      </c>
      <c r="AB26" s="3027">
        <f t="shared" si="4"/>
        <v>1</v>
      </c>
      <c r="AC26" s="3027">
        <f t="shared" si="5"/>
        <v>1</v>
      </c>
    </row>
    <row r="27" spans="1:29" s="117" customFormat="1" ht="15" hidden="1">
      <c r="A27" s="431"/>
      <c r="B27" s="451" t="s">
        <v>2654</v>
      </c>
      <c r="C27" s="2664" t="s">
        <v>3108</v>
      </c>
      <c r="D27" s="462">
        <v>100</v>
      </c>
      <c r="E27" s="2664" t="s">
        <v>3108</v>
      </c>
      <c r="F27" s="464">
        <f>SUMIF(90:90,E27,91:91)-SUMIF(90:90,C27,91:91)+100</f>
        <v>100</v>
      </c>
      <c r="G27" s="2664" t="s">
        <v>3108</v>
      </c>
      <c r="H27" s="462">
        <f>SUMIF(90:90,G27,91:91)-SUMIF(90:90,C27,91:91)+100</f>
        <v>100</v>
      </c>
      <c r="I27" s="2664" t="s">
        <v>3108</v>
      </c>
      <c r="J27" s="462">
        <f>SUMIF(90:90,I27,91:91)-SUMIF(90:90,C27,91:91)+100</f>
        <v>100</v>
      </c>
      <c r="K27" s="612">
        <v>2</v>
      </c>
      <c r="L27" s="1131"/>
      <c r="M27" s="1132"/>
      <c r="N27" s="1132"/>
      <c r="O27" s="1132"/>
      <c r="P27" s="3290"/>
      <c r="Q27" s="3008" t="str">
        <f t="shared" si="11"/>
        <v>人流量</v>
      </c>
      <c r="R27" s="769" t="s">
        <v>17</v>
      </c>
      <c r="S27" s="770">
        <f>F27</f>
        <v>100</v>
      </c>
      <c r="T27" s="769" t="s">
        <v>17</v>
      </c>
      <c r="U27" s="770">
        <f>H27</f>
        <v>100</v>
      </c>
      <c r="V27" s="769" t="s">
        <v>17</v>
      </c>
      <c r="W27" s="770">
        <f>J27</f>
        <v>100</v>
      </c>
      <c r="X27" s="771"/>
      <c r="Y27" s="3283"/>
      <c r="Z27" s="3010" t="str">
        <f>Q27</f>
        <v>人流量</v>
      </c>
      <c r="AA27" s="3027">
        <f>D27/F27</f>
        <v>1</v>
      </c>
      <c r="AB27" s="3027">
        <f>D27/H27</f>
        <v>1</v>
      </c>
      <c r="AC27" s="3027">
        <f>D27/J27</f>
        <v>1</v>
      </c>
    </row>
    <row r="28" spans="1:29" ht="15">
      <c r="A28" s="428"/>
      <c r="B28" s="3019" t="s">
        <v>2655</v>
      </c>
      <c r="C28" s="616" t="s">
        <v>3214</v>
      </c>
      <c r="D28" s="435">
        <v>100</v>
      </c>
      <c r="E28" s="616" t="s">
        <v>3161</v>
      </c>
      <c r="F28" s="461">
        <f>SUMIF(92:92,E28,93:93)-SUMIF(92:92,C28,93:93)+100</f>
        <v>120</v>
      </c>
      <c r="G28" s="616" t="s">
        <v>3161</v>
      </c>
      <c r="H28" s="435">
        <f>SUMIF(92:92,G28,93:93)-SUMIF(92:92,C28,93:93)+100</f>
        <v>120</v>
      </c>
      <c r="I28" s="616" t="s">
        <v>3161</v>
      </c>
      <c r="J28" s="435">
        <f>SUMIF(92:92,I28,93:93)-SUMIF(92:92,C28,93:93)+100</f>
        <v>120</v>
      </c>
      <c r="K28" s="613"/>
      <c r="L28" s="1139"/>
      <c r="M28" s="1130"/>
      <c r="N28" s="1130"/>
      <c r="O28" s="1130"/>
      <c r="P28" s="3290"/>
      <c r="Q28" s="3026" t="str">
        <f t="shared" si="11"/>
        <v>楼层</v>
      </c>
      <c r="R28" s="773" t="s">
        <v>17</v>
      </c>
      <c r="S28" s="774">
        <f t="shared" ref="S28:S46" si="12">F28</f>
        <v>120</v>
      </c>
      <c r="T28" s="773" t="s">
        <v>17</v>
      </c>
      <c r="U28" s="774">
        <f t="shared" ref="U28:U46" si="13">H28</f>
        <v>120</v>
      </c>
      <c r="V28" s="773" t="s">
        <v>17</v>
      </c>
      <c r="W28" s="774">
        <f t="shared" ref="W28:W46" si="14">J28</f>
        <v>120</v>
      </c>
      <c r="X28" s="3028"/>
      <c r="Y28" s="3283"/>
      <c r="Z28" s="3029" t="str">
        <f t="shared" ref="Z28:Z46" si="15">Q28</f>
        <v>楼层</v>
      </c>
      <c r="AA28" s="3027">
        <f t="shared" si="3"/>
        <v>0.83333333333333337</v>
      </c>
      <c r="AB28" s="3027">
        <f t="shared" si="4"/>
        <v>0.83333333333333337</v>
      </c>
      <c r="AC28" s="3027">
        <f t="shared" si="5"/>
        <v>0.83333333333333337</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90"/>
      <c r="Q29" s="3026">
        <f t="shared" si="11"/>
        <v>111</v>
      </c>
      <c r="R29" s="773" t="s">
        <v>17</v>
      </c>
      <c r="S29" s="774">
        <f t="shared" si="12"/>
        <v>100</v>
      </c>
      <c r="T29" s="773" t="s">
        <v>17</v>
      </c>
      <c r="U29" s="774">
        <f t="shared" si="13"/>
        <v>100</v>
      </c>
      <c r="V29" s="773" t="s">
        <v>17</v>
      </c>
      <c r="W29" s="774">
        <f t="shared" si="14"/>
        <v>100</v>
      </c>
      <c r="X29" s="3028"/>
      <c r="Y29" s="3283"/>
      <c r="Z29" s="3029">
        <f t="shared" si="15"/>
        <v>111</v>
      </c>
      <c r="AA29" s="3027">
        <f t="shared" si="3"/>
        <v>1</v>
      </c>
      <c r="AB29" s="3027">
        <f t="shared" si="4"/>
        <v>1</v>
      </c>
      <c r="AC29" s="3027">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90"/>
      <c r="Q30" s="3026">
        <f t="shared" si="11"/>
        <v>111</v>
      </c>
      <c r="R30" s="773" t="s">
        <v>17</v>
      </c>
      <c r="S30" s="774">
        <f t="shared" si="12"/>
        <v>100</v>
      </c>
      <c r="T30" s="773" t="s">
        <v>17</v>
      </c>
      <c r="U30" s="774">
        <f t="shared" si="13"/>
        <v>100</v>
      </c>
      <c r="V30" s="773" t="s">
        <v>17</v>
      </c>
      <c r="W30" s="774">
        <f t="shared" si="14"/>
        <v>100</v>
      </c>
      <c r="X30" s="3028"/>
      <c r="Y30" s="3283"/>
      <c r="Z30" s="3029">
        <f t="shared" si="15"/>
        <v>111</v>
      </c>
      <c r="AA30" s="3027">
        <f t="shared" si="3"/>
        <v>1</v>
      </c>
      <c r="AB30" s="3027">
        <f t="shared" si="4"/>
        <v>1</v>
      </c>
      <c r="AC30" s="3027">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90"/>
      <c r="Q31" s="3026">
        <f t="shared" si="11"/>
        <v>111</v>
      </c>
      <c r="R31" s="773" t="s">
        <v>17</v>
      </c>
      <c r="S31" s="774">
        <f t="shared" si="12"/>
        <v>100</v>
      </c>
      <c r="T31" s="773" t="s">
        <v>17</v>
      </c>
      <c r="U31" s="774">
        <f t="shared" si="13"/>
        <v>100</v>
      </c>
      <c r="V31" s="773" t="s">
        <v>17</v>
      </c>
      <c r="W31" s="774">
        <f t="shared" si="14"/>
        <v>100</v>
      </c>
      <c r="X31" s="3028"/>
      <c r="Y31" s="3283"/>
      <c r="Z31" s="3029">
        <f t="shared" si="15"/>
        <v>111</v>
      </c>
      <c r="AA31" s="3027">
        <f t="shared" si="3"/>
        <v>1</v>
      </c>
      <c r="AB31" s="3027">
        <f t="shared" si="4"/>
        <v>1</v>
      </c>
      <c r="AC31" s="3027">
        <f t="shared" si="5"/>
        <v>1</v>
      </c>
    </row>
    <row r="32" spans="1:29" ht="15">
      <c r="A32" s="440" t="s">
        <v>2559</v>
      </c>
      <c r="B32" s="71" t="s">
        <v>2656</v>
      </c>
      <c r="C32" s="2616" t="s">
        <v>3163</v>
      </c>
      <c r="D32" s="467">
        <v>100</v>
      </c>
      <c r="E32" s="3006" t="s">
        <v>3205</v>
      </c>
      <c r="F32" s="461">
        <f>SUMIF(100:100,E32,101:101)-SUMIF(100:100,C32,101:101)+100</f>
        <v>95</v>
      </c>
      <c r="G32" s="2616" t="s">
        <v>3154</v>
      </c>
      <c r="H32" s="435">
        <f>SUMIF(100:100,G32,101:101)-SUMIF(100:100,C32,101:101)+100</f>
        <v>95</v>
      </c>
      <c r="I32" s="2616" t="s">
        <v>3156</v>
      </c>
      <c r="J32" s="467">
        <f>SUMIF(100:100,I32,101:101)-SUMIF(100:100,C32,101:101)+100</f>
        <v>90</v>
      </c>
      <c r="K32" s="612">
        <v>5</v>
      </c>
      <c r="L32" s="1139"/>
      <c r="M32" s="1130"/>
      <c r="N32" s="1130"/>
      <c r="O32" s="1130"/>
      <c r="P32" s="3284" t="s">
        <v>2561</v>
      </c>
      <c r="Q32" s="3026" t="str">
        <f t="shared" si="11"/>
        <v>商业类型</v>
      </c>
      <c r="R32" s="773" t="s">
        <v>17</v>
      </c>
      <c r="S32" s="774">
        <f t="shared" si="12"/>
        <v>95</v>
      </c>
      <c r="T32" s="773" t="s">
        <v>17</v>
      </c>
      <c r="U32" s="774">
        <f t="shared" si="13"/>
        <v>95</v>
      </c>
      <c r="V32" s="773" t="s">
        <v>17</v>
      </c>
      <c r="W32" s="774">
        <f t="shared" si="14"/>
        <v>90</v>
      </c>
      <c r="X32" s="3028"/>
      <c r="Y32" s="3287" t="s">
        <v>2561</v>
      </c>
      <c r="Z32" s="3029" t="str">
        <f t="shared" si="15"/>
        <v>商业类型</v>
      </c>
      <c r="AA32" s="3027">
        <f t="shared" si="3"/>
        <v>1.0526315789473684</v>
      </c>
      <c r="AB32" s="3027">
        <f t="shared" si="4"/>
        <v>1.0526315789473684</v>
      </c>
      <c r="AC32" s="3027">
        <f t="shared" si="5"/>
        <v>1.1111111111111112</v>
      </c>
    </row>
    <row r="33" spans="1:29" s="471" customFormat="1" ht="15">
      <c r="A33" s="468"/>
      <c r="B33" s="3019" t="s">
        <v>2562</v>
      </c>
      <c r="C33" s="469">
        <f>典型户型修正!B24</f>
        <v>1403.15</v>
      </c>
      <c r="D33" s="136">
        <v>100</v>
      </c>
      <c r="E33" s="430">
        <v>199</v>
      </c>
      <c r="F33" s="425">
        <f>LOOKUP(E33,103:103,104:104)-LOOKUP(C33,103:103,104:104)+100</f>
        <v>104</v>
      </c>
      <c r="G33" s="429">
        <v>108.36</v>
      </c>
      <c r="H33" s="136">
        <f>LOOKUP(G33,103:103,104:104)-LOOKUP(C33,103:103,104:104)+100</f>
        <v>104</v>
      </c>
      <c r="I33" s="429">
        <v>95</v>
      </c>
      <c r="J33" s="136">
        <f>LOOKUP(I33,103:103,104:104)-LOOKUP(C33,103:103,104:104)+100</f>
        <v>104</v>
      </c>
      <c r="K33" s="613"/>
      <c r="L33" s="1137"/>
      <c r="M33" s="1140"/>
      <c r="N33" s="1140"/>
      <c r="O33" s="1140"/>
      <c r="P33" s="3285"/>
      <c r="Q33" s="775" t="str">
        <f t="shared" si="11"/>
        <v>项目建筑规模</v>
      </c>
      <c r="R33" s="776" t="s">
        <v>17</v>
      </c>
      <c r="S33" s="777">
        <f t="shared" si="12"/>
        <v>104</v>
      </c>
      <c r="T33" s="776" t="s">
        <v>17</v>
      </c>
      <c r="U33" s="777">
        <f t="shared" si="13"/>
        <v>104</v>
      </c>
      <c r="V33" s="776" t="s">
        <v>17</v>
      </c>
      <c r="W33" s="777">
        <f t="shared" si="14"/>
        <v>104</v>
      </c>
      <c r="X33" s="778"/>
      <c r="Y33" s="3287"/>
      <c r="Z33" s="779" t="str">
        <f t="shared" si="15"/>
        <v>项目建筑规模</v>
      </c>
      <c r="AA33" s="3027">
        <f t="shared" si="3"/>
        <v>0.96153846153846156</v>
      </c>
      <c r="AB33" s="3027">
        <f t="shared" si="4"/>
        <v>0.96153846153846156</v>
      </c>
      <c r="AC33" s="3027">
        <f t="shared" si="5"/>
        <v>0.96153846153846156</v>
      </c>
    </row>
    <row r="34" spans="1:29" ht="15">
      <c r="A34" s="472"/>
      <c r="B34" s="3019" t="s">
        <v>2563</v>
      </c>
      <c r="C34" s="2618" t="s">
        <v>3101</v>
      </c>
      <c r="D34" s="435">
        <v>100</v>
      </c>
      <c r="E34" s="2618" t="s">
        <v>3101</v>
      </c>
      <c r="F34" s="461">
        <f>SUMIF(105:105,E34,106:106)-SUMIF(105:105,C34,106:106)+100</f>
        <v>100</v>
      </c>
      <c r="G34" s="2618" t="s">
        <v>3101</v>
      </c>
      <c r="H34" s="435">
        <f>SUMIF(105:105,G34,106:106)-SUMIF(105:105,C34,106:106)+100</f>
        <v>100</v>
      </c>
      <c r="I34" s="2618" t="s">
        <v>3101</v>
      </c>
      <c r="J34" s="435">
        <f>SUMIF(105:105,I34,106:106)-SUMIF(105:105,C34,106:106)+100</f>
        <v>100</v>
      </c>
      <c r="K34" s="612">
        <v>2</v>
      </c>
      <c r="L34" s="1139"/>
      <c r="M34" s="1130"/>
      <c r="N34" s="1130"/>
      <c r="O34" s="1130"/>
      <c r="P34" s="3285"/>
      <c r="Q34" s="3026" t="str">
        <f t="shared" si="11"/>
        <v>建筑结构</v>
      </c>
      <c r="R34" s="773" t="s">
        <v>17</v>
      </c>
      <c r="S34" s="774">
        <f t="shared" si="12"/>
        <v>100</v>
      </c>
      <c r="T34" s="773" t="s">
        <v>17</v>
      </c>
      <c r="U34" s="774">
        <f t="shared" si="13"/>
        <v>100</v>
      </c>
      <c r="V34" s="773" t="s">
        <v>17</v>
      </c>
      <c r="W34" s="774">
        <f t="shared" si="14"/>
        <v>100</v>
      </c>
      <c r="X34" s="3028"/>
      <c r="Y34" s="3287"/>
      <c r="Z34" s="3029" t="str">
        <f t="shared" si="15"/>
        <v>建筑结构</v>
      </c>
      <c r="AA34" s="3027">
        <f t="shared" si="3"/>
        <v>1</v>
      </c>
      <c r="AB34" s="3027">
        <f t="shared" si="4"/>
        <v>1</v>
      </c>
      <c r="AC34" s="3027">
        <f t="shared" si="5"/>
        <v>1</v>
      </c>
    </row>
    <row r="35" spans="1:29" ht="15">
      <c r="A35" s="472"/>
      <c r="B35" s="3019" t="s">
        <v>2657</v>
      </c>
      <c r="C35" s="2612" t="s">
        <v>3158</v>
      </c>
      <c r="D35" s="435">
        <v>100</v>
      </c>
      <c r="E35" s="2612" t="s">
        <v>3158</v>
      </c>
      <c r="F35" s="461">
        <f>SUMIF(107:107,E35,108:108)-SUMIF(107:107,C35,108:108)+100</f>
        <v>100</v>
      </c>
      <c r="G35" s="2612" t="s">
        <v>3158</v>
      </c>
      <c r="H35" s="435">
        <f>SUMIF(107:107,G35,108:108)-SUMIF(107:107,C35,108:108)+100</f>
        <v>100</v>
      </c>
      <c r="I35" s="2612" t="s">
        <v>3162</v>
      </c>
      <c r="J35" s="435">
        <f>SUMIF(107:107,I35,108:108)-SUMIF(107:107,C35,108:108)+100</f>
        <v>98</v>
      </c>
      <c r="K35" s="612">
        <v>2</v>
      </c>
      <c r="L35" s="1139"/>
      <c r="M35" s="1130"/>
      <c r="N35" s="1130"/>
      <c r="O35" s="1130"/>
      <c r="P35" s="3285"/>
      <c r="Q35" s="3026" t="str">
        <f t="shared" si="11"/>
        <v>公共部分装修</v>
      </c>
      <c r="R35" s="773" t="s">
        <v>17</v>
      </c>
      <c r="S35" s="774">
        <f t="shared" si="12"/>
        <v>100</v>
      </c>
      <c r="T35" s="773" t="s">
        <v>17</v>
      </c>
      <c r="U35" s="774">
        <f t="shared" si="13"/>
        <v>100</v>
      </c>
      <c r="V35" s="773" t="s">
        <v>17</v>
      </c>
      <c r="W35" s="774">
        <f t="shared" si="14"/>
        <v>98</v>
      </c>
      <c r="X35" s="3028"/>
      <c r="Y35" s="3287"/>
      <c r="Z35" s="3029" t="str">
        <f t="shared" si="15"/>
        <v>公共部分装修</v>
      </c>
      <c r="AA35" s="3027">
        <f t="shared" si="3"/>
        <v>1</v>
      </c>
      <c r="AB35" s="3027">
        <f t="shared" si="4"/>
        <v>1</v>
      </c>
      <c r="AC35" s="3027">
        <f t="shared" si="5"/>
        <v>1.0204081632653061</v>
      </c>
    </row>
    <row r="36" spans="1:29" ht="15">
      <c r="A36" s="472"/>
      <c r="B36" s="3019" t="s">
        <v>2658</v>
      </c>
      <c r="C36" s="474">
        <f>'数据-取费表'!Y6</f>
        <v>0.92</v>
      </c>
      <c r="D36" s="435">
        <v>100</v>
      </c>
      <c r="E36" s="474">
        <v>0.8</v>
      </c>
      <c r="F36" s="461">
        <f>LOOKUP(E36,110:110,111:111)-LOOKUP(C36,110:110,111:111)+100</f>
        <v>98</v>
      </c>
      <c r="G36" s="474">
        <v>0.85</v>
      </c>
      <c r="H36" s="461">
        <f>LOOKUP(G36,110:110,111:111)-LOOKUP(C36,110:110,111:111)+100</f>
        <v>98</v>
      </c>
      <c r="I36" s="474">
        <v>0.95</v>
      </c>
      <c r="J36" s="435">
        <f>LOOKUP(I36,110:110,111:111)-LOOKUP(C36,110:110,111:111)+100</f>
        <v>100</v>
      </c>
      <c r="K36" s="612">
        <v>2</v>
      </c>
      <c r="L36" s="1139"/>
      <c r="M36" s="1130">
        <v>2007</v>
      </c>
      <c r="N36" s="1130">
        <f>ROUND(1-(2019-2007)/60,2)</f>
        <v>0.8</v>
      </c>
      <c r="O36" s="1130"/>
      <c r="P36" s="3285"/>
      <c r="Q36" s="3026" t="str">
        <f t="shared" si="11"/>
        <v>成新度</v>
      </c>
      <c r="R36" s="773" t="s">
        <v>17</v>
      </c>
      <c r="S36" s="774">
        <f t="shared" si="12"/>
        <v>98</v>
      </c>
      <c r="T36" s="773" t="s">
        <v>17</v>
      </c>
      <c r="U36" s="774">
        <f t="shared" si="13"/>
        <v>98</v>
      </c>
      <c r="V36" s="773" t="s">
        <v>17</v>
      </c>
      <c r="W36" s="774">
        <f t="shared" si="14"/>
        <v>100</v>
      </c>
      <c r="X36" s="3028"/>
      <c r="Y36" s="3287"/>
      <c r="Z36" s="3029" t="str">
        <f t="shared" si="15"/>
        <v>成新度</v>
      </c>
      <c r="AA36" s="3027">
        <f t="shared" si="3"/>
        <v>1.0204081632653061</v>
      </c>
      <c r="AB36" s="3027">
        <f t="shared" si="4"/>
        <v>1.0204081632653061</v>
      </c>
      <c r="AC36" s="3027">
        <f t="shared" si="5"/>
        <v>1</v>
      </c>
    </row>
    <row r="37" spans="1:29" s="117" customFormat="1" ht="15">
      <c r="A37" s="473"/>
      <c r="B37" s="3019" t="s">
        <v>2659</v>
      </c>
      <c r="C37" s="2612" t="s">
        <v>3106</v>
      </c>
      <c r="D37" s="136">
        <v>100</v>
      </c>
      <c r="E37" s="2612" t="s">
        <v>3106</v>
      </c>
      <c r="F37" s="461">
        <f>SUMIF(112:112,E37,113:113)-SUMIF(112:112,C37,113:113)+100</f>
        <v>100</v>
      </c>
      <c r="G37" s="2612" t="s">
        <v>3106</v>
      </c>
      <c r="H37" s="435">
        <f>SUMIF(112:112,G37,113:113)-SUMIF(112:112,C37,113:113)+100</f>
        <v>100</v>
      </c>
      <c r="I37" s="2612" t="s">
        <v>3106</v>
      </c>
      <c r="J37" s="435">
        <f>SUMIF(112:112,I37,113:113)-SUMIF(112:112,C37,113:113)+100</f>
        <v>100</v>
      </c>
      <c r="K37" s="612">
        <v>2</v>
      </c>
      <c r="L37" s="1131"/>
      <c r="M37" s="1132"/>
      <c r="N37" s="1132"/>
      <c r="O37" s="1132"/>
      <c r="P37" s="3285"/>
      <c r="Q37" s="3008" t="str">
        <f t="shared" si="11"/>
        <v>市政基础设施</v>
      </c>
      <c r="R37" s="769" t="s">
        <v>17</v>
      </c>
      <c r="S37" s="770">
        <f t="shared" si="12"/>
        <v>100</v>
      </c>
      <c r="T37" s="769" t="s">
        <v>17</v>
      </c>
      <c r="U37" s="770">
        <f t="shared" si="13"/>
        <v>100</v>
      </c>
      <c r="V37" s="769" t="s">
        <v>17</v>
      </c>
      <c r="W37" s="770">
        <f t="shared" si="14"/>
        <v>100</v>
      </c>
      <c r="X37" s="771"/>
      <c r="Y37" s="3287"/>
      <c r="Z37" s="3010" t="str">
        <f t="shared" si="15"/>
        <v>市政基础设施</v>
      </c>
      <c r="AA37" s="772">
        <f t="shared" si="3"/>
        <v>1</v>
      </c>
      <c r="AB37" s="772">
        <f t="shared" si="4"/>
        <v>1</v>
      </c>
      <c r="AC37" s="772">
        <f t="shared" si="5"/>
        <v>1</v>
      </c>
    </row>
    <row r="38" spans="1:29" ht="15">
      <c r="A38" s="472"/>
      <c r="B38" s="3019" t="s">
        <v>2660</v>
      </c>
      <c r="C38" s="2612" t="s">
        <v>3167</v>
      </c>
      <c r="D38" s="435">
        <v>100</v>
      </c>
      <c r="E38" s="2612" t="s">
        <v>3160</v>
      </c>
      <c r="F38" s="461">
        <f>SUMIF(114:114,E38,115:115)-SUMIF(114:114,C38,115:115)+100</f>
        <v>102</v>
      </c>
      <c r="G38" s="2612" t="s">
        <v>3160</v>
      </c>
      <c r="H38" s="435">
        <f>SUMIF(114:114,G38,115:115)-SUMIF(114:114,C38,115:115)+100</f>
        <v>102</v>
      </c>
      <c r="I38" s="2612" t="s">
        <v>3160</v>
      </c>
      <c r="J38" s="435">
        <f>SUMIF(114:114,I38,115:115)-SUMIF(114:114,C38,115:115)+100</f>
        <v>102</v>
      </c>
      <c r="K38" s="612">
        <v>2</v>
      </c>
      <c r="L38" s="1139"/>
      <c r="M38" s="1130"/>
      <c r="N38" s="1130"/>
      <c r="O38" s="1130"/>
      <c r="P38" s="3285" t="s">
        <v>2561</v>
      </c>
      <c r="Q38" s="3026" t="str">
        <f t="shared" si="11"/>
        <v>业态</v>
      </c>
      <c r="R38" s="773" t="s">
        <v>17</v>
      </c>
      <c r="S38" s="774">
        <f t="shared" si="12"/>
        <v>102</v>
      </c>
      <c r="T38" s="773" t="s">
        <v>17</v>
      </c>
      <c r="U38" s="774">
        <f t="shared" si="13"/>
        <v>102</v>
      </c>
      <c r="V38" s="773" t="s">
        <v>17</v>
      </c>
      <c r="W38" s="774">
        <f t="shared" si="14"/>
        <v>102</v>
      </c>
      <c r="X38" s="3028"/>
      <c r="Y38" s="3287" t="s">
        <v>2561</v>
      </c>
      <c r="Z38" s="3029" t="str">
        <f t="shared" si="15"/>
        <v>业态</v>
      </c>
      <c r="AA38" s="3027">
        <f t="shared" si="3"/>
        <v>0.98039215686274506</v>
      </c>
      <c r="AB38" s="3027">
        <f t="shared" si="4"/>
        <v>0.98039215686274506</v>
      </c>
      <c r="AC38" s="3027">
        <f t="shared" si="5"/>
        <v>0.98039215686274506</v>
      </c>
    </row>
    <row r="39" spans="1:29" ht="15">
      <c r="A39" s="472"/>
      <c r="B39" s="3019"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v>2</v>
      </c>
      <c r="L39" s="1139"/>
      <c r="M39" s="1130"/>
      <c r="N39" s="1130"/>
      <c r="O39" s="1130"/>
      <c r="P39" s="3285"/>
      <c r="Q39" s="3026" t="str">
        <f t="shared" si="11"/>
        <v>层高</v>
      </c>
      <c r="R39" s="773" t="s">
        <v>17</v>
      </c>
      <c r="S39" s="774">
        <f t="shared" si="12"/>
        <v>100</v>
      </c>
      <c r="T39" s="773" t="s">
        <v>17</v>
      </c>
      <c r="U39" s="774">
        <f t="shared" si="13"/>
        <v>100</v>
      </c>
      <c r="V39" s="773" t="s">
        <v>17</v>
      </c>
      <c r="W39" s="774">
        <f t="shared" si="14"/>
        <v>100</v>
      </c>
      <c r="X39" s="3028"/>
      <c r="Y39" s="3287"/>
      <c r="Z39" s="3029" t="str">
        <f t="shared" si="15"/>
        <v>层高</v>
      </c>
      <c r="AA39" s="3027">
        <f t="shared" si="3"/>
        <v>1</v>
      </c>
      <c r="AB39" s="3027">
        <f t="shared" si="4"/>
        <v>1</v>
      </c>
      <c r="AC39" s="3027">
        <f t="shared" si="5"/>
        <v>1</v>
      </c>
    </row>
    <row r="40" spans="1:29" ht="15">
      <c r="A40" s="472"/>
      <c r="B40" s="3019"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85"/>
      <c r="Q40" s="3026" t="str">
        <f t="shared" si="11"/>
        <v>单套建筑面积</v>
      </c>
      <c r="R40" s="773" t="s">
        <v>17</v>
      </c>
      <c r="S40" s="774">
        <f t="shared" si="12"/>
        <v>100</v>
      </c>
      <c r="T40" s="773" t="s">
        <v>17</v>
      </c>
      <c r="U40" s="774">
        <f t="shared" si="13"/>
        <v>100</v>
      </c>
      <c r="V40" s="773" t="s">
        <v>17</v>
      </c>
      <c r="W40" s="774">
        <f t="shared" si="14"/>
        <v>100</v>
      </c>
      <c r="X40" s="3028"/>
      <c r="Y40" s="3287"/>
      <c r="Z40" s="3029" t="str">
        <f t="shared" si="15"/>
        <v>单套建筑面积</v>
      </c>
      <c r="AA40" s="3027">
        <f t="shared" si="3"/>
        <v>1</v>
      </c>
      <c r="AB40" s="3027">
        <f t="shared" si="4"/>
        <v>1</v>
      </c>
      <c r="AC40" s="3027">
        <f t="shared" si="5"/>
        <v>1</v>
      </c>
    </row>
    <row r="41" spans="1:29" s="471" customFormat="1" ht="15">
      <c r="A41" s="468"/>
      <c r="B41" s="302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7"/>
      <c r="M41" s="1140"/>
      <c r="N41" s="1140"/>
      <c r="O41" s="1140"/>
      <c r="P41" s="3285"/>
      <c r="Q41" s="775" t="str">
        <f t="shared" si="11"/>
        <v>进深比</v>
      </c>
      <c r="R41" s="776" t="s">
        <v>17</v>
      </c>
      <c r="S41" s="777">
        <f t="shared" si="12"/>
        <v>100</v>
      </c>
      <c r="T41" s="776" t="s">
        <v>17</v>
      </c>
      <c r="U41" s="777">
        <f t="shared" si="13"/>
        <v>100</v>
      </c>
      <c r="V41" s="776" t="s">
        <v>17</v>
      </c>
      <c r="W41" s="777">
        <f t="shared" si="14"/>
        <v>100</v>
      </c>
      <c r="X41" s="778"/>
      <c r="Y41" s="3287"/>
      <c r="Z41" s="779" t="str">
        <f t="shared" si="15"/>
        <v>进深比</v>
      </c>
      <c r="AA41" s="3027">
        <f t="shared" si="3"/>
        <v>1</v>
      </c>
      <c r="AB41" s="3027">
        <f t="shared" si="4"/>
        <v>1</v>
      </c>
      <c r="AC41" s="3027">
        <f t="shared" si="5"/>
        <v>1</v>
      </c>
    </row>
    <row r="42" spans="1:29" ht="15">
      <c r="A42" s="472"/>
      <c r="B42" s="3019" t="s">
        <v>2664</v>
      </c>
      <c r="C42" s="2612" t="s">
        <v>3158</v>
      </c>
      <c r="D42" s="435">
        <v>100</v>
      </c>
      <c r="E42" s="2612" t="s">
        <v>3162</v>
      </c>
      <c r="F42" s="461">
        <f>SUMIF(122:122,E42,123:123)-SUMIF(122:122,C42,123:123)+100</f>
        <v>95</v>
      </c>
      <c r="G42" s="2612" t="s">
        <v>3162</v>
      </c>
      <c r="H42" s="435">
        <f>SUMIF(122:122,G42,123:123)-SUMIF(122:122,C42,123:123)+100</f>
        <v>95</v>
      </c>
      <c r="I42" s="2612" t="s">
        <v>3162</v>
      </c>
      <c r="J42" s="435">
        <f>SUMIF(122:122,I42,123:123)-SUMIF(122:122,C42,123:123)+100</f>
        <v>95</v>
      </c>
      <c r="K42" s="612">
        <v>5</v>
      </c>
      <c r="L42" s="1139"/>
      <c r="M42" s="1130"/>
      <c r="N42" s="1130"/>
      <c r="O42" s="1130"/>
      <c r="P42" s="3285"/>
      <c r="Q42" s="3026" t="str">
        <f t="shared" si="11"/>
        <v>内部装修</v>
      </c>
      <c r="R42" s="773" t="s">
        <v>17</v>
      </c>
      <c r="S42" s="774">
        <f t="shared" si="12"/>
        <v>95</v>
      </c>
      <c r="T42" s="773" t="s">
        <v>17</v>
      </c>
      <c r="U42" s="774">
        <f t="shared" si="13"/>
        <v>95</v>
      </c>
      <c r="V42" s="773" t="s">
        <v>17</v>
      </c>
      <c r="W42" s="774">
        <f t="shared" si="14"/>
        <v>95</v>
      </c>
      <c r="X42" s="3028"/>
      <c r="Y42" s="3287"/>
      <c r="Z42" s="3029" t="str">
        <f t="shared" si="15"/>
        <v>内部装修</v>
      </c>
      <c r="AA42" s="3027">
        <f t="shared" si="3"/>
        <v>1.0526315789473684</v>
      </c>
      <c r="AB42" s="3027">
        <f t="shared" si="4"/>
        <v>1.0526315789473684</v>
      </c>
      <c r="AC42" s="3027">
        <f t="shared" si="5"/>
        <v>1.0526315789473684</v>
      </c>
    </row>
    <row r="43" spans="1:29" ht="28.8">
      <c r="A43" s="472"/>
      <c r="B43" s="3019" t="s">
        <v>2572</v>
      </c>
      <c r="C43" s="2612" t="s">
        <v>3104</v>
      </c>
      <c r="D43" s="435">
        <v>100</v>
      </c>
      <c r="E43" s="2612" t="s">
        <v>3104</v>
      </c>
      <c r="F43" s="461">
        <f>SUMIF(124:124,E43,125:125)-SUMIF(124:124,C43,125:125)+100</f>
        <v>100</v>
      </c>
      <c r="G43" s="2612" t="s">
        <v>3104</v>
      </c>
      <c r="H43" s="435">
        <f>SUMIF(124:124,G43,125:125)-SUMIF(124:124,C43,125:125)+100</f>
        <v>100</v>
      </c>
      <c r="I43" s="2612" t="s">
        <v>3104</v>
      </c>
      <c r="J43" s="435">
        <f>SUMIF(124:124,I43,125:125)-SUMIF(124:124,C43,125:125)+100</f>
        <v>100</v>
      </c>
      <c r="K43" s="612">
        <v>2</v>
      </c>
      <c r="L43" s="1139"/>
      <c r="M43" s="1130"/>
      <c r="N43" s="1130"/>
      <c r="O43" s="1130"/>
      <c r="P43" s="3285"/>
      <c r="Q43" s="3026" t="str">
        <f t="shared" si="11"/>
        <v>内部装修维护情况</v>
      </c>
      <c r="R43" s="773" t="s">
        <v>17</v>
      </c>
      <c r="S43" s="774">
        <f t="shared" si="12"/>
        <v>100</v>
      </c>
      <c r="T43" s="773" t="s">
        <v>17</v>
      </c>
      <c r="U43" s="774">
        <f t="shared" si="13"/>
        <v>100</v>
      </c>
      <c r="V43" s="773" t="s">
        <v>17</v>
      </c>
      <c r="W43" s="774">
        <f t="shared" si="14"/>
        <v>100</v>
      </c>
      <c r="X43" s="3028"/>
      <c r="Y43" s="3287"/>
      <c r="Z43" s="3029" t="str">
        <f t="shared" si="15"/>
        <v>内部装修维护情况</v>
      </c>
      <c r="AA43" s="3027">
        <f t="shared" si="3"/>
        <v>1</v>
      </c>
      <c r="AB43" s="3027">
        <f t="shared" si="4"/>
        <v>1</v>
      </c>
      <c r="AC43" s="3027">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5"/>
      <c r="Q44" s="3008">
        <f t="shared" si="11"/>
        <v>111</v>
      </c>
      <c r="R44" s="769" t="s">
        <v>17</v>
      </c>
      <c r="S44" s="770">
        <f t="shared" si="12"/>
        <v>100</v>
      </c>
      <c r="T44" s="769" t="s">
        <v>17</v>
      </c>
      <c r="U44" s="770">
        <f t="shared" si="13"/>
        <v>100</v>
      </c>
      <c r="V44" s="769" t="s">
        <v>17</v>
      </c>
      <c r="W44" s="770">
        <f t="shared" si="14"/>
        <v>100</v>
      </c>
      <c r="X44" s="771"/>
      <c r="Y44" s="3287"/>
      <c r="Z44" s="3010">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5"/>
      <c r="Q45" s="3026">
        <f t="shared" si="11"/>
        <v>111</v>
      </c>
      <c r="R45" s="773" t="s">
        <v>17</v>
      </c>
      <c r="S45" s="774">
        <f t="shared" si="12"/>
        <v>100</v>
      </c>
      <c r="T45" s="773" t="s">
        <v>17</v>
      </c>
      <c r="U45" s="774">
        <f t="shared" si="13"/>
        <v>100</v>
      </c>
      <c r="V45" s="773" t="s">
        <v>17</v>
      </c>
      <c r="W45" s="774">
        <f t="shared" si="14"/>
        <v>100</v>
      </c>
      <c r="X45" s="3028"/>
      <c r="Y45" s="3287"/>
      <c r="Z45" s="3029">
        <f t="shared" si="15"/>
        <v>111</v>
      </c>
      <c r="AA45" s="3027">
        <f t="shared" si="3"/>
        <v>1</v>
      </c>
      <c r="AB45" s="3027">
        <f t="shared" si="4"/>
        <v>1</v>
      </c>
      <c r="AC45" s="3027">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6"/>
      <c r="Q46" s="3026">
        <f t="shared" si="11"/>
        <v>111</v>
      </c>
      <c r="R46" s="773" t="s">
        <v>17</v>
      </c>
      <c r="S46" s="774">
        <f t="shared" si="12"/>
        <v>100</v>
      </c>
      <c r="T46" s="773" t="s">
        <v>17</v>
      </c>
      <c r="U46" s="774">
        <f t="shared" si="13"/>
        <v>100</v>
      </c>
      <c r="V46" s="773" t="s">
        <v>17</v>
      </c>
      <c r="W46" s="774">
        <f t="shared" si="14"/>
        <v>100</v>
      </c>
      <c r="X46" s="3028"/>
      <c r="Y46" s="3288"/>
      <c r="Z46" s="3029">
        <f t="shared" si="15"/>
        <v>111</v>
      </c>
      <c r="AA46" s="3027">
        <f t="shared" si="3"/>
        <v>1</v>
      </c>
      <c r="AB46" s="3027">
        <f t="shared" si="4"/>
        <v>1</v>
      </c>
      <c r="AC46" s="3027">
        <f t="shared" si="5"/>
        <v>1</v>
      </c>
    </row>
    <row r="47" spans="1:29" ht="14.4">
      <c r="A47" s="479" t="s">
        <v>2573</v>
      </c>
      <c r="B47" s="480"/>
      <c r="C47" s="1406" t="s">
        <v>1</v>
      </c>
      <c r="D47" s="1407"/>
      <c r="E47" s="1408">
        <v>41860</v>
      </c>
      <c r="F47" s="1409"/>
      <c r="G47" s="1410">
        <v>40180</v>
      </c>
      <c r="H47" s="1411"/>
      <c r="I47" s="1408">
        <v>39579</v>
      </c>
      <c r="J47" s="1411"/>
      <c r="K47" s="782"/>
      <c r="L47" s="1142"/>
      <c r="M47" s="1143"/>
      <c r="N47" s="1130"/>
      <c r="O47" s="1143"/>
      <c r="P47" s="3280" t="str">
        <f>A47</f>
        <v>成交单价（元/平方米）</v>
      </c>
      <c r="Q47" s="3280"/>
      <c r="R47" s="3275">
        <f>E47</f>
        <v>41860</v>
      </c>
      <c r="S47" s="3275"/>
      <c r="T47" s="3275">
        <f>G47</f>
        <v>40180</v>
      </c>
      <c r="U47" s="3275"/>
      <c r="V47" s="3275">
        <f>I47</f>
        <v>39579</v>
      </c>
      <c r="W47" s="3275"/>
      <c r="X47" s="758"/>
      <c r="Y47" s="780"/>
      <c r="Z47" s="758"/>
      <c r="AA47" s="758"/>
      <c r="AB47" s="758"/>
      <c r="AC47" s="758"/>
    </row>
    <row r="48" spans="1:29" ht="15" thickBot="1">
      <c r="A48" s="486" t="s">
        <v>2574</v>
      </c>
      <c r="B48" s="487"/>
      <c r="C48" s="1412">
        <f>R49</f>
        <v>37159</v>
      </c>
      <c r="D48" s="1413"/>
      <c r="E48" s="1414">
        <f>R48</f>
        <v>37578</v>
      </c>
      <c r="F48" s="1414"/>
      <c r="G48" s="1412">
        <f>T48</f>
        <v>36792</v>
      </c>
      <c r="H48" s="1413"/>
      <c r="I48" s="1414">
        <f>V48</f>
        <v>37107</v>
      </c>
      <c r="J48" s="1413"/>
      <c r="K48" s="783"/>
      <c r="L48" s="1142"/>
      <c r="M48" s="1143"/>
      <c r="N48" s="1130"/>
      <c r="O48" s="1143"/>
      <c r="P48" s="3280" t="str">
        <f>A48</f>
        <v>比较价值（元/平方米）</v>
      </c>
      <c r="Q48" s="3280"/>
      <c r="R48" s="3281">
        <f>IF(F1="售价",ROUND(PRODUCT(R47,AA7:AA46),0),ROUND(PRODUCT(R47,AA7:AA46),1))</f>
        <v>37578</v>
      </c>
      <c r="S48" s="3281"/>
      <c r="T48" s="3281">
        <f>IF(F1="售价",ROUND(PRODUCT(T47,AB7:AB46),0),ROUND(PRODUCT(T47,AB7:AB46),1))</f>
        <v>36792</v>
      </c>
      <c r="U48" s="3281"/>
      <c r="V48" s="3281">
        <f>IF(F1="售价",ROUND(PRODUCT(V47,AC7:AC46),0),ROUND(PRODUCT(V47,AC7:AC46),1))</f>
        <v>37107</v>
      </c>
      <c r="W48" s="3281"/>
      <c r="X48" s="758"/>
      <c r="Y48" s="758"/>
      <c r="Z48" s="758"/>
      <c r="AA48" s="758"/>
      <c r="AB48" s="758"/>
      <c r="AC48" s="758"/>
    </row>
    <row r="49" spans="1:29" ht="15" thickBot="1">
      <c r="A49" s="492" t="s">
        <v>2575</v>
      </c>
      <c r="B49" s="493"/>
      <c r="C49" s="1416">
        <f>R49</f>
        <v>37159</v>
      </c>
      <c r="D49" s="1416"/>
      <c r="E49" s="1416"/>
      <c r="F49" s="1416"/>
      <c r="G49" s="1416"/>
      <c r="H49" s="1416"/>
      <c r="I49" s="1416"/>
      <c r="J49" s="1416"/>
      <c r="K49" s="784"/>
      <c r="L49" s="1142"/>
      <c r="M49" s="1143"/>
      <c r="N49" s="1130"/>
      <c r="O49" s="1143"/>
      <c r="P49" s="3277" t="str">
        <f>A49</f>
        <v>估价对象XX用房的比较价值（楼面单价，元/平方米）</v>
      </c>
      <c r="Q49" s="3278"/>
      <c r="R49" s="3279">
        <f>IF(F1="售价",ROUND(AVERAGE(R48:V48),0),ROUND(AVERAGE(R48:V48),1))</f>
        <v>37159</v>
      </c>
      <c r="S49" s="3279"/>
      <c r="T49" s="3279"/>
      <c r="U49" s="3279"/>
      <c r="V49" s="3279"/>
      <c r="W49" s="32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2576</v>
      </c>
      <c r="D52" s="498"/>
      <c r="E52" s="499">
        <f>IF(E47&lt;E48,E48/E47-1,E47/E48-1)</f>
        <v>0.11394965139177171</v>
      </c>
      <c r="F52" s="500" t="str">
        <f>IF(OR(E52&gt;=0.3,E52&lt;=-0.3),"超过30%","")</f>
        <v/>
      </c>
      <c r="G52" s="499">
        <f>IF(G47&lt;G48,G48/G47-1,G47/G48-1)</f>
        <v>9.2085235920852382E-2</v>
      </c>
      <c r="H52" s="500" t="str">
        <f>IF(OR(G52&gt;=0.3,G52&lt;=-0.3),"超过30%","")</f>
        <v/>
      </c>
      <c r="I52" s="499">
        <f>IF(I47&lt;I48,I48/I47-1,I47/I48-1)</f>
        <v>6.6618158298973329E-2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2577</v>
      </c>
      <c r="D53" s="501"/>
      <c r="E53" s="499">
        <f>IF(E48&lt;G48,G48/E48-1,E48/G48-1)</f>
        <v>2.1363339856490526E-2</v>
      </c>
      <c r="F53" s="500" t="str">
        <f>IF(OR(E53&gt;=0.2,E53&lt;=-0.2),"超过20%","")</f>
        <v/>
      </c>
      <c r="G53" s="499">
        <f>IF(G48&lt;I48,I48/G48-1,G48/I48-1)</f>
        <v>8.5616438356164171E-3</v>
      </c>
      <c r="H53" s="500" t="str">
        <f>IF(OR(G53&gt;=0.2,G53&lt;=-0.2),"超过20%","")</f>
        <v/>
      </c>
      <c r="I53" s="499">
        <f>IF(I48&lt;E48,E48/I48-1,I48/E48-1)</f>
        <v>1.2693022879780136E-2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2578</v>
      </c>
      <c r="D54" s="501"/>
      <c r="E54" s="499">
        <f>IF(E47&lt;G47,G47/E47-1,E47/G47-1)</f>
        <v>4.1811846689895571E-2</v>
      </c>
      <c r="F54" s="500" t="str">
        <f>IF(OR(E54&gt;=0.3,E54&lt;=-0.3),"超过30%","")</f>
        <v/>
      </c>
      <c r="G54" s="499">
        <f>IF(G47&lt;I47,I47/G47-1,G47/I47-1)</f>
        <v>1.5184820232951868E-2</v>
      </c>
      <c r="H54" s="500" t="str">
        <f>IF(OR(G54&gt;=0.3,G54&lt;=-0.3),"超过30%","")</f>
        <v/>
      </c>
      <c r="I54" s="499">
        <f>IF(I47&lt;E47,E47/I47-1,I47/E47-1)</f>
        <v>5.7631572298441069E-2</v>
      </c>
      <c r="J54" s="500" t="str">
        <f>IF(OR(I54&gt;=0.3,I54&lt;=-0.3),"超过30%","")</f>
        <v/>
      </c>
      <c r="K54" s="1147"/>
      <c r="L54" s="1148"/>
      <c r="M54" s="1144"/>
      <c r="N54" s="1144"/>
      <c r="O54" s="1144"/>
      <c r="P54" s="2665"/>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2579</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8" customFormat="1" ht="14.4">
      <c r="A58" s="505" t="s">
        <v>2544</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2581</v>
      </c>
      <c r="B60" s="516"/>
      <c r="C60" s="517"/>
      <c r="D60" s="518"/>
      <c r="E60" s="518"/>
      <c r="F60" s="518"/>
      <c r="G60" s="518"/>
      <c r="H60" s="518"/>
      <c r="I60" s="518"/>
      <c r="J60" s="518"/>
      <c r="K60" s="518"/>
      <c r="L60" s="518"/>
      <c r="M60" s="519"/>
      <c r="N60" s="518"/>
      <c r="O60" s="519"/>
      <c r="P60" s="2627"/>
      <c r="Q60" s="504"/>
    </row>
    <row r="61" spans="1:29" s="117" customFormat="1" ht="14.4">
      <c r="A61" s="521" t="s">
        <v>2546</v>
      </c>
      <c r="B61" s="510"/>
      <c r="C61" s="522" t="s">
        <v>2583</v>
      </c>
      <c r="D61" s="523"/>
      <c r="E61" s="523"/>
      <c r="F61" s="523"/>
      <c r="G61" s="523"/>
      <c r="H61" s="523"/>
      <c r="I61" s="523"/>
      <c r="J61" s="523"/>
      <c r="K61" s="523"/>
      <c r="L61" s="524"/>
      <c r="M61" s="525"/>
      <c r="N61" s="1150"/>
      <c r="O61" s="1150"/>
      <c r="P61" s="2628"/>
      <c r="Q61" s="504"/>
    </row>
    <row r="62" spans="1:29" s="117" customFormat="1" ht="14.4" thickBot="1">
      <c r="A62" s="521"/>
      <c r="B62" s="510"/>
      <c r="C62" s="511">
        <v>100</v>
      </c>
      <c r="D62" s="512"/>
      <c r="E62" s="512"/>
      <c r="F62" s="512"/>
      <c r="G62" s="512"/>
      <c r="H62" s="512"/>
      <c r="I62" s="512"/>
      <c r="J62" s="512"/>
      <c r="K62" s="512"/>
      <c r="L62" s="512"/>
      <c r="M62" s="514"/>
      <c r="N62" s="1150"/>
      <c r="O62" s="1150"/>
      <c r="P62" s="2627"/>
      <c r="Q62" s="504"/>
    </row>
    <row r="63" spans="1:29" ht="14.4">
      <c r="A63" s="527" t="s">
        <v>2584</v>
      </c>
      <c r="B63" s="528" t="s">
        <v>2550</v>
      </c>
      <c r="C63" s="529" t="str">
        <f>C9</f>
        <v>商业</v>
      </c>
      <c r="D63" s="530"/>
      <c r="E63" s="530"/>
      <c r="F63" s="530"/>
      <c r="G63" s="530"/>
      <c r="H63" s="530"/>
      <c r="I63" s="530"/>
      <c r="J63" s="530"/>
      <c r="K63" s="531"/>
      <c r="L63" s="532"/>
      <c r="M63" s="533"/>
      <c r="N63" s="1151"/>
      <c r="O63" s="1151"/>
      <c r="P63" s="2629"/>
      <c r="Q63" s="504"/>
    </row>
    <row r="64" spans="1:29" ht="14.4" thickBot="1">
      <c r="A64" s="534"/>
      <c r="B64" s="535"/>
      <c r="C64" s="536">
        <v>100</v>
      </c>
      <c r="D64" s="536"/>
      <c r="E64" s="536"/>
      <c r="F64" s="536"/>
      <c r="G64" s="536"/>
      <c r="H64" s="536"/>
      <c r="I64" s="536"/>
      <c r="J64" s="536"/>
      <c r="K64" s="536"/>
      <c r="L64" s="536"/>
      <c r="M64" s="537"/>
      <c r="N64" s="1152"/>
      <c r="O64" s="1152"/>
      <c r="P64" s="2629"/>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9"/>
      <c r="Q65" s="504"/>
    </row>
    <row r="66" spans="1:17" ht="14.4" thickBot="1">
      <c r="A66" s="534"/>
      <c r="B66" s="543"/>
      <c r="C66" s="544" t="s">
        <v>24</v>
      </c>
      <c r="D66" s="544" t="s">
        <v>24</v>
      </c>
      <c r="E66" s="544" t="s">
        <v>24</v>
      </c>
      <c r="F66" s="544">
        <v>100</v>
      </c>
      <c r="G66" s="544">
        <f>F66-$K10</f>
        <v>97</v>
      </c>
      <c r="H66" s="544">
        <f>G66-$K10</f>
        <v>94</v>
      </c>
      <c r="I66" s="544">
        <f>H66-$K10</f>
        <v>91</v>
      </c>
      <c r="J66" s="544"/>
      <c r="K66" s="544"/>
      <c r="L66" s="544"/>
      <c r="M66" s="545"/>
      <c r="N66" s="1152"/>
      <c r="O66" s="1152"/>
      <c r="P66" s="2629"/>
      <c r="Q66" s="504"/>
    </row>
    <row r="67" spans="1:17" ht="1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v>
      </c>
      <c r="K67" s="547" t="str">
        <f t="shared" si="17"/>
        <v>（含）-</v>
      </c>
      <c r="L67" s="547" t="str">
        <f t="shared" si="17"/>
        <v>（含）-</v>
      </c>
      <c r="M67" s="448" t="str">
        <f>M68&amp;"（含）"&amp;"-"&amp;P68</f>
        <v>（含）-</v>
      </c>
      <c r="N67" s="1152"/>
      <c r="O67" s="1152"/>
      <c r="P67" s="2629"/>
      <c r="Q67" s="504"/>
    </row>
    <row r="68" spans="1:17">
      <c r="A68" s="534"/>
      <c r="B68" s="548"/>
      <c r="C68" s="549">
        <v>0</v>
      </c>
      <c r="D68" s="549">
        <v>1</v>
      </c>
      <c r="E68" s="549">
        <v>2</v>
      </c>
      <c r="F68" s="549">
        <v>3</v>
      </c>
      <c r="G68" s="549">
        <v>4</v>
      </c>
      <c r="H68" s="549">
        <v>5</v>
      </c>
      <c r="I68" s="549">
        <v>6</v>
      </c>
      <c r="J68" s="549">
        <v>7</v>
      </c>
      <c r="K68" s="550"/>
      <c r="L68" s="551"/>
      <c r="M68" s="552"/>
      <c r="N68" s="1151"/>
      <c r="O68" s="1151"/>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4.4" thickTop="1">
      <c r="A70" s="553"/>
      <c r="B70" s="538">
        <f>B12</f>
        <v>111</v>
      </c>
      <c r="C70" s="554"/>
      <c r="D70" s="554"/>
      <c r="E70" s="554"/>
      <c r="F70" s="554"/>
      <c r="G70" s="554"/>
      <c r="H70" s="555"/>
      <c r="I70" s="555"/>
      <c r="J70" s="555"/>
      <c r="K70" s="555"/>
      <c r="L70" s="556"/>
      <c r="M70" s="557"/>
      <c r="N70" s="1153"/>
      <c r="O70" s="1153"/>
      <c r="P70" s="2630"/>
      <c r="Q70" s="559"/>
    </row>
    <row r="71" spans="1:17" s="471" customFormat="1" ht="14.4" thickBot="1">
      <c r="A71" s="553"/>
      <c r="B71" s="543"/>
      <c r="C71" s="560"/>
      <c r="D71" s="536"/>
      <c r="E71" s="536"/>
      <c r="F71" s="536"/>
      <c r="G71" s="536"/>
      <c r="H71" s="536"/>
      <c r="I71" s="536"/>
      <c r="J71" s="536"/>
      <c r="K71" s="536"/>
      <c r="L71" s="536"/>
      <c r="M71" s="537"/>
      <c r="N71" s="1152"/>
      <c r="O71" s="1152"/>
      <c r="P71" s="2630"/>
      <c r="Q71" s="559"/>
    </row>
    <row r="72" spans="1:17" s="471" customFormat="1" ht="14.4" thickTop="1">
      <c r="A72" s="553"/>
      <c r="B72" s="538">
        <f>B13</f>
        <v>111</v>
      </c>
      <c r="C72" s="554"/>
      <c r="D72" s="554"/>
      <c r="E72" s="554"/>
      <c r="F72" s="554"/>
      <c r="G72" s="554"/>
      <c r="H72" s="555"/>
      <c r="I72" s="555"/>
      <c r="J72" s="555"/>
      <c r="K72" s="555"/>
      <c r="L72" s="556"/>
      <c r="M72" s="557"/>
      <c r="N72" s="1153"/>
      <c r="O72" s="1153"/>
      <c r="P72" s="2631"/>
      <c r="Q72" s="561"/>
    </row>
    <row r="73" spans="1:17" s="471" customFormat="1" ht="14.4" thickBot="1">
      <c r="A73" s="553"/>
      <c r="B73" s="543"/>
      <c r="C73" s="560"/>
      <c r="D73" s="536"/>
      <c r="E73" s="536"/>
      <c r="F73" s="536"/>
      <c r="G73" s="560"/>
      <c r="H73" s="562"/>
      <c r="I73" s="562"/>
      <c r="J73" s="562"/>
      <c r="K73" s="562"/>
      <c r="L73" s="562"/>
      <c r="M73" s="563"/>
      <c r="N73" s="1153"/>
      <c r="O73" s="1153"/>
      <c r="P73" s="2630"/>
      <c r="Q73" s="559"/>
    </row>
    <row r="74" spans="1:17" s="471" customFormat="1" ht="14.4" thickTop="1">
      <c r="A74" s="553"/>
      <c r="B74" s="546">
        <f>B14</f>
        <v>111</v>
      </c>
      <c r="C74" s="554"/>
      <c r="D74" s="554"/>
      <c r="E74" s="554"/>
      <c r="F74" s="554"/>
      <c r="G74" s="523"/>
      <c r="H74" s="564"/>
      <c r="I74" s="564"/>
      <c r="J74" s="564"/>
      <c r="K74" s="564"/>
      <c r="L74" s="565"/>
      <c r="M74" s="566"/>
      <c r="N74" s="1153"/>
      <c r="O74" s="1153"/>
      <c r="P74" s="2632"/>
      <c r="Q74" s="559"/>
    </row>
    <row r="75" spans="1:17" s="471" customFormat="1" ht="14.4" thickBot="1">
      <c r="A75" s="568"/>
      <c r="B75" s="569"/>
      <c r="C75" s="570"/>
      <c r="D75" s="570"/>
      <c r="E75" s="570"/>
      <c r="F75" s="570"/>
      <c r="G75" s="570"/>
      <c r="H75" s="571"/>
      <c r="I75" s="571"/>
      <c r="J75" s="571"/>
      <c r="K75" s="571"/>
      <c r="L75" s="571"/>
      <c r="M75" s="572"/>
      <c r="N75" s="1153"/>
      <c r="O75" s="1153"/>
      <c r="P75" s="2630"/>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9"/>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9"/>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2"/>
      <c r="O81" s="1152"/>
      <c r="P81" s="2629"/>
      <c r="Q81" s="504"/>
    </row>
    <row r="82" spans="1:17" ht="15" thickTop="1">
      <c r="A82" s="534"/>
      <c r="B82" s="546" t="s">
        <v>2651</v>
      </c>
      <c r="C82" s="660" t="s">
        <v>2671</v>
      </c>
      <c r="D82" s="660" t="s">
        <v>2672</v>
      </c>
      <c r="E82" s="660" t="s">
        <v>2673</v>
      </c>
      <c r="F82" s="660" t="s">
        <v>2674</v>
      </c>
      <c r="G82" s="660" t="s">
        <v>2675</v>
      </c>
      <c r="H82" s="539"/>
      <c r="I82" s="539"/>
      <c r="J82" s="539"/>
      <c r="K82" s="539"/>
      <c r="L82" s="539"/>
      <c r="M82" s="1381"/>
      <c r="N82" s="1152"/>
      <c r="O82" s="1152"/>
      <c r="P82" s="2629"/>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 thickTop="1">
      <c r="A86" s="579"/>
      <c r="B86" s="538" t="s">
        <v>2676</v>
      </c>
      <c r="C86" s="2984" t="s">
        <v>3118</v>
      </c>
      <c r="D86" s="2984" t="s">
        <v>3119</v>
      </c>
      <c r="E86" s="2984" t="s">
        <v>3120</v>
      </c>
      <c r="F86" s="2984" t="s">
        <v>3121</v>
      </c>
      <c r="G86" s="554"/>
      <c r="H86" s="554"/>
      <c r="I86" s="554"/>
      <c r="J86" s="554"/>
      <c r="K86" s="554"/>
      <c r="L86" s="580"/>
      <c r="M86" s="581"/>
      <c r="N86" s="1150"/>
      <c r="O86" s="1150"/>
      <c r="P86" s="2629"/>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4.4" thickBot="1">
      <c r="A89" s="579"/>
      <c r="B89" s="543"/>
      <c r="C89" s="560"/>
      <c r="D89" s="536"/>
      <c r="E89" s="536"/>
      <c r="F89" s="536"/>
      <c r="G89" s="536"/>
      <c r="H89" s="536"/>
      <c r="I89" s="536"/>
      <c r="J89" s="536"/>
      <c r="K89" s="536"/>
      <c r="L89" s="536"/>
      <c r="M89" s="536"/>
      <c r="N89" s="1152"/>
      <c r="O89" s="1152"/>
      <c r="P89" s="2629"/>
      <c r="Q89" s="504"/>
    </row>
    <row r="90" spans="1:17" s="471" customFormat="1" ht="15" thickTop="1">
      <c r="A90" s="553"/>
      <c r="B90" s="538" t="str">
        <f>B27</f>
        <v>人流量</v>
      </c>
      <c r="C90" s="2984" t="s">
        <v>3148</v>
      </c>
      <c r="D90" s="2984" t="s">
        <v>3149</v>
      </c>
      <c r="E90" s="2984" t="s">
        <v>3150</v>
      </c>
      <c r="F90" s="2984" t="s">
        <v>3151</v>
      </c>
      <c r="G90" s="2984" t="s">
        <v>3152</v>
      </c>
      <c r="H90" s="555"/>
      <c r="I90" s="555"/>
      <c r="J90" s="555"/>
      <c r="K90" s="555"/>
      <c r="L90" s="556"/>
      <c r="M90" s="557"/>
      <c r="N90" s="1153"/>
      <c r="O90" s="1153"/>
      <c r="P90" s="2630"/>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0"/>
      <c r="Q91" s="559"/>
    </row>
    <row r="92" spans="1:17" ht="15" thickTop="1">
      <c r="A92" s="534"/>
      <c r="B92" s="538" t="str">
        <f>B28</f>
        <v>楼层</v>
      </c>
      <c r="C92" s="554" t="s">
        <v>3211</v>
      </c>
      <c r="D92" s="554" t="s">
        <v>3212</v>
      </c>
      <c r="E92" s="554" t="s">
        <v>3213</v>
      </c>
      <c r="F92" s="554"/>
      <c r="G92" s="554"/>
      <c r="H92" s="554"/>
      <c r="I92" s="554"/>
      <c r="J92" s="554"/>
      <c r="K92" s="554"/>
      <c r="L92" s="580"/>
      <c r="M92" s="581"/>
      <c r="N92" s="1151"/>
      <c r="O92" s="1151"/>
      <c r="P92" s="2629"/>
      <c r="Q92" s="504"/>
    </row>
    <row r="93" spans="1:17" ht="14.4" thickBot="1">
      <c r="A93" s="534"/>
      <c r="B93" s="543"/>
      <c r="C93" s="536">
        <v>100</v>
      </c>
      <c r="D93" s="536">
        <v>110</v>
      </c>
      <c r="E93" s="536">
        <v>120</v>
      </c>
      <c r="F93" s="536"/>
      <c r="G93" s="536"/>
      <c r="H93" s="536"/>
      <c r="I93" s="536"/>
      <c r="J93" s="536"/>
      <c r="K93" s="536"/>
      <c r="L93" s="536"/>
      <c r="M93" s="537"/>
      <c r="N93" s="1152"/>
      <c r="O93" s="1152"/>
      <c r="P93" s="2629"/>
      <c r="Q93" s="504"/>
    </row>
    <row r="94" spans="1:17" ht="14.4" thickTop="1">
      <c r="A94" s="534"/>
      <c r="B94" s="538">
        <f>B29</f>
        <v>111</v>
      </c>
      <c r="C94" s="554"/>
      <c r="D94" s="554"/>
      <c r="E94" s="554"/>
      <c r="F94" s="554"/>
      <c r="G94" s="583"/>
      <c r="H94" s="583"/>
      <c r="I94" s="583"/>
      <c r="J94" s="583"/>
      <c r="K94" s="584"/>
      <c r="L94" s="585"/>
      <c r="M94" s="586"/>
      <c r="N94" s="1151"/>
      <c r="O94" s="1151"/>
      <c r="P94" s="2629"/>
      <c r="Q94" s="504"/>
    </row>
    <row r="95" spans="1:17" ht="14.4" thickBot="1">
      <c r="A95" s="534"/>
      <c r="B95" s="543"/>
      <c r="C95" s="560"/>
      <c r="D95" s="536"/>
      <c r="E95" s="536"/>
      <c r="F95" s="536"/>
      <c r="G95" s="536"/>
      <c r="H95" s="536"/>
      <c r="I95" s="536"/>
      <c r="J95" s="536"/>
      <c r="K95" s="536"/>
      <c r="L95" s="536"/>
      <c r="M95" s="537"/>
      <c r="N95" s="1152"/>
      <c r="O95" s="1152"/>
      <c r="P95" s="2629"/>
      <c r="Q95" s="504"/>
    </row>
    <row r="96" spans="1:17" ht="14.4" thickTop="1">
      <c r="A96" s="534"/>
      <c r="B96" s="538">
        <f>B30</f>
        <v>111</v>
      </c>
      <c r="C96" s="554"/>
      <c r="D96" s="554"/>
      <c r="E96" s="554"/>
      <c r="F96" s="554"/>
      <c r="G96" s="583"/>
      <c r="H96" s="583"/>
      <c r="I96" s="583"/>
      <c r="J96" s="583"/>
      <c r="K96" s="584"/>
      <c r="L96" s="585"/>
      <c r="M96" s="586"/>
      <c r="N96" s="1151"/>
      <c r="O96" s="1151"/>
      <c r="P96" s="2629"/>
      <c r="Q96" s="504"/>
    </row>
    <row r="97" spans="1:17" ht="14.4" thickBot="1">
      <c r="A97" s="534"/>
      <c r="B97" s="543"/>
      <c r="C97" s="560"/>
      <c r="D97" s="536"/>
      <c r="E97" s="536"/>
      <c r="F97" s="536"/>
      <c r="G97" s="536"/>
      <c r="H97" s="536"/>
      <c r="I97" s="536"/>
      <c r="J97" s="536"/>
      <c r="K97" s="536"/>
      <c r="L97" s="536"/>
      <c r="M97" s="537"/>
      <c r="N97" s="1152"/>
      <c r="O97" s="1152"/>
      <c r="P97" s="2629"/>
      <c r="Q97" s="504"/>
    </row>
    <row r="98" spans="1:17" ht="14.4" thickTop="1">
      <c r="A98" s="534"/>
      <c r="B98" s="546">
        <f>B31</f>
        <v>111</v>
      </c>
      <c r="C98" s="554"/>
      <c r="D98" s="554"/>
      <c r="E98" s="554"/>
      <c r="F98" s="554"/>
      <c r="G98" s="587"/>
      <c r="H98" s="587"/>
      <c r="I98" s="587"/>
      <c r="J98" s="587"/>
      <c r="K98" s="588"/>
      <c r="L98" s="589"/>
      <c r="M98" s="590"/>
      <c r="N98" s="1151"/>
      <c r="O98" s="1151"/>
      <c r="P98" s="2629"/>
      <c r="Q98" s="504"/>
    </row>
    <row r="99" spans="1:17" ht="14.4" thickBot="1">
      <c r="A99" s="2635"/>
      <c r="B99" s="569"/>
      <c r="C99" s="570"/>
      <c r="D99" s="570"/>
      <c r="E99" s="570"/>
      <c r="F99" s="570"/>
      <c r="G99" s="591"/>
      <c r="H99" s="591"/>
      <c r="I99" s="591"/>
      <c r="J99" s="591"/>
      <c r="K99" s="591"/>
      <c r="L99" s="591"/>
      <c r="M99" s="592"/>
      <c r="N99" s="1152"/>
      <c r="O99" s="1152"/>
      <c r="P99" s="2629"/>
      <c r="Q99" s="504"/>
    </row>
    <row r="100" spans="1:17" ht="14.4">
      <c r="A100" s="527" t="s">
        <v>2559</v>
      </c>
      <c r="B100" s="528" t="s">
        <v>2677</v>
      </c>
      <c r="C100" s="2985" t="s">
        <v>3124</v>
      </c>
      <c r="D100" s="2985" t="s">
        <v>3125</v>
      </c>
      <c r="E100" s="2985" t="s">
        <v>3155</v>
      </c>
      <c r="F100" s="2985" t="s">
        <v>3157</v>
      </c>
      <c r="G100" s="530"/>
      <c r="H100" s="530"/>
      <c r="I100" s="530"/>
      <c r="J100" s="530"/>
      <c r="K100" s="531"/>
      <c r="L100" s="532"/>
      <c r="M100" s="533"/>
      <c r="N100" s="1151"/>
      <c r="O100" s="1151"/>
      <c r="P100" s="2629"/>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2"/>
      <c r="O101" s="1152"/>
      <c r="P101" s="2629"/>
      <c r="Q101" s="504"/>
    </row>
    <row r="102" spans="1:17" ht="28.2" thickTop="1">
      <c r="A102" s="534"/>
      <c r="B102" s="538" t="s">
        <v>2609</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709">
        <v>0</v>
      </c>
      <c r="D103" s="710">
        <v>500</v>
      </c>
      <c r="E103" s="710">
        <v>1000</v>
      </c>
      <c r="F103" s="710">
        <v>1500</v>
      </c>
      <c r="G103" s="710">
        <v>2000</v>
      </c>
      <c r="H103" s="595"/>
      <c r="I103" s="595"/>
      <c r="J103" s="596"/>
      <c r="K103" s="596"/>
      <c r="L103" s="597"/>
      <c r="M103" s="598"/>
      <c r="N103" s="1153"/>
      <c r="O103" s="1153"/>
      <c r="P103" s="2630"/>
      <c r="Q103" s="559"/>
    </row>
    <row r="104" spans="1:17" s="471" customFormat="1" ht="14.4" thickBot="1">
      <c r="A104" s="553"/>
      <c r="B104" s="543"/>
      <c r="C104" s="1209">
        <v>100</v>
      </c>
      <c r="D104" s="1210">
        <v>98</v>
      </c>
      <c r="E104" s="1210">
        <v>96</v>
      </c>
      <c r="F104" s="1707">
        <v>94</v>
      </c>
      <c r="G104" s="1707">
        <v>92</v>
      </c>
      <c r="H104" s="536"/>
      <c r="I104" s="536"/>
      <c r="J104" s="536"/>
      <c r="K104" s="536"/>
      <c r="L104" s="536"/>
      <c r="M104" s="537"/>
      <c r="N104" s="1152"/>
      <c r="O104" s="1152"/>
      <c r="P104" s="2630"/>
      <c r="Q104" s="559"/>
    </row>
    <row r="105" spans="1:17" ht="15" thickTop="1">
      <c r="A105" s="599"/>
      <c r="B105" s="538" t="s">
        <v>2610</v>
      </c>
      <c r="C105" s="2984" t="s">
        <v>3153</v>
      </c>
      <c r="D105" s="554"/>
      <c r="E105" s="583"/>
      <c r="F105" s="583"/>
      <c r="G105" s="583"/>
      <c r="H105" s="583"/>
      <c r="I105" s="583"/>
      <c r="J105" s="583"/>
      <c r="K105" s="584"/>
      <c r="L105" s="585"/>
      <c r="M105" s="586"/>
      <c r="N105" s="1151"/>
      <c r="O105" s="1151"/>
      <c r="P105" s="2629"/>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9"/>
      <c r="Q106" s="504"/>
    </row>
    <row r="107" spans="1:17" ht="15" thickTop="1">
      <c r="A107" s="599"/>
      <c r="B107" s="538" t="s">
        <v>2612</v>
      </c>
      <c r="C107" s="2984" t="s">
        <v>3126</v>
      </c>
      <c r="D107" s="2984" t="s">
        <v>3127</v>
      </c>
      <c r="E107" s="2984" t="s">
        <v>3128</v>
      </c>
      <c r="F107" s="2986" t="s">
        <v>3129</v>
      </c>
      <c r="G107" s="583"/>
      <c r="H107" s="583"/>
      <c r="I107" s="583"/>
      <c r="J107" s="583"/>
      <c r="K107" s="584"/>
      <c r="L107" s="585"/>
      <c r="M107" s="586"/>
      <c r="N107" s="1151"/>
      <c r="O107" s="1151"/>
      <c r="P107" s="2629"/>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2614</v>
      </c>
      <c r="C112" s="2984" t="s">
        <v>3130</v>
      </c>
      <c r="D112" s="2984" t="s">
        <v>3131</v>
      </c>
      <c r="E112" s="2984" t="s">
        <v>3132</v>
      </c>
      <c r="F112" s="2984" t="s">
        <v>3133</v>
      </c>
      <c r="G112" s="2984" t="s">
        <v>3134</v>
      </c>
      <c r="H112" s="583"/>
      <c r="I112" s="583"/>
      <c r="J112" s="583"/>
      <c r="K112" s="584"/>
      <c r="L112" s="585"/>
      <c r="M112" s="586"/>
      <c r="N112" s="1153"/>
      <c r="O112" s="1153"/>
      <c r="P112" s="2630"/>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30"/>
      <c r="Q113" s="559"/>
    </row>
    <row r="114" spans="1:17" ht="15" thickTop="1">
      <c r="A114" s="599"/>
      <c r="B114" s="538" t="s">
        <v>2678</v>
      </c>
      <c r="C114" s="2984" t="s">
        <v>3135</v>
      </c>
      <c r="D114" s="2984" t="s">
        <v>3136</v>
      </c>
      <c r="E114" s="583"/>
      <c r="F114" s="583"/>
      <c r="G114" s="583"/>
      <c r="H114" s="583"/>
      <c r="I114" s="583"/>
      <c r="J114" s="583"/>
      <c r="K114" s="584"/>
      <c r="L114" s="585"/>
      <c r="M114" s="586"/>
      <c r="N114" s="1151"/>
      <c r="O114" s="1151"/>
      <c r="P114" s="2629"/>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9"/>
      <c r="Q115" s="504"/>
    </row>
    <row r="116" spans="1:17" ht="15" thickTop="1">
      <c r="A116" s="599"/>
      <c r="B116" s="538" t="s">
        <v>2679</v>
      </c>
      <c r="C116" s="554"/>
      <c r="D116" s="554"/>
      <c r="E116" s="554"/>
      <c r="F116" s="554"/>
      <c r="G116" s="554"/>
      <c r="H116" s="583"/>
      <c r="I116" s="583"/>
      <c r="J116" s="583"/>
      <c r="K116" s="584"/>
      <c r="L116" s="585"/>
      <c r="M116" s="586"/>
      <c r="N116" s="1151"/>
      <c r="O116" s="1151"/>
      <c r="P116" s="2629"/>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9"/>
      <c r="Q117" s="504"/>
    </row>
    <row r="118" spans="1:17" ht="15" thickTop="1">
      <c r="A118" s="599"/>
      <c r="B118" s="538" t="s">
        <v>2680</v>
      </c>
      <c r="C118" s="627"/>
      <c r="D118" s="627"/>
      <c r="E118" s="627"/>
      <c r="F118" s="627"/>
      <c r="G118" s="627"/>
      <c r="H118" s="555"/>
      <c r="I118" s="555"/>
      <c r="J118" s="555"/>
      <c r="K118" s="555"/>
      <c r="L118" s="556"/>
      <c r="M118" s="557"/>
      <c r="N118" s="1151"/>
      <c r="O118" s="1151"/>
      <c r="P118" s="2629"/>
      <c r="Q118" s="504"/>
    </row>
    <row r="119" spans="1:17" ht="14.4"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30"/>
      <c r="Q120" s="559"/>
    </row>
    <row r="121" spans="1:17" s="471" customFormat="1" ht="14.4"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30"/>
      <c r="Q121" s="559"/>
    </row>
    <row r="122" spans="1:17" ht="15" thickTop="1">
      <c r="A122" s="599"/>
      <c r="B122" s="538" t="s">
        <v>2616</v>
      </c>
      <c r="C122" s="2984" t="s">
        <v>3126</v>
      </c>
      <c r="D122" s="2984" t="s">
        <v>3127</v>
      </c>
      <c r="E122" s="2984" t="s">
        <v>3128</v>
      </c>
      <c r="F122" s="2986" t="s">
        <v>3129</v>
      </c>
      <c r="G122" s="583"/>
      <c r="H122" s="583"/>
      <c r="I122" s="583"/>
      <c r="J122" s="583"/>
      <c r="K122" s="584"/>
      <c r="L122" s="585"/>
      <c r="M122" s="586"/>
      <c r="N122" s="1151"/>
      <c r="O122" s="1151"/>
      <c r="P122" s="2629"/>
      <c r="Q122" s="504"/>
    </row>
    <row r="123" spans="1:17" ht="14.4" thickBot="1">
      <c r="A123" s="534"/>
      <c r="B123" s="543"/>
      <c r="C123" s="544">
        <v>100</v>
      </c>
      <c r="D123" s="544">
        <f t="shared" ref="D123:M123" si="30">C123-$K42</f>
        <v>95</v>
      </c>
      <c r="E123" s="544">
        <f t="shared" si="30"/>
        <v>90</v>
      </c>
      <c r="F123" s="544">
        <f t="shared" si="30"/>
        <v>85</v>
      </c>
      <c r="G123" s="544">
        <f t="shared" si="30"/>
        <v>80</v>
      </c>
      <c r="H123" s="544">
        <f t="shared" si="30"/>
        <v>75</v>
      </c>
      <c r="I123" s="544">
        <f t="shared" si="30"/>
        <v>70</v>
      </c>
      <c r="J123" s="544">
        <f t="shared" si="30"/>
        <v>65</v>
      </c>
      <c r="K123" s="544">
        <f t="shared" si="30"/>
        <v>60</v>
      </c>
      <c r="L123" s="544">
        <f t="shared" si="30"/>
        <v>55</v>
      </c>
      <c r="M123" s="545">
        <f t="shared" si="30"/>
        <v>50</v>
      </c>
      <c r="N123" s="1152"/>
      <c r="O123" s="1152"/>
      <c r="P123" s="2629"/>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30"/>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0"/>
      <c r="Q127" s="559"/>
    </row>
    <row r="128" spans="1:17" ht="14.4" thickTop="1">
      <c r="A128" s="599"/>
      <c r="B128" s="538">
        <f>B45</f>
        <v>111</v>
      </c>
      <c r="C128" s="554"/>
      <c r="D128" s="554"/>
      <c r="E128" s="554"/>
      <c r="F128" s="554"/>
      <c r="G128" s="583"/>
      <c r="H128" s="583"/>
      <c r="I128" s="583"/>
      <c r="J128" s="583"/>
      <c r="K128" s="584"/>
      <c r="L128" s="585"/>
      <c r="M128" s="586"/>
      <c r="N128" s="1151"/>
      <c r="O128" s="1151"/>
      <c r="P128" s="2629"/>
      <c r="Q128" s="504"/>
    </row>
    <row r="129" spans="1:17" ht="14.4" thickBot="1">
      <c r="A129" s="534"/>
      <c r="B129" s="543"/>
      <c r="C129" s="560"/>
      <c r="D129" s="536"/>
      <c r="E129" s="536"/>
      <c r="F129" s="536"/>
      <c r="G129" s="536"/>
      <c r="H129" s="536"/>
      <c r="I129" s="536"/>
      <c r="J129" s="536"/>
      <c r="K129" s="536"/>
      <c r="L129" s="536"/>
      <c r="M129" s="537"/>
      <c r="N129" s="1152"/>
      <c r="O129" s="1152"/>
      <c r="P129" s="2629"/>
      <c r="Q129" s="504"/>
    </row>
    <row r="130" spans="1:17" ht="14.4" thickTop="1">
      <c r="A130" s="599"/>
      <c r="B130" s="546">
        <f>B46</f>
        <v>111</v>
      </c>
      <c r="C130" s="554"/>
      <c r="D130" s="554"/>
      <c r="E130" s="554"/>
      <c r="F130" s="554"/>
      <c r="G130" s="587"/>
      <c r="H130" s="587"/>
      <c r="I130" s="587"/>
      <c r="J130" s="587"/>
      <c r="K130" s="523"/>
      <c r="L130" s="524"/>
      <c r="M130" s="590"/>
      <c r="N130" s="1151"/>
      <c r="O130" s="1151"/>
      <c r="P130" s="2629"/>
      <c r="Q130" s="504"/>
    </row>
    <row r="131" spans="1:17" ht="14.4"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4"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北京万年基业建设投资有限公司：</v>
      </c>
    </row>
    <row r="4" spans="1:1" ht="34.799999999999997">
      <c r="A4" s="1946" t="str">
        <f>"受贵公司委托，我公司对"&amp;项目基本情况!S1&amp;"进行了预评估。"</f>
        <v>受贵公司委托，我公司对北京市丰台区万兴路1号院3、4号楼商业用房房地产房地产抵押价值进行了预评估。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估价对象为北京市丰台区万兴路1号院3、4号楼商业用房房地产房地产，为所有。根据《国有土地使用证》[]，估价对象（分摊）出让国有建设用地使用权面积为4009平方米，建筑面积为4376.09平方米。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2019年9月26日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本次评估采用的主估价方法为收益法和比较法。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6" sqref="S26:S31"/>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3001</v>
      </c>
      <c r="C1" s="3354" t="s">
        <v>3002</v>
      </c>
      <c r="D1" s="3355"/>
      <c r="E1" s="3355"/>
      <c r="F1" s="3355"/>
      <c r="G1" s="3355"/>
      <c r="H1" s="3355"/>
      <c r="I1" s="3355"/>
      <c r="J1" s="3355"/>
      <c r="K1" s="3355"/>
      <c r="L1" s="3355"/>
      <c r="M1" s="3355"/>
      <c r="N1" s="3355"/>
      <c r="O1" s="3355"/>
      <c r="P1" s="3355"/>
      <c r="Q1" s="3355"/>
      <c r="R1" s="3355"/>
      <c r="S1" s="3356"/>
      <c r="T1" s="1203" t="s">
        <v>3003</v>
      </c>
    </row>
    <row r="2" spans="1:45" s="707" customFormat="1" ht="39.6">
      <c r="A2" s="1204"/>
      <c r="B2" s="703" t="s">
        <v>3004</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f>'比较法-商业'!C103</f>
        <v>0</v>
      </c>
      <c r="D3" s="709">
        <f>'比较法-商业'!D103</f>
        <v>500</v>
      </c>
      <c r="E3" s="709">
        <f>'比较法-商业'!E103</f>
        <v>1000</v>
      </c>
      <c r="F3" s="709">
        <f>'比较法-商业'!F103</f>
        <v>1500</v>
      </c>
      <c r="G3" s="709">
        <f>'比较法-商业'!G103</f>
        <v>2000</v>
      </c>
      <c r="H3" s="1703"/>
      <c r="I3" s="1703"/>
      <c r="J3" s="1703"/>
      <c r="K3" s="1703"/>
      <c r="L3" s="1704"/>
      <c r="M3" s="1705"/>
      <c r="N3" s="1705"/>
      <c r="O3" s="1703"/>
      <c r="P3" s="1703"/>
      <c r="Q3" s="1703"/>
      <c r="R3" s="1703"/>
      <c r="S3" s="1706"/>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7"/>
      <c r="B4" s="1208"/>
      <c r="C4" s="1209">
        <f>'比较法-商业'!C104</f>
        <v>100</v>
      </c>
      <c r="D4" s="1209">
        <f>'比较法-商业'!D104</f>
        <v>98</v>
      </c>
      <c r="E4" s="1209">
        <f>'比较法-商业'!E104</f>
        <v>96</v>
      </c>
      <c r="F4" s="1209">
        <f>'比较法-商业'!F104</f>
        <v>94</v>
      </c>
      <c r="G4" s="1209">
        <f>'比较法-商业'!G104</f>
        <v>92</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25.2">
      <c r="A17" s="2907" t="s">
        <v>3011</v>
      </c>
      <c r="B17" s="2908" t="s">
        <v>3012</v>
      </c>
      <c r="C17" s="1230" t="s">
        <v>3137</v>
      </c>
      <c r="D17" s="2987" t="s">
        <v>3138</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8" thickBot="1">
      <c r="A18" s="1240"/>
      <c r="B18" s="1241"/>
      <c r="C18" s="1242">
        <v>100</v>
      </c>
      <c r="D18" s="1243">
        <v>90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9" t="s">
        <v>3013</v>
      </c>
      <c r="E19" s="1791"/>
      <c r="F19" s="1791"/>
      <c r="G19" s="1791"/>
      <c r="H19" s="1279"/>
      <c r="I19" s="168"/>
      <c r="J19" s="168"/>
      <c r="K19" s="168"/>
      <c r="L19" s="168"/>
      <c r="M19" s="168"/>
      <c r="N19" s="168"/>
      <c r="O19" s="168"/>
      <c r="P19" s="168"/>
      <c r="Q19" s="168"/>
      <c r="R19" s="787"/>
      <c r="S19" s="138"/>
    </row>
    <row r="20" spans="1:45" ht="16.2" thickBot="1">
      <c r="A20" s="715" t="s">
        <v>3014</v>
      </c>
      <c r="B20" s="338">
        <f ca="1">IF(D20="——",S22,S22-F20)</f>
        <v>9849</v>
      </c>
      <c r="C20" s="168"/>
      <c r="D20" s="2910" t="s">
        <v>3177</v>
      </c>
      <c r="E20" s="1792"/>
      <c r="F20" s="1203">
        <f ca="1">SUMIF(INDIRECT("'"&amp;H20&amp;"'"&amp;"!A:A"),"承租人权益价值",INDIRECT("'"&amp;H20&amp;"'"&amp;"!c:c"))</f>
        <v>1480</v>
      </c>
      <c r="G20" s="1203" t="s">
        <v>3015</v>
      </c>
      <c r="H20" s="2911" t="s">
        <v>3178</v>
      </c>
      <c r="I20" s="168"/>
      <c r="J20" s="168"/>
      <c r="K20" s="168"/>
      <c r="L20" s="168"/>
      <c r="M20" s="168"/>
      <c r="N20" s="168"/>
      <c r="O20" s="168"/>
      <c r="P20" s="168"/>
      <c r="Q20" s="168"/>
      <c r="R20" s="787"/>
      <c r="S20" s="138"/>
    </row>
    <row r="21" spans="1:45" ht="15.6">
      <c r="A21" s="715" t="s">
        <v>3016</v>
      </c>
      <c r="B21" s="338">
        <f>R22</f>
        <v>37320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3035.67</v>
      </c>
      <c r="C22" s="3131" t="s">
        <v>33</v>
      </c>
      <c r="D22" s="3132"/>
      <c r="E22" s="3132"/>
      <c r="F22" s="3132"/>
      <c r="G22" s="3132"/>
      <c r="H22" s="3132"/>
      <c r="I22" s="3132"/>
      <c r="J22" s="3132"/>
      <c r="K22" s="3132"/>
      <c r="L22" s="3132"/>
      <c r="M22" s="3132"/>
      <c r="N22" s="3132"/>
      <c r="O22" s="3132"/>
      <c r="P22" s="3132"/>
      <c r="Q22" s="3353"/>
      <c r="R22" s="716">
        <f>ROUND(S22*10000/B22,0)</f>
        <v>37320</v>
      </c>
      <c r="S22" s="24">
        <f>SUM(S24:S10000)</f>
        <v>11329</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3378" t="s">
        <v>3209</v>
      </c>
      <c r="X23" s="3378" t="s">
        <v>3210</v>
      </c>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159" t="s">
        <v>3215</v>
      </c>
      <c r="B24" s="59">
        <v>1403.15</v>
      </c>
      <c r="C24" s="718">
        <v>1</v>
      </c>
      <c r="D24" s="719"/>
      <c r="E24" s="718">
        <v>1</v>
      </c>
      <c r="F24" s="719"/>
      <c r="G24" s="718">
        <v>1</v>
      </c>
      <c r="H24" s="719"/>
      <c r="I24" s="718">
        <v>1</v>
      </c>
      <c r="J24" s="719"/>
      <c r="K24" s="718">
        <v>1</v>
      </c>
      <c r="L24" s="719"/>
      <c r="M24" s="718">
        <v>1</v>
      </c>
      <c r="N24" s="719"/>
      <c r="O24" s="718">
        <v>1</v>
      </c>
      <c r="P24" s="719" t="s">
        <v>3140</v>
      </c>
      <c r="Q24" s="718">
        <v>1</v>
      </c>
      <c r="R24" s="720">
        <f>'比较法-商业 (2)'!C49</f>
        <v>37159</v>
      </c>
      <c r="S24" s="718">
        <f t="shared" ref="S24:S54" si="11">ROUND(R24*B24/10000,0)</f>
        <v>5214</v>
      </c>
      <c r="T24" s="799"/>
      <c r="U24" s="799"/>
      <c r="V24" s="799">
        <v>3</v>
      </c>
      <c r="W24" s="799">
        <f>S24</f>
        <v>5214</v>
      </c>
      <c r="X24" s="799">
        <f ca="1">'收益法（汇总）'!B6</f>
        <v>3868</v>
      </c>
      <c r="Y24" s="799">
        <f ca="1">ROUND(W24*W26+X24*X26,0)</f>
        <v>4474</v>
      </c>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3007" t="s">
        <v>3207</v>
      </c>
      <c r="Q25" s="24">
        <f>(SUMIF($17:$17,P25,$18:$18)-SUMIF($17:$17,$P$24,$18:$18)+100)/100</f>
        <v>1</v>
      </c>
      <c r="R25" s="716">
        <f>IF(B25="",0,ROUND($R$24*C25*E25*G25*I25*K25*M25*O25*Q25,0))</f>
        <v>0</v>
      </c>
      <c r="S25" s="361">
        <f t="shared" si="11"/>
        <v>0</v>
      </c>
      <c r="V25" s="794">
        <v>4</v>
      </c>
      <c r="W25" s="794">
        <f>S22</f>
        <v>11329</v>
      </c>
      <c r="X25" s="794">
        <f ca="1">'收益法（汇总）'!B7</f>
        <v>6442</v>
      </c>
      <c r="Y25" s="794">
        <f ca="1">ROUND(W25*W26+X25*X26,0)</f>
        <v>8641</v>
      </c>
    </row>
    <row r="26" spans="1:45">
      <c r="A26" s="159" t="s">
        <v>3112</v>
      </c>
      <c r="B26" s="59">
        <v>99.05</v>
      </c>
      <c r="C26" s="24">
        <f t="shared" ref="C26:C89" si="12">IF(B26="",1,(LOOKUP(B26,$3:$3,$4:$4)-LOOKUP($B$24,$3:$3,$4:$4)+100)/100)</f>
        <v>1.04</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3140</v>
      </c>
      <c r="Q26" s="24">
        <f t="shared" ref="Q26:Q89" si="19">(SUMIF($17:$17,P26,$18:$18)-SUMIF($17:$17,$P$24,$18:$18)+100)/100</f>
        <v>1</v>
      </c>
      <c r="R26" s="716">
        <f t="shared" ref="R26:R89" si="20">IF(B26="",0,ROUND($R$24*C26*E26*G26*I26*K26*M26*O26*Q26,0))</f>
        <v>38645</v>
      </c>
      <c r="S26" s="361">
        <f t="shared" si="11"/>
        <v>383</v>
      </c>
      <c r="W26" s="3379">
        <v>0.45</v>
      </c>
      <c r="X26" s="3379">
        <v>0.55000000000000004</v>
      </c>
      <c r="Y26" s="794">
        <f ca="1">Y24+Y25</f>
        <v>13115</v>
      </c>
    </row>
    <row r="27" spans="1:45" ht="14.4">
      <c r="A27" s="159" t="s">
        <v>3113</v>
      </c>
      <c r="B27" s="59">
        <v>59.69</v>
      </c>
      <c r="C27" s="24">
        <f t="shared" si="12"/>
        <v>1.04</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3140</v>
      </c>
      <c r="Q27" s="24">
        <f t="shared" si="19"/>
        <v>1</v>
      </c>
      <c r="R27" s="716">
        <f t="shared" si="20"/>
        <v>38645</v>
      </c>
      <c r="S27" s="361">
        <f t="shared" si="11"/>
        <v>231</v>
      </c>
    </row>
    <row r="28" spans="1:45" ht="14.4">
      <c r="A28" s="159" t="s">
        <v>3114</v>
      </c>
      <c r="B28" s="59">
        <v>59.69</v>
      </c>
      <c r="C28" s="24">
        <f t="shared" si="12"/>
        <v>1.04</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3140</v>
      </c>
      <c r="Q28" s="24">
        <f t="shared" si="19"/>
        <v>1</v>
      </c>
      <c r="R28" s="716">
        <f t="shared" si="20"/>
        <v>38645</v>
      </c>
      <c r="S28" s="361">
        <f t="shared" si="11"/>
        <v>231</v>
      </c>
    </row>
    <row r="29" spans="1:45" ht="14.4">
      <c r="A29" s="159" t="s">
        <v>3115</v>
      </c>
      <c r="B29" s="59">
        <v>59.69</v>
      </c>
      <c r="C29" s="24">
        <f t="shared" si="12"/>
        <v>1.04</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3140</v>
      </c>
      <c r="Q29" s="24">
        <f t="shared" si="19"/>
        <v>1</v>
      </c>
      <c r="R29" s="716">
        <f t="shared" si="20"/>
        <v>38645</v>
      </c>
      <c r="S29" s="361">
        <f t="shared" si="11"/>
        <v>231</v>
      </c>
    </row>
    <row r="30" spans="1:45" ht="14.4">
      <c r="A30" s="159" t="s">
        <v>3116</v>
      </c>
      <c r="B30" s="59">
        <v>40.659999999999997</v>
      </c>
      <c r="C30" s="24">
        <f t="shared" si="12"/>
        <v>1.04</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3140</v>
      </c>
      <c r="Q30" s="24">
        <f t="shared" si="19"/>
        <v>1</v>
      </c>
      <c r="R30" s="716">
        <f t="shared" si="20"/>
        <v>38645</v>
      </c>
      <c r="S30" s="361">
        <f t="shared" si="11"/>
        <v>157</v>
      </c>
    </row>
    <row r="31" spans="1:45" ht="14.4">
      <c r="A31" s="159" t="s">
        <v>3117</v>
      </c>
      <c r="B31" s="59">
        <v>1313.74</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3140</v>
      </c>
      <c r="Q31" s="24">
        <f t="shared" si="19"/>
        <v>1</v>
      </c>
      <c r="R31" s="716">
        <f t="shared" si="20"/>
        <v>37159</v>
      </c>
      <c r="S31" s="361">
        <f t="shared" si="11"/>
        <v>4882</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0.1</v>
      </c>
      <c r="R32" s="716">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0.1</v>
      </c>
      <c r="R33" s="716">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0.1</v>
      </c>
      <c r="R34" s="716">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0.1</v>
      </c>
      <c r="R35" s="716">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0.1</v>
      </c>
      <c r="R36" s="716">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0.1</v>
      </c>
      <c r="R37" s="716">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0.1</v>
      </c>
      <c r="R38" s="716">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0.1</v>
      </c>
      <c r="R39" s="716">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0.1</v>
      </c>
      <c r="R40" s="716">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0.1</v>
      </c>
      <c r="R41" s="716">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0.1</v>
      </c>
      <c r="R42" s="716">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0.1</v>
      </c>
      <c r="R43" s="716">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0.1</v>
      </c>
      <c r="R44" s="716">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0.1</v>
      </c>
      <c r="R45" s="716">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0.1</v>
      </c>
      <c r="R46" s="716">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0.1</v>
      </c>
      <c r="R47" s="716">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0.1</v>
      </c>
      <c r="R48" s="716">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0.1</v>
      </c>
      <c r="R49" s="716">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0.1</v>
      </c>
      <c r="R50" s="716">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0.1</v>
      </c>
      <c r="R51" s="716">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0.1</v>
      </c>
      <c r="R52" s="716">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0.1</v>
      </c>
      <c r="R53" s="716">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0.1</v>
      </c>
      <c r="R54" s="716">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0.1</v>
      </c>
      <c r="R55" s="716">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0.1</v>
      </c>
      <c r="R56" s="716">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0.1</v>
      </c>
      <c r="R57" s="716">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0.1</v>
      </c>
      <c r="R58" s="716">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0.1</v>
      </c>
      <c r="R59" s="716">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0.1</v>
      </c>
      <c r="R60" s="716">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0.1</v>
      </c>
      <c r="R61" s="716">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0.1</v>
      </c>
      <c r="R62" s="716">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0.1</v>
      </c>
      <c r="R63" s="716">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0.1</v>
      </c>
      <c r="R64" s="716">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0.1</v>
      </c>
      <c r="R65" s="716">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0.1</v>
      </c>
      <c r="R66" s="716">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0.1</v>
      </c>
      <c r="R67" s="716">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0.1</v>
      </c>
      <c r="R68" s="716">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0.1</v>
      </c>
      <c r="R69" s="716">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0.1</v>
      </c>
      <c r="R70" s="716">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0.1</v>
      </c>
      <c r="R71" s="716">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0.1</v>
      </c>
      <c r="R72" s="716">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0.1</v>
      </c>
      <c r="R73" s="716">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0.1</v>
      </c>
      <c r="R74" s="716">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0.1</v>
      </c>
      <c r="R75" s="716">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0.1</v>
      </c>
      <c r="R76" s="716">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0.1</v>
      </c>
      <c r="R77" s="716">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0.1</v>
      </c>
      <c r="R78" s="716">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0.1</v>
      </c>
      <c r="R79" s="716">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0.1</v>
      </c>
      <c r="R80" s="716">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0.1</v>
      </c>
      <c r="R81" s="716">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0.1</v>
      </c>
      <c r="R82" s="716">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0.1</v>
      </c>
      <c r="R83" s="716">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0.1</v>
      </c>
      <c r="R84" s="716">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0.1</v>
      </c>
      <c r="R85" s="716">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0.1</v>
      </c>
      <c r="R86" s="716">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0.1</v>
      </c>
      <c r="R87" s="716">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0.1</v>
      </c>
      <c r="R88" s="716">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0.1</v>
      </c>
      <c r="R89" s="716">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0.1</v>
      </c>
      <c r="R90" s="716">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0.1</v>
      </c>
      <c r="R91" s="716">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0.1</v>
      </c>
      <c r="R92" s="716">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0.1</v>
      </c>
      <c r="R93" s="716">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0.1</v>
      </c>
      <c r="R94" s="716">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0.1</v>
      </c>
      <c r="R95" s="716">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0.1</v>
      </c>
      <c r="R96" s="716">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0.1</v>
      </c>
      <c r="R97" s="716">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0.1</v>
      </c>
      <c r="R98" s="716">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0.1</v>
      </c>
      <c r="R99" s="716">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0.1</v>
      </c>
      <c r="R100" s="716">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0.1</v>
      </c>
      <c r="R101" s="716">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0.1</v>
      </c>
      <c r="R102" s="716">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0.1</v>
      </c>
      <c r="R103" s="716">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0.1</v>
      </c>
      <c r="R104" s="716">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0.1</v>
      </c>
      <c r="R105" s="716">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0.1</v>
      </c>
      <c r="R106" s="716">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0.1</v>
      </c>
      <c r="R107" s="716">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0.1</v>
      </c>
      <c r="R108" s="716">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0.1</v>
      </c>
      <c r="R109" s="716">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0.1</v>
      </c>
      <c r="R110" s="716">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0.1</v>
      </c>
      <c r="R111" s="716">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0.1</v>
      </c>
      <c r="R112" s="716">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0.1</v>
      </c>
      <c r="R113" s="716">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0.1</v>
      </c>
      <c r="R114" s="716">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0.1</v>
      </c>
      <c r="R115" s="716">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0.1</v>
      </c>
      <c r="R116" s="716">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0.1</v>
      </c>
      <c r="R117" s="716">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0.1</v>
      </c>
      <c r="R118" s="716">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0.1</v>
      </c>
      <c r="R119" s="716">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0.1</v>
      </c>
      <c r="R120" s="716">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0.1</v>
      </c>
      <c r="R121" s="716">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0.1</v>
      </c>
      <c r="R122" s="716">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0.1</v>
      </c>
      <c r="R123" s="716">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0.1</v>
      </c>
      <c r="R124" s="716">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0.1</v>
      </c>
      <c r="R125" s="716">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0.1</v>
      </c>
      <c r="R126" s="716">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0.1</v>
      </c>
      <c r="R127" s="716">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0.1</v>
      </c>
      <c r="R128" s="716">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0.1</v>
      </c>
      <c r="R129" s="716">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0.1</v>
      </c>
      <c r="R130" s="716">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0.1</v>
      </c>
      <c r="R131" s="716">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0.1</v>
      </c>
      <c r="R132" s="716">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0.1</v>
      </c>
      <c r="R133" s="716">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0.1</v>
      </c>
      <c r="R134" s="716">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0.1</v>
      </c>
      <c r="R135" s="716">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0.1</v>
      </c>
      <c r="R136" s="716">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0.1</v>
      </c>
      <c r="R137" s="716">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0.1</v>
      </c>
      <c r="R138" s="716">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0.1</v>
      </c>
      <c r="R139" s="716">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0.1</v>
      </c>
      <c r="R140" s="716">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0.1</v>
      </c>
      <c r="R141" s="716">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0.1</v>
      </c>
      <c r="R142" s="716">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0.1</v>
      </c>
      <c r="R143" s="716">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0.1</v>
      </c>
      <c r="R144" s="716">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0.1</v>
      </c>
      <c r="R145" s="716">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0.1</v>
      </c>
      <c r="R146" s="716">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0.1</v>
      </c>
      <c r="R147" s="716">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0.1</v>
      </c>
      <c r="R148" s="716">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0.1</v>
      </c>
      <c r="R149" s="716">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0.1</v>
      </c>
      <c r="R150" s="716">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0.1</v>
      </c>
      <c r="R151" s="716">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0.1</v>
      </c>
      <c r="R152" s="716">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0.1</v>
      </c>
      <c r="R154" s="716">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0.1</v>
      </c>
      <c r="R155" s="716">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0.1</v>
      </c>
      <c r="R156" s="716">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0.1</v>
      </c>
      <c r="R157" s="716">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0.1</v>
      </c>
      <c r="R158" s="716">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0.1</v>
      </c>
      <c r="R159" s="716">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0.1</v>
      </c>
      <c r="R160" s="716">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0.1</v>
      </c>
      <c r="R161" s="716">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0.1</v>
      </c>
      <c r="R162" s="716">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0.1</v>
      </c>
      <c r="R163" s="716">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0.1</v>
      </c>
      <c r="R164" s="716">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0.1</v>
      </c>
      <c r="R165" s="716">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0.1</v>
      </c>
      <c r="R166" s="716">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0.1</v>
      </c>
      <c r="R167" s="716">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0.1</v>
      </c>
      <c r="R168" s="716">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0.1</v>
      </c>
      <c r="R169" s="716">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0.1</v>
      </c>
      <c r="R170" s="716">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0.1</v>
      </c>
      <c r="R171" s="716">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0.1</v>
      </c>
      <c r="R172" s="716">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0.1</v>
      </c>
      <c r="R173" s="716">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0.1</v>
      </c>
      <c r="R174" s="716">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0.1</v>
      </c>
      <c r="R175" s="716">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0.1</v>
      </c>
      <c r="R176" s="716">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0.1</v>
      </c>
      <c r="R177" s="716">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0.1</v>
      </c>
      <c r="R178" s="716">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0.1</v>
      </c>
      <c r="R179" s="716">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0.1</v>
      </c>
      <c r="R180" s="716">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0.1</v>
      </c>
      <c r="R181" s="716">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0.1</v>
      </c>
      <c r="R182" s="716">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0.1</v>
      </c>
      <c r="R183" s="716">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0.1</v>
      </c>
      <c r="R184" s="716">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0.1</v>
      </c>
      <c r="R185" s="716">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0.1</v>
      </c>
      <c r="R186" s="716">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0.1</v>
      </c>
      <c r="R187" s="716">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0.1</v>
      </c>
      <c r="R188" s="716">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0.1</v>
      </c>
      <c r="R189" s="716">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0.1</v>
      </c>
      <c r="R190" s="716">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0.1</v>
      </c>
      <c r="R191" s="716">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0.1</v>
      </c>
      <c r="R192" s="716">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0.1</v>
      </c>
      <c r="R193" s="716">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0.1</v>
      </c>
      <c r="R194" s="716">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0.1</v>
      </c>
      <c r="R195" s="716">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0.1</v>
      </c>
      <c r="R196" s="716">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0.1</v>
      </c>
      <c r="R197" s="716">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0.1</v>
      </c>
      <c r="R198" s="716">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0.1</v>
      </c>
      <c r="R199" s="716">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0.1</v>
      </c>
      <c r="R200" s="716">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0.1</v>
      </c>
      <c r="R201" s="716">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0.1</v>
      </c>
      <c r="R202" s="716">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0.1</v>
      </c>
      <c r="R203" s="716">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0.1</v>
      </c>
      <c r="R204" s="716">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0.1</v>
      </c>
      <c r="R205" s="716">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0.1</v>
      </c>
      <c r="R206" s="716">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0.1</v>
      </c>
      <c r="R207" s="716">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0.1</v>
      </c>
      <c r="R208" s="716">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0.1</v>
      </c>
      <c r="R209" s="716">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0.1</v>
      </c>
      <c r="R210" s="716">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0.1</v>
      </c>
      <c r="R211" s="716">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0.1</v>
      </c>
      <c r="R212" s="716">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0.1</v>
      </c>
      <c r="R213" s="716">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0.1</v>
      </c>
      <c r="R214" s="716">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0.1</v>
      </c>
      <c r="R215" s="716">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0.1</v>
      </c>
      <c r="R216" s="716">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0.1</v>
      </c>
      <c r="R218" s="716">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0.1</v>
      </c>
      <c r="R219" s="716">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0.1</v>
      </c>
      <c r="R220" s="716">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0.1</v>
      </c>
      <c r="R221" s="716">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0.1</v>
      </c>
      <c r="R222" s="716">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0.1</v>
      </c>
      <c r="R223" s="716">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0.1</v>
      </c>
      <c r="R224" s="716">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0.1</v>
      </c>
      <c r="R225" s="716">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0.1</v>
      </c>
      <c r="R226" s="716">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0.1</v>
      </c>
      <c r="R227" s="716">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0.1</v>
      </c>
      <c r="R228" s="716">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0.1</v>
      </c>
      <c r="R229" s="716">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0.1</v>
      </c>
      <c r="R230" s="716">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0.1</v>
      </c>
      <c r="R231" s="716">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0.1</v>
      </c>
      <c r="R232" s="716">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0.1</v>
      </c>
      <c r="R233" s="716">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0.1</v>
      </c>
      <c r="R234" s="716">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0.1</v>
      </c>
      <c r="R235" s="716">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0.1</v>
      </c>
      <c r="R236" s="716">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0.1</v>
      </c>
      <c r="R237" s="716">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0.1</v>
      </c>
      <c r="R238" s="716">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0.1</v>
      </c>
      <c r="R239" s="716">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0.1</v>
      </c>
      <c r="R240" s="716">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0.1</v>
      </c>
      <c r="R241" s="716">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0.1</v>
      </c>
      <c r="R242" s="716">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0.1</v>
      </c>
      <c r="R243" s="716">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0.1</v>
      </c>
      <c r="R244" s="716">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0.1</v>
      </c>
      <c r="R245" s="716">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0.1</v>
      </c>
      <c r="R246" s="716">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0.1</v>
      </c>
      <c r="R247" s="716">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0.1</v>
      </c>
      <c r="R248" s="716">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0.1</v>
      </c>
      <c r="R249" s="716">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0.1</v>
      </c>
      <c r="R250" s="716">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0.1</v>
      </c>
      <c r="R251" s="716">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0.1</v>
      </c>
      <c r="R252" s="716">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0.1</v>
      </c>
      <c r="R253" s="716">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0.1</v>
      </c>
      <c r="R254" s="716">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0.1</v>
      </c>
      <c r="R255" s="716">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0.1</v>
      </c>
      <c r="R256" s="716">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0.1</v>
      </c>
      <c r="R257" s="716">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0.1</v>
      </c>
      <c r="R258" s="716">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0.1</v>
      </c>
      <c r="R259" s="716">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0.1</v>
      </c>
      <c r="R260" s="716">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0.1</v>
      </c>
      <c r="R261" s="716">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0.1</v>
      </c>
      <c r="R262" s="716">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0.1</v>
      </c>
      <c r="R263" s="716">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0.1</v>
      </c>
      <c r="R264" s="716">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0.1</v>
      </c>
      <c r="R265" s="716">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0.1</v>
      </c>
      <c r="R266" s="716">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0.1</v>
      </c>
      <c r="R267" s="716">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0.1</v>
      </c>
      <c r="R268" s="716">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0.1</v>
      </c>
      <c r="R269" s="716">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0.1</v>
      </c>
      <c r="R270" s="716">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0.1</v>
      </c>
      <c r="R271" s="716">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0.1</v>
      </c>
      <c r="R272" s="716">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0.1</v>
      </c>
      <c r="R273" s="716">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0.1</v>
      </c>
      <c r="R274" s="716">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0.1</v>
      </c>
      <c r="R275" s="716">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0.1</v>
      </c>
      <c r="R276" s="716">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0.1</v>
      </c>
      <c r="R277" s="716">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0.1</v>
      </c>
      <c r="R278" s="716">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0.1</v>
      </c>
      <c r="R279" s="716">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0.1</v>
      </c>
      <c r="R280" s="716">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0.1</v>
      </c>
      <c r="R282" s="716">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0.1</v>
      </c>
      <c r="R283" s="716">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0.1</v>
      </c>
      <c r="R284" s="716">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0.1</v>
      </c>
      <c r="R285" s="716">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0.1</v>
      </c>
      <c r="R286" s="716">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0.1</v>
      </c>
      <c r="R287" s="716">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0.1</v>
      </c>
      <c r="R288" s="716">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0.1</v>
      </c>
      <c r="R289" s="716">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0.1</v>
      </c>
      <c r="R290" s="716">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0.1</v>
      </c>
      <c r="R291" s="716">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0.1</v>
      </c>
      <c r="R292" s="716">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0.1</v>
      </c>
      <c r="R293" s="716">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0.1</v>
      </c>
      <c r="R294" s="716">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0.1</v>
      </c>
      <c r="R295" s="716">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0.1</v>
      </c>
      <c r="R296" s="716">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0.1</v>
      </c>
      <c r="R297" s="716">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0.1</v>
      </c>
      <c r="R298" s="716">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0.1</v>
      </c>
      <c r="R299" s="716">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0.1</v>
      </c>
      <c r="R300" s="716">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0.1</v>
      </c>
      <c r="R301" s="716">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0.1</v>
      </c>
      <c r="R302" s="716">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0.1</v>
      </c>
      <c r="R303" s="716">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0.1</v>
      </c>
      <c r="R304" s="716">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0.1</v>
      </c>
      <c r="R305" s="716">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0.1</v>
      </c>
      <c r="R306" s="716">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0.1</v>
      </c>
      <c r="R307" s="716">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0.1</v>
      </c>
      <c r="R308" s="716">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0.1</v>
      </c>
      <c r="R309" s="716">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0.1</v>
      </c>
      <c r="R310" s="716">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0.1</v>
      </c>
      <c r="R311" s="716">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0.1</v>
      </c>
      <c r="R312" s="716">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0.1</v>
      </c>
      <c r="R313" s="716">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0.1</v>
      </c>
      <c r="R314" s="716">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0.1</v>
      </c>
      <c r="R315" s="716">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0.1</v>
      </c>
      <c r="R316" s="716">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0.1</v>
      </c>
      <c r="R317" s="716">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0.1</v>
      </c>
      <c r="R318" s="716">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0.1</v>
      </c>
      <c r="R319" s="716">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0.1</v>
      </c>
      <c r="R320" s="716">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0.1</v>
      </c>
      <c r="R321" s="716">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0.1</v>
      </c>
      <c r="R322" s="716">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0.1</v>
      </c>
      <c r="R323" s="716">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0.1</v>
      </c>
      <c r="R324" s="716">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0.1</v>
      </c>
      <c r="R325" s="716">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0.1</v>
      </c>
      <c r="R326" s="716">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0.1</v>
      </c>
      <c r="R327" s="716">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0.1</v>
      </c>
      <c r="R328" s="716">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0.1</v>
      </c>
      <c r="R329" s="716">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0.1</v>
      </c>
      <c r="R330" s="716">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0.1</v>
      </c>
      <c r="R331" s="716">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0.1</v>
      </c>
      <c r="R332" s="716">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0.1</v>
      </c>
      <c r="R333" s="716">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0.1</v>
      </c>
      <c r="R334" s="716">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0.1</v>
      </c>
      <c r="R335" s="716">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0.1</v>
      </c>
      <c r="R336" s="716">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0.1</v>
      </c>
      <c r="R337" s="716">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0.1</v>
      </c>
      <c r="R338" s="716">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0.1</v>
      </c>
      <c r="R339" s="716">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0.1</v>
      </c>
      <c r="R340" s="716">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0.1</v>
      </c>
      <c r="R341" s="716">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0.1</v>
      </c>
      <c r="R342" s="716">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0.1</v>
      </c>
      <c r="R343" s="716">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0.1</v>
      </c>
      <c r="R344" s="716">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0.1</v>
      </c>
      <c r="R346" s="716">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0.1</v>
      </c>
      <c r="R347" s="716">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0.1</v>
      </c>
      <c r="R348" s="716">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0.1</v>
      </c>
      <c r="R349" s="716">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0.1</v>
      </c>
      <c r="R350" s="716">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0.1</v>
      </c>
      <c r="R351" s="716">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0.1</v>
      </c>
      <c r="R352" s="716">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0.1</v>
      </c>
      <c r="R353" s="716">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0.1</v>
      </c>
      <c r="R354" s="716">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0.1</v>
      </c>
      <c r="R355" s="716">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0.1</v>
      </c>
      <c r="R356" s="716">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0.1</v>
      </c>
      <c r="R357" s="716">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0.1</v>
      </c>
      <c r="R358" s="716">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0.1</v>
      </c>
      <c r="R359" s="716">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0.1</v>
      </c>
      <c r="R360" s="716">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0.1</v>
      </c>
      <c r="R361" s="716">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0.1</v>
      </c>
      <c r="R362" s="716">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0.1</v>
      </c>
      <c r="R363" s="716">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0.1</v>
      </c>
      <c r="R364" s="716">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0.1</v>
      </c>
      <c r="R365" s="716">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0.1</v>
      </c>
      <c r="R366" s="716">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0.1</v>
      </c>
      <c r="R367" s="716">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0.1</v>
      </c>
      <c r="R368" s="716">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0.1</v>
      </c>
      <c r="R369" s="716">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0.1</v>
      </c>
      <c r="R370" s="716">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0.1</v>
      </c>
      <c r="R371" s="716">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0.1</v>
      </c>
      <c r="R372" s="716">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0.1</v>
      </c>
      <c r="R373" s="716">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0.1</v>
      </c>
      <c r="R374" s="716">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0.1</v>
      </c>
      <c r="R375" s="716">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0.1</v>
      </c>
      <c r="R376" s="716">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0.1</v>
      </c>
      <c r="R377" s="716">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0.1</v>
      </c>
      <c r="R378" s="716">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0.1</v>
      </c>
      <c r="R379" s="716">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0.1</v>
      </c>
      <c r="R380" s="716">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0.1</v>
      </c>
      <c r="R381" s="716">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0.1</v>
      </c>
      <c r="R382" s="716">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0.1</v>
      </c>
      <c r="R383" s="716">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0.1</v>
      </c>
      <c r="R384" s="716">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0.1</v>
      </c>
      <c r="R385" s="716">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0.1</v>
      </c>
      <c r="R386" s="716">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0.1</v>
      </c>
      <c r="R387" s="716">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0.1</v>
      </c>
      <c r="R388" s="716">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0.1</v>
      </c>
      <c r="R389" s="716">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0.1</v>
      </c>
      <c r="R390" s="716">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0.1</v>
      </c>
      <c r="R391" s="716">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0.1</v>
      </c>
      <c r="R392" s="716">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0.1</v>
      </c>
      <c r="R393" s="716">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0.1</v>
      </c>
      <c r="R394" s="716">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0.1</v>
      </c>
      <c r="R395" s="716">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0.1</v>
      </c>
      <c r="R396" s="716">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0.1</v>
      </c>
      <c r="R397" s="716">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0.1</v>
      </c>
      <c r="R398" s="716">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0.1</v>
      </c>
      <c r="R399" s="716">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0.1</v>
      </c>
      <c r="R400" s="716">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0.1</v>
      </c>
      <c r="R401" s="716">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0.1</v>
      </c>
      <c r="R402" s="716">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0.1</v>
      </c>
      <c r="R403" s="716">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0.1</v>
      </c>
      <c r="R404" s="716">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0.1</v>
      </c>
      <c r="R405" s="716">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0.1</v>
      </c>
      <c r="R406" s="716">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0.1</v>
      </c>
      <c r="R407" s="716">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0.1</v>
      </c>
      <c r="R408" s="716">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0.1</v>
      </c>
      <c r="R410" s="716">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0.1</v>
      </c>
      <c r="R411" s="716">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0.1</v>
      </c>
      <c r="R412" s="716">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0.1</v>
      </c>
      <c r="R413" s="716">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0.1</v>
      </c>
      <c r="R414" s="716">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0.1</v>
      </c>
      <c r="R415" s="716">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0.1</v>
      </c>
      <c r="R416" s="716">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0.1</v>
      </c>
      <c r="R417" s="716">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0.1</v>
      </c>
      <c r="R418" s="716">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0.1</v>
      </c>
      <c r="R419" s="716">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0.1</v>
      </c>
      <c r="R420" s="716">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0.1</v>
      </c>
      <c r="R421" s="716">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0.1</v>
      </c>
      <c r="R422" s="716">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0.1</v>
      </c>
      <c r="R423" s="716">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0.1</v>
      </c>
      <c r="R424" s="716">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0.1</v>
      </c>
      <c r="R425" s="716">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0.1</v>
      </c>
      <c r="R426" s="716">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0.1</v>
      </c>
      <c r="R427" s="716">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0.1</v>
      </c>
      <c r="R428" s="716">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0.1</v>
      </c>
      <c r="R429" s="716">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0.1</v>
      </c>
      <c r="R430" s="716">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0.1</v>
      </c>
      <c r="R431" s="716">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0.1</v>
      </c>
      <c r="R432" s="716">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0.1</v>
      </c>
      <c r="R433" s="716">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0.1</v>
      </c>
      <c r="R434" s="716">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0.1</v>
      </c>
      <c r="R435" s="716">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0.1</v>
      </c>
      <c r="R436" s="716">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0.1</v>
      </c>
      <c r="R437" s="716">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0.1</v>
      </c>
      <c r="R438" s="716">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0.1</v>
      </c>
      <c r="R439" s="716">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0.1</v>
      </c>
      <c r="R440" s="716">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0.1</v>
      </c>
      <c r="R441" s="716">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0.1</v>
      </c>
      <c r="R442" s="716">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0.1</v>
      </c>
      <c r="R443" s="716">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0.1</v>
      </c>
      <c r="R444" s="716">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0.1</v>
      </c>
      <c r="R445" s="716">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0.1</v>
      </c>
      <c r="R446" s="716">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0.1</v>
      </c>
      <c r="R447" s="716">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0.1</v>
      </c>
      <c r="R448" s="716">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0.1</v>
      </c>
      <c r="R449" s="716">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0.1</v>
      </c>
      <c r="R450" s="716">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0.1</v>
      </c>
      <c r="R451" s="716">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0.1</v>
      </c>
      <c r="R452" s="716">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0.1</v>
      </c>
      <c r="R453" s="716">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0.1</v>
      </c>
      <c r="R454" s="716">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0.1</v>
      </c>
      <c r="R455" s="716">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0.1</v>
      </c>
      <c r="R456" s="716">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0.1</v>
      </c>
      <c r="R457" s="716">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0.1</v>
      </c>
      <c r="R458" s="716">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0.1</v>
      </c>
      <c r="R459" s="716">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0.1</v>
      </c>
      <c r="R460" s="716">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0.1</v>
      </c>
      <c r="R461" s="716">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0.1</v>
      </c>
      <c r="R462" s="716">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0.1</v>
      </c>
      <c r="R463" s="716">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0.1</v>
      </c>
      <c r="R464" s="716">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0.1</v>
      </c>
      <c r="R465" s="716">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0.1</v>
      </c>
      <c r="R466" s="716">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0.1</v>
      </c>
      <c r="R467" s="716">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0.1</v>
      </c>
      <c r="R468" s="716">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0.1</v>
      </c>
      <c r="R469" s="716">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0.1</v>
      </c>
      <c r="R470" s="716">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0.1</v>
      </c>
      <c r="R471" s="716">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0.1</v>
      </c>
      <c r="R472" s="716">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0.1</v>
      </c>
      <c r="R474" s="716">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0.1</v>
      </c>
      <c r="R475" s="716">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0.1</v>
      </c>
      <c r="R476" s="716">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0.1</v>
      </c>
      <c r="R477" s="716">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0.1</v>
      </c>
      <c r="R478" s="716">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0.1</v>
      </c>
      <c r="R479" s="716">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0.1</v>
      </c>
      <c r="R480" s="716">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0.1</v>
      </c>
      <c r="R481" s="716">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0.1</v>
      </c>
      <c r="R482" s="716">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0.1</v>
      </c>
      <c r="R483" s="716">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0.1</v>
      </c>
      <c r="R484" s="716">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0.1</v>
      </c>
      <c r="R485" s="716">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0.1</v>
      </c>
      <c r="R486" s="716">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0.1</v>
      </c>
      <c r="R487" s="716">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0.1</v>
      </c>
      <c r="R488" s="716">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0.1</v>
      </c>
      <c r="R489" s="716">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0.1</v>
      </c>
      <c r="R490" s="716">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0.1</v>
      </c>
      <c r="R491" s="716">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0.1</v>
      </c>
      <c r="R492" s="716">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0.1</v>
      </c>
      <c r="R493" s="716">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0.1</v>
      </c>
      <c r="R494" s="716">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0.1</v>
      </c>
      <c r="R495" s="716">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0.1</v>
      </c>
      <c r="R496" s="716">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0.1</v>
      </c>
      <c r="R497" s="716">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0.1</v>
      </c>
      <c r="R498" s="716">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0.1</v>
      </c>
      <c r="R499" s="716">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0.1</v>
      </c>
      <c r="R500" s="716">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0.1</v>
      </c>
      <c r="R501" s="716">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0.1</v>
      </c>
      <c r="R502" s="716">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0.1</v>
      </c>
      <c r="R503" s="716">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0.1</v>
      </c>
      <c r="R504" s="716">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0.1</v>
      </c>
      <c r="R505" s="716">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0.1</v>
      </c>
      <c r="R506" s="716">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0.1</v>
      </c>
      <c r="R507" s="716">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0.1</v>
      </c>
      <c r="R508" s="716">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0.1</v>
      </c>
      <c r="R509" s="716">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0.1</v>
      </c>
      <c r="R510" s="716">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0.1</v>
      </c>
      <c r="R511" s="716">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0.1</v>
      </c>
      <c r="R512" s="716">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0.1</v>
      </c>
      <c r="R513" s="716">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0.1</v>
      </c>
      <c r="R514" s="716">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0.1</v>
      </c>
      <c r="R515" s="716">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0.1</v>
      </c>
      <c r="R516" s="716">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0.1</v>
      </c>
      <c r="R517" s="716">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0.1</v>
      </c>
      <c r="R518" s="716">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0.1</v>
      </c>
      <c r="R519" s="716">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0.1</v>
      </c>
      <c r="R520" s="716">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0.1</v>
      </c>
      <c r="R521" s="716">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0.1</v>
      </c>
      <c r="R522" s="716">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0.1</v>
      </c>
      <c r="R523" s="716">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58" sqref="D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1"/>
      <c r="C1" s="1836" t="s">
        <v>3060</v>
      </c>
      <c r="D1" s="1819" t="s">
        <v>70</v>
      </c>
      <c r="E1" s="1820" t="s">
        <v>1382</v>
      </c>
      <c r="F1" s="1282">
        <f ca="1">J53</f>
        <v>31.46</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6442</v>
      </c>
      <c r="C2" s="1844" t="s">
        <v>1510</v>
      </c>
      <c r="D2" s="1844"/>
      <c r="E2" s="1845"/>
      <c r="F2" s="1846"/>
      <c r="G2" s="1847"/>
      <c r="H2" s="1839"/>
      <c r="I2" s="1839"/>
      <c r="J2" s="1839"/>
      <c r="K2" s="1840"/>
      <c r="L2" s="1839"/>
      <c r="M2" s="1839"/>
    </row>
    <row r="3" spans="1:37" ht="18" customHeight="1" thickBot="1">
      <c r="A3" s="1848" t="s">
        <v>1511</v>
      </c>
      <c r="B3" s="1849">
        <f ca="1">IF(ISERROR(B2*10000/F43),0,ROUND(B2*10000/F43,0))</f>
        <v>21221</v>
      </c>
      <c r="C3" s="1844" t="s">
        <v>1512</v>
      </c>
      <c r="D3" s="1844"/>
      <c r="E3" s="1845"/>
      <c r="F3" s="1846"/>
      <c r="G3" s="1847"/>
      <c r="H3" s="743" t="s">
        <v>1582</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244</v>
      </c>
      <c r="D5" s="1821" t="s">
        <v>1397</v>
      </c>
      <c r="E5" s="1292"/>
      <c r="F5" s="1293"/>
      <c r="G5" s="1850"/>
      <c r="H5" s="344">
        <v>1</v>
      </c>
      <c r="I5" s="345" t="s">
        <v>1396</v>
      </c>
      <c r="J5" s="1291">
        <f ca="1">J6+J10+J12</f>
        <v>611</v>
      </c>
      <c r="K5" s="1821" t="s">
        <v>1397</v>
      </c>
      <c r="L5" s="1292"/>
      <c r="M5" s="1293"/>
    </row>
    <row r="6" spans="1:37" ht="18" customHeight="1">
      <c r="A6" s="1290" t="s">
        <v>1032</v>
      </c>
      <c r="B6" s="3221" t="s">
        <v>1398</v>
      </c>
      <c r="C6" s="1295">
        <f ca="1">ROUND(F6*F8*F7*(1-F9)/10000,0)</f>
        <v>244</v>
      </c>
      <c r="D6" s="164" t="s">
        <v>3026</v>
      </c>
      <c r="E6" s="347" t="s">
        <v>1400</v>
      </c>
      <c r="F6" s="348">
        <f ca="1">INDIRECT("'数据-取费表'!u"&amp;$G$1)</f>
        <v>2.2000000000000002</v>
      </c>
      <c r="G6" s="1850"/>
      <c r="H6" s="1290" t="s">
        <v>1032</v>
      </c>
      <c r="I6" s="3221" t="s">
        <v>1398</v>
      </c>
      <c r="J6" s="346">
        <f ca="1">ROUND(M6*M8*M7*(1-M9)/10000,0)</f>
        <v>610</v>
      </c>
      <c r="K6" s="164" t="s">
        <v>3025</v>
      </c>
      <c r="L6" s="347" t="s">
        <v>1400</v>
      </c>
      <c r="M6" s="348">
        <f ca="1">INDIRECT("'数据-取费表'!z"&amp;$G$1)</f>
        <v>6.12</v>
      </c>
    </row>
    <row r="7" spans="1:37" ht="18" customHeight="1">
      <c r="A7" s="1294"/>
      <c r="B7" s="3222"/>
      <c r="C7" s="1296"/>
      <c r="D7" s="352"/>
      <c r="E7" s="2997" t="s">
        <v>1401</v>
      </c>
      <c r="F7" s="348">
        <f ca="1">IF(INDIRECT("'数据-取费表'!ah"&amp;$G$1)="",INDIRECT("'数据-取费表'!k"&amp;$G$1),INDIRECT("'数据-取费表'!ah"&amp;$G$1))</f>
        <v>3035.67</v>
      </c>
      <c r="G7" s="1850"/>
      <c r="H7" s="349"/>
      <c r="I7" s="3222"/>
      <c r="J7" s="351"/>
      <c r="K7" s="352"/>
      <c r="L7" s="347" t="s">
        <v>1401</v>
      </c>
      <c r="M7" s="348">
        <f ca="1">F7</f>
        <v>3035.67</v>
      </c>
    </row>
    <row r="8" spans="1:37" ht="18" customHeight="1">
      <c r="A8" s="349"/>
      <c r="B8" s="3222"/>
      <c r="C8" s="351"/>
      <c r="D8" s="352"/>
      <c r="E8" s="347" t="s">
        <v>1402</v>
      </c>
      <c r="F8" s="348">
        <f ca="1">INDIRECT("'数据-取费表'!ai"&amp;$G$1)</f>
        <v>365</v>
      </c>
      <c r="G8" s="1850"/>
      <c r="H8" s="349"/>
      <c r="I8" s="3222"/>
      <c r="J8" s="351"/>
      <c r="K8" s="352"/>
      <c r="L8" s="347" t="s">
        <v>1402</v>
      </c>
      <c r="M8" s="348">
        <f ca="1">INDIRECT("'数据-取费表'!ai"&amp;$G$1)</f>
        <v>365</v>
      </c>
    </row>
    <row r="9" spans="1:37" ht="18" customHeight="1">
      <c r="A9" s="349"/>
      <c r="B9" s="3223"/>
      <c r="C9" s="351"/>
      <c r="D9" s="352"/>
      <c r="E9" s="347" t="s">
        <v>1403</v>
      </c>
      <c r="F9" s="357">
        <f ca="1">INDIRECT("'数据-取费表'!w"&amp;$G$1)</f>
        <v>0</v>
      </c>
      <c r="G9" s="1850"/>
      <c r="H9" s="349"/>
      <c r="I9" s="3223"/>
      <c r="J9" s="351"/>
      <c r="K9" s="352"/>
      <c r="L9" s="358" t="s">
        <v>1403</v>
      </c>
      <c r="M9" s="359">
        <f ca="1">INDIRECT("'数据-取费表'!ab"&amp;$G$1)</f>
        <v>0.1</v>
      </c>
    </row>
    <row r="10" spans="1:37" ht="18" customHeight="1">
      <c r="A10" s="1290" t="s">
        <v>1036</v>
      </c>
      <c r="B10" s="1822" t="s">
        <v>1404</v>
      </c>
      <c r="C10" s="361">
        <f ca="1">ROUND(IF(F10="押一",C6/12*F11,IF(F10="押二",C6/12*2*F11,IF(F10="押三",C6/12*3*F11,C11*F11))),0)</f>
        <v>0</v>
      </c>
      <c r="D10" s="1823" t="s">
        <v>3035</v>
      </c>
      <c r="E10" s="358" t="s">
        <v>1405</v>
      </c>
      <c r="F10" s="1365" t="s">
        <v>3099</v>
      </c>
      <c r="G10" s="1850"/>
      <c r="H10" s="1290" t="s">
        <v>1036</v>
      </c>
      <c r="I10" s="1822" t="s">
        <v>1404</v>
      </c>
      <c r="J10" s="346">
        <f ca="1">ROUND(IF(M10="押一",J6/12*M11,IF(M10="押二",J6/12*2*M11,IF(M10="押三",J6/12*3*M11,J11*M11))),0)</f>
        <v>1</v>
      </c>
      <c r="K10" s="1823" t="s">
        <v>3034</v>
      </c>
      <c r="L10" s="358" t="s">
        <v>1405</v>
      </c>
      <c r="M10" s="1365" t="s">
        <v>3099</v>
      </c>
    </row>
    <row r="11" spans="1:37" ht="18" customHeight="1">
      <c r="A11" s="353"/>
      <c r="B11" s="1824" t="s">
        <v>1383</v>
      </c>
      <c r="C11" s="1177"/>
      <c r="D11" s="1825"/>
      <c r="E11" s="358" t="s">
        <v>1406</v>
      </c>
      <c r="F11" s="359">
        <f ca="1">'数据-取费表'!B39</f>
        <v>1.4999999999999999E-2</v>
      </c>
      <c r="G11" s="1850"/>
      <c r="H11" s="1298"/>
      <c r="I11" s="1824" t="s">
        <v>1383</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1234</v>
      </c>
      <c r="D13" s="1330" t="s">
        <v>1409</v>
      </c>
      <c r="E13" s="1330" t="s">
        <v>1410</v>
      </c>
      <c r="F13" s="1331">
        <f ca="1">INDIRECT("'数据-取费表'!y"&amp;$G$1)</f>
        <v>0.92</v>
      </c>
      <c r="G13" s="1850"/>
      <c r="H13" s="1328">
        <v>2</v>
      </c>
      <c r="I13" s="1329" t="s">
        <v>1408</v>
      </c>
      <c r="J13" s="1289">
        <f ca="1">ROUND(J14*J15,0)</f>
        <v>1033</v>
      </c>
      <c r="K13" s="1336" t="s">
        <v>1409</v>
      </c>
      <c r="L13" s="1851"/>
      <c r="M13" s="1852"/>
    </row>
    <row r="14" spans="1:37" ht="18" customHeight="1">
      <c r="A14" s="1200" t="s">
        <v>1031</v>
      </c>
      <c r="B14" s="347" t="s">
        <v>1411</v>
      </c>
      <c r="C14" s="363">
        <f ca="1">INDIRECT("'数据-取费表'!m"&amp;$G$1)+INDIRECT("'数据-取费表'!t"&amp;$G$1)</f>
        <v>911</v>
      </c>
      <c r="D14" s="2991" t="s">
        <v>1412</v>
      </c>
      <c r="E14" s="2989"/>
      <c r="F14" s="364"/>
      <c r="G14" s="1850"/>
      <c r="H14" s="1200" t="s">
        <v>1032</v>
      </c>
      <c r="I14" s="347" t="s">
        <v>1413</v>
      </c>
      <c r="J14" s="24">
        <f ca="1">C29</f>
        <v>1341</v>
      </c>
      <c r="K14" s="2996"/>
      <c r="L14" s="978"/>
      <c r="M14" s="979"/>
    </row>
    <row r="15" spans="1:37" s="1857" customFormat="1" ht="18" customHeight="1" thickBot="1">
      <c r="A15" s="1200" t="s">
        <v>1033</v>
      </c>
      <c r="B15" s="347" t="s">
        <v>1414</v>
      </c>
      <c r="C15" s="24">
        <f ca="1">ROUND(C14*F15,0)</f>
        <v>27</v>
      </c>
      <c r="D15" s="365" t="s">
        <v>1415</v>
      </c>
      <c r="E15" s="365" t="s">
        <v>1416</v>
      </c>
      <c r="F15" s="366">
        <f>'数据-取费表'!B33</f>
        <v>0.03</v>
      </c>
      <c r="G15" s="1853"/>
      <c r="H15" s="1338" t="s">
        <v>1036</v>
      </c>
      <c r="I15" s="1339" t="s">
        <v>1410</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ROUND(INDIRECT("'数据-取费表'!m"&amp;$G$1)*F16,0)</f>
        <v>0</v>
      </c>
      <c r="D16" s="347" t="s">
        <v>1415</v>
      </c>
      <c r="E16" s="347" t="s">
        <v>1416</v>
      </c>
      <c r="F16" s="367">
        <f ca="1">IF(INDIRECT("'数据-取费表'!c"&amp;$G$1)="住宅",'数据-取费表'!B34,0)</f>
        <v>0</v>
      </c>
      <c r="G16" s="1850"/>
      <c r="H16" s="1328" t="s">
        <v>1027</v>
      </c>
      <c r="I16" s="1329" t="s">
        <v>1418</v>
      </c>
      <c r="J16" s="355">
        <f ca="1">ROUND(J17+J22+J23+J24,0)</f>
        <v>131</v>
      </c>
      <c r="K16" s="1336" t="s">
        <v>1419</v>
      </c>
      <c r="L16" s="2992"/>
      <c r="M16" s="1293"/>
    </row>
    <row r="17" spans="1:37" s="1857" customFormat="1" ht="18" customHeight="1">
      <c r="A17" s="1200" t="s">
        <v>1385</v>
      </c>
      <c r="B17" s="347" t="s">
        <v>1420</v>
      </c>
      <c r="C17" s="24">
        <f ca="1">ROUND(F17*(F43+INDIRECT("'数据-取费表'!S"&amp;$G$1))/10000,0)</f>
        <v>61</v>
      </c>
      <c r="D17" s="347" t="s">
        <v>1421</v>
      </c>
      <c r="E17" s="347" t="s">
        <v>1422</v>
      </c>
      <c r="F17" s="26">
        <f>'数据-取费表'!B35</f>
        <v>200</v>
      </c>
      <c r="G17" s="1853"/>
      <c r="H17" s="1200" t="s">
        <v>1032</v>
      </c>
      <c r="I17" s="347" t="s">
        <v>1423</v>
      </c>
      <c r="J17" s="24">
        <f ca="1">ROUND(IF(项目基本情况!B11="自然人",J6*M17/(1+'数据-取费表'!C42),J18+J19+J20),1)</f>
        <v>103.1</v>
      </c>
      <c r="K17" s="2991" t="s">
        <v>1424</v>
      </c>
      <c r="L17" s="299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14</v>
      </c>
      <c r="D18" s="347" t="s">
        <v>1415</v>
      </c>
      <c r="E18" s="347" t="s">
        <v>1416</v>
      </c>
      <c r="F18" s="367">
        <f>'数据-取费表'!B36</f>
        <v>1.4999999999999999E-2</v>
      </c>
      <c r="G18" s="1853"/>
      <c r="H18" s="1200" t="s">
        <v>1031</v>
      </c>
      <c r="I18" s="347" t="s">
        <v>1427</v>
      </c>
      <c r="J18" s="24">
        <f ca="1">ROUND(J6*M18/(1+'数据-取费表'!C42),2)</f>
        <v>32.53</v>
      </c>
      <c r="K18" s="2990"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1013</v>
      </c>
      <c r="D19" s="140" t="s">
        <v>1430</v>
      </c>
      <c r="E19" s="2995"/>
      <c r="F19" s="26"/>
      <c r="G19" s="1850"/>
      <c r="H19" s="1200" t="s">
        <v>1033</v>
      </c>
      <c r="I19" s="347" t="s">
        <v>1431</v>
      </c>
      <c r="J19" s="24">
        <f ca="1">IF(K19="按租金收入计税",ROUND(J6*M19/(1+'数据-取费表'!C42),2),ROUND(C29*M19*0.7,2))</f>
        <v>69.709999999999994</v>
      </c>
      <c r="K19" s="1827" t="s">
        <v>3100</v>
      </c>
      <c r="L19" s="347" t="s">
        <v>1416</v>
      </c>
      <c r="M19" s="367">
        <f>IF(K19="按租金收入计税",'数据-取费表'!B51,'数据-取费表'!B50)</f>
        <v>0.12</v>
      </c>
    </row>
    <row r="20" spans="1:37" s="1857" customFormat="1" ht="18" customHeight="1">
      <c r="A20" s="1200" t="s">
        <v>1036</v>
      </c>
      <c r="B20" s="347" t="s">
        <v>1433</v>
      </c>
      <c r="C20" s="24">
        <f ca="1">ROUND(C19*F20,0)</f>
        <v>20</v>
      </c>
      <c r="D20" s="369" t="s">
        <v>1434</v>
      </c>
      <c r="E20" s="347" t="s">
        <v>1416</v>
      </c>
      <c r="F20" s="367">
        <f>'数据-取费表'!B37</f>
        <v>0.02</v>
      </c>
      <c r="G20" s="1853"/>
      <c r="H20" s="1200" t="s">
        <v>1384</v>
      </c>
      <c r="I20" s="164" t="s">
        <v>1435</v>
      </c>
      <c r="J20" s="25">
        <f ca="1">ROUND(M20*M21/10000,2)</f>
        <v>0.83</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2</v>
      </c>
      <c r="D21" s="369" t="s">
        <v>1439</v>
      </c>
      <c r="E21" s="347" t="s">
        <v>1440</v>
      </c>
      <c r="F21" s="367">
        <f>'数据-取费表'!B38</f>
        <v>0.02</v>
      </c>
      <c r="G21" s="1853"/>
      <c r="H21" s="372"/>
      <c r="I21" s="356"/>
      <c r="J21" s="29"/>
      <c r="K21" s="373"/>
      <c r="L21" s="347" t="s">
        <v>1441</v>
      </c>
      <c r="M21" s="348">
        <f ca="1">INDIRECT("'数据-取费表'!r"&amp;$G$1)</f>
        <v>2781.02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2995"/>
      <c r="F22" s="26"/>
      <c r="G22" s="1850"/>
      <c r="H22" s="1200" t="s">
        <v>1036</v>
      </c>
      <c r="I22" s="347" t="s">
        <v>1443</v>
      </c>
      <c r="J22" s="24">
        <f ca="1">ROUND(J14*M22,1)</f>
        <v>20.100000000000001</v>
      </c>
      <c r="K22" s="2990" t="s">
        <v>1444</v>
      </c>
      <c r="L22" s="347" t="s">
        <v>1416</v>
      </c>
      <c r="M22" s="374">
        <f ca="1">INDIRECT("'数据-取费表'!Ak"&amp;$G$1)</f>
        <v>1.4999999999999999E-2</v>
      </c>
    </row>
    <row r="23" spans="1:37" s="1857" customFormat="1" ht="18" customHeight="1">
      <c r="A23" s="1200" t="s">
        <v>1031</v>
      </c>
      <c r="B23" s="347" t="s">
        <v>1445</v>
      </c>
      <c r="C23" s="24">
        <f ca="1">IF('数据-取费表'!B22&lt;=1,ROUND(C19*F24*F23/2,0)+ROUND(C20*F24*F23/2,0),ROUND(C19*(POWER((1+F24),F23/2)-1),0)+ROUND(C20*(POWER((1+F24),F23/2)-1),0))</f>
        <v>49</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ROUND(J13*M23,1)</f>
        <v>1.5</v>
      </c>
      <c r="K23" s="2990"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ROUND(J5*M24,1)</f>
        <v>6.1</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2995"/>
      <c r="F25" s="26"/>
      <c r="G25" s="1850"/>
      <c r="H25" s="1328" t="s">
        <v>1028</v>
      </c>
      <c r="I25" s="1343" t="s">
        <v>1457</v>
      </c>
      <c r="J25" s="355">
        <f ca="1">J5-J16</f>
        <v>480</v>
      </c>
      <c r="K25" s="1344" t="s">
        <v>1458</v>
      </c>
      <c r="L25" s="1345"/>
      <c r="M25" s="1346"/>
    </row>
    <row r="26" spans="1:37">
      <c r="A26" s="1200" t="s">
        <v>1031</v>
      </c>
      <c r="B26" s="347" t="s">
        <v>1459</v>
      </c>
      <c r="C26" s="24">
        <f ca="1">ROUND((C19+C20)*F26,0)</f>
        <v>155</v>
      </c>
      <c r="D26" s="369" t="s">
        <v>1460</v>
      </c>
      <c r="E26" s="358" t="s">
        <v>1461</v>
      </c>
      <c r="F26" s="357">
        <f ca="1">INDIRECT("'数据-取费表'!q"&amp;$G$1)</f>
        <v>0.15</v>
      </c>
      <c r="G26" s="1850"/>
      <c r="H26" s="344" t="s">
        <v>1029</v>
      </c>
      <c r="I26" s="345" t="s">
        <v>1462</v>
      </c>
      <c r="J26" s="346">
        <f ca="1">IF(J5&lt;&gt;0,ROUND(J25*(1-((1+M28)/(1+M26))^M27)/(M26-M28),0),0)</f>
        <v>8407</v>
      </c>
      <c r="K26" s="370" t="s">
        <v>1463</v>
      </c>
      <c r="L26" s="347" t="s">
        <v>1464</v>
      </c>
      <c r="M26" s="357">
        <f ca="1">INDIRECT("'数据-取费表'!I"&amp;$G$1)</f>
        <v>5.5E-2</v>
      </c>
    </row>
    <row r="27" spans="1:37" ht="18" customHeight="1">
      <c r="A27" s="1200" t="s">
        <v>1033</v>
      </c>
      <c r="B27" s="347" t="s">
        <v>1465</v>
      </c>
      <c r="C27" s="24">
        <f ca="1">ROUND(F21*F26,4)</f>
        <v>3.0000000000000001E-3</v>
      </c>
      <c r="D27" s="369" t="s">
        <v>1466</v>
      </c>
      <c r="E27" s="365"/>
      <c r="F27" s="366"/>
      <c r="G27" s="1850"/>
      <c r="H27" s="349"/>
      <c r="I27" s="350"/>
      <c r="J27" s="351"/>
      <c r="K27" s="378" t="s">
        <v>1467</v>
      </c>
      <c r="L27" s="347" t="s">
        <v>1468</v>
      </c>
      <c r="M27" s="379">
        <f ca="1">INDIRECT("'数据-取费表'!ag"&amp;$G$1)</f>
        <v>22.53</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3.5000000000000003E-2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1341</v>
      </c>
      <c r="D29" s="1341"/>
      <c r="E29" s="1339"/>
      <c r="F29" s="1342"/>
      <c r="G29" s="1853"/>
      <c r="H29" s="380" t="s">
        <v>1030</v>
      </c>
      <c r="I29" s="381" t="s">
        <v>1473</v>
      </c>
      <c r="J29" s="382">
        <f ca="1">ROUND(J26/(1+F40)^F41,0)</f>
        <v>5212</v>
      </c>
      <c r="K29" s="383" t="s">
        <v>1474</v>
      </c>
      <c r="L29" s="384"/>
      <c r="M29" s="385">
        <f ca="1">INDIRECT("'数据-取费表'!k"&amp;$G$1)</f>
        <v>3035.67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66</v>
      </c>
      <c r="D30" s="1336" t="s">
        <v>1419</v>
      </c>
      <c r="E30" s="2992"/>
      <c r="F30" s="1293"/>
      <c r="G30" s="1850"/>
      <c r="H30" s="744"/>
      <c r="I30" s="745"/>
      <c r="J30" s="746"/>
      <c r="K30" s="747"/>
      <c r="L30" s="748"/>
      <c r="M30" s="749"/>
    </row>
    <row r="31" spans="1:37" ht="18" customHeight="1">
      <c r="A31" s="1200" t="s">
        <v>1032</v>
      </c>
      <c r="B31" s="347" t="s">
        <v>1423</v>
      </c>
      <c r="C31" s="24">
        <f ca="1">ROUND(IF(项目基本情况!B11="自然人",C6*F31/(1+'数据-取费表'!C42),C32+C33+C34),1)</f>
        <v>41.7</v>
      </c>
      <c r="D31" s="2991" t="s">
        <v>1424</v>
      </c>
      <c r="E31" s="2990"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IF(项目基本情况!B11="自然人","——",ROUND(C6*F32/(1+'数据-取费表'!C42),2))</f>
        <v>13.01</v>
      </c>
      <c r="D32" s="2990"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IF(项目基本情况!B11="自然人","——",IF(D33="按租金收入计税",ROUND(C6*F33/(1+'数据-取费表'!C42),2),IF(D33="按房产原值计税",ROUND(C29*F33*0.7,2),INDIRECT("'数据-取费表'!Aj"&amp;$G$1))))</f>
        <v>27.89</v>
      </c>
      <c r="D33" s="1827" t="s">
        <v>3100</v>
      </c>
      <c r="E33" s="347" t="s">
        <v>1416</v>
      </c>
      <c r="F33" s="367">
        <f>IF(D33="按票据","——",IF(D33="按租金收入计税",'数据-取费表'!B51,'数据-取费表'!B50))</f>
        <v>0.12</v>
      </c>
      <c r="G33" s="1850"/>
      <c r="H33" s="1858"/>
      <c r="I33" s="1859"/>
      <c r="J33" s="1860"/>
      <c r="K33" s="1861"/>
      <c r="L33" s="1858"/>
      <c r="M33" s="1858"/>
    </row>
    <row r="34" spans="1:18" ht="18" customHeight="1">
      <c r="A34" s="1290" t="s">
        <v>1384</v>
      </c>
      <c r="B34" s="164" t="s">
        <v>1435</v>
      </c>
      <c r="C34" s="25">
        <f ca="1">IF(项目基本情况!B11="自然人","——",ROUND(F34*F35/10000,2))</f>
        <v>0.83</v>
      </c>
      <c r="D34" s="370" t="s">
        <v>1436</v>
      </c>
      <c r="E34" s="347" t="s">
        <v>1437</v>
      </c>
      <c r="F34" s="371">
        <f>'数据-取费表'!B52</f>
        <v>3</v>
      </c>
      <c r="G34" s="1850"/>
      <c r="H34" s="744"/>
      <c r="I34" s="1859"/>
      <c r="J34" s="1860"/>
      <c r="K34" s="1862"/>
      <c r="L34" s="1863"/>
      <c r="M34" s="1863"/>
    </row>
    <row r="35" spans="1:18" ht="18" customHeight="1">
      <c r="A35" s="1352"/>
      <c r="B35" s="1350"/>
      <c r="C35" s="29"/>
      <c r="D35" s="373"/>
      <c r="E35" s="347" t="s">
        <v>1441</v>
      </c>
      <c r="F35" s="348">
        <f ca="1">INDIRECT("'数据-取费表'!r"&amp;$G$1)</f>
        <v>2781.02</v>
      </c>
      <c r="G35" s="1850"/>
      <c r="H35" s="744"/>
      <c r="I35" s="1859"/>
      <c r="J35" s="1860"/>
      <c r="K35" s="1861"/>
      <c r="L35" s="1858"/>
      <c r="M35" s="1858"/>
    </row>
    <row r="36" spans="1:18" ht="18" customHeight="1">
      <c r="A36" s="1351" t="s">
        <v>1036</v>
      </c>
      <c r="B36" s="347" t="s">
        <v>1443</v>
      </c>
      <c r="C36" s="24">
        <f ca="1">ROUND(C29*F36,1)</f>
        <v>20.100000000000001</v>
      </c>
      <c r="D36" s="2990" t="s">
        <v>1476</v>
      </c>
      <c r="E36" s="347" t="s">
        <v>1416</v>
      </c>
      <c r="F36" s="374">
        <f ca="1">INDIRECT("'数据-取费表'!Ak"&amp;$G$1)</f>
        <v>1.4999999999999999E-2</v>
      </c>
      <c r="G36" s="1850"/>
      <c r="H36" s="1858"/>
      <c r="I36" s="1859"/>
      <c r="J36" s="1860"/>
      <c r="K36" s="750"/>
      <c r="L36" s="1858"/>
      <c r="M36" s="1858"/>
    </row>
    <row r="37" spans="1:18" ht="18" customHeight="1">
      <c r="A37" s="1200" t="s">
        <v>1072</v>
      </c>
      <c r="B37" s="347" t="s">
        <v>1447</v>
      </c>
      <c r="C37" s="24">
        <f ca="1">ROUND(C13*F37,1)</f>
        <v>1.9</v>
      </c>
      <c r="D37" s="2990" t="s">
        <v>1448</v>
      </c>
      <c r="E37" s="347" t="s">
        <v>1449</v>
      </c>
      <c r="F37" s="376">
        <f ca="1">INDIRECT("'数据-取费表'!Al"&amp;$G$1)</f>
        <v>1.5E-3</v>
      </c>
      <c r="G37" s="1850"/>
      <c r="H37" s="1858"/>
      <c r="I37" s="1859"/>
      <c r="J37" s="1860"/>
      <c r="K37" s="750"/>
      <c r="L37" s="1858"/>
      <c r="M37" s="1858"/>
    </row>
    <row r="38" spans="1:18" ht="18" customHeight="1" thickBot="1">
      <c r="A38" s="1338" t="s">
        <v>1388</v>
      </c>
      <c r="B38" s="1339" t="s">
        <v>1433</v>
      </c>
      <c r="C38" s="1340">
        <f ca="1">ROUND(C5*F38,1)</f>
        <v>2.4</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5">
        <f ca="1">C5-C30</f>
        <v>178</v>
      </c>
      <c r="D39" s="1344" t="s">
        <v>1478</v>
      </c>
      <c r="E39" s="1345"/>
      <c r="F39" s="1346"/>
      <c r="G39" s="1850"/>
      <c r="H39" s="1858"/>
      <c r="I39" s="1859"/>
      <c r="J39" s="1860"/>
      <c r="K39" s="1864"/>
      <c r="L39" s="1858"/>
      <c r="M39" s="1858"/>
    </row>
    <row r="40" spans="1:18" ht="18" customHeight="1">
      <c r="A40" s="344" t="s">
        <v>1029</v>
      </c>
      <c r="B40" s="345" t="s">
        <v>1479</v>
      </c>
      <c r="C40" s="346">
        <f ca="1">ROUND(C39*(1-((1+F42)/(1+F40))^F41)/(F40-F42),0)</f>
        <v>1230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8.93</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f ca="1">ROUND(C40*10000/F43,0)</f>
        <v>4052</v>
      </c>
      <c r="D43" s="383" t="s">
        <v>1482</v>
      </c>
      <c r="E43" s="384" t="s">
        <v>1483</v>
      </c>
      <c r="F43" s="385">
        <f ca="1">INDIRECT("'数据-取费表'!k"&amp;$G$1)</f>
        <v>3035.67</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8" thickBot="1">
      <c r="A46" s="1869" t="s">
        <v>1514</v>
      </c>
      <c r="C46" s="1870">
        <f ca="1">C68-C40</f>
        <v>1480</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4" t="s">
        <v>1391</v>
      </c>
      <c r="B47" s="1196" t="s">
        <v>1392</v>
      </c>
      <c r="C47" s="1366" t="s">
        <v>1393</v>
      </c>
      <c r="D47" s="1196" t="s">
        <v>1394</v>
      </c>
      <c r="E47" s="1278" t="s">
        <v>1395</v>
      </c>
      <c r="F47" s="1279"/>
      <c r="G47" s="791"/>
      <c r="I47" s="1879" t="s">
        <v>1520</v>
      </c>
      <c r="J47" s="1880" t="s">
        <v>3101</v>
      </c>
      <c r="K47" s="1881" t="s">
        <v>1521</v>
      </c>
      <c r="L47" s="1882">
        <f ca="1">INDIRECT("'数据-取费表'!d"&amp;$G$1)</f>
        <v>40</v>
      </c>
      <c r="M47" s="1837" t="str">
        <f>IF(ISNUMBER(FIND("住宅",C1)),"住宅","非住宅")</f>
        <v>非住宅</v>
      </c>
      <c r="O47" s="1883" t="s">
        <v>1037</v>
      </c>
      <c r="P47" s="1884" t="s">
        <v>1522</v>
      </c>
      <c r="Q47" s="1885">
        <f ca="1">C40+J29</f>
        <v>6442</v>
      </c>
      <c r="R47" s="1885" t="s">
        <v>1523</v>
      </c>
    </row>
    <row r="48" spans="1:18" s="1841" customFormat="1" ht="40.200000000000003" thickBot="1">
      <c r="A48" s="1359" t="s">
        <v>1132</v>
      </c>
      <c r="B48" s="345" t="s">
        <v>1396</v>
      </c>
      <c r="C48" s="2994">
        <f ca="1">C49+C53+C55</f>
        <v>450</v>
      </c>
      <c r="D48" s="1361"/>
      <c r="E48" s="1362"/>
      <c r="F48" s="1180"/>
      <c r="G48" s="791"/>
      <c r="H48" s="792"/>
      <c r="I48" s="1886" t="s">
        <v>1524</v>
      </c>
      <c r="J48" s="1887" t="s">
        <v>3102</v>
      </c>
      <c r="K48" s="1888" t="s">
        <v>1525</v>
      </c>
      <c r="L48" s="1889">
        <f ca="1">INDIRECT("'数据-取费表'!f"&amp;$G$1)</f>
        <v>31.46</v>
      </c>
      <c r="O48" s="1883" t="s">
        <v>1038</v>
      </c>
      <c r="P48" s="1884" t="s">
        <v>1526</v>
      </c>
      <c r="Q48" s="1885" t="str">
        <f ca="1">J60</f>
        <v>0</v>
      </c>
      <c r="R48" s="1885" t="s">
        <v>1527</v>
      </c>
    </row>
    <row r="49" spans="1:18" s="1841" customFormat="1" ht="13.8" thickBot="1">
      <c r="A49" s="1193" t="s">
        <v>1133</v>
      </c>
      <c r="B49" s="1828" t="s">
        <v>1484</v>
      </c>
      <c r="C49" s="1363">
        <f ca="1">ROUND(F49*F51*F50*(1-F52)/10000,0)</f>
        <v>449</v>
      </c>
      <c r="D49" s="1275" t="s">
        <v>3025</v>
      </c>
      <c r="E49" s="1829" t="s">
        <v>1485</v>
      </c>
      <c r="F49" s="1280">
        <f ca="1">'收益法（3号楼）'!F6*典型户型修正!D18/典型户型修正!C18</f>
        <v>4.5</v>
      </c>
      <c r="G49" s="1890"/>
      <c r="H49" s="792"/>
      <c r="I49" s="1886" t="s">
        <v>1528</v>
      </c>
      <c r="J49" s="1891">
        <v>2014</v>
      </c>
      <c r="K49" s="1888" t="s">
        <v>1529</v>
      </c>
      <c r="L49" s="1892"/>
      <c r="O49" s="1893" t="s">
        <v>1039</v>
      </c>
      <c r="P49" s="1884" t="s">
        <v>1530</v>
      </c>
      <c r="Q49" s="1885">
        <f ca="1">C29</f>
        <v>1341</v>
      </c>
      <c r="R49" s="1885" t="s">
        <v>1523</v>
      </c>
    </row>
    <row r="50" spans="1:18" s="1841" customFormat="1" ht="13.8" thickBot="1">
      <c r="A50" s="1194"/>
      <c r="B50" s="1197"/>
      <c r="C50" s="1367"/>
      <c r="D50" s="1171"/>
      <c r="E50" s="1276" t="s">
        <v>1401</v>
      </c>
      <c r="F50" s="1277">
        <f ca="1">F7</f>
        <v>3035.67</v>
      </c>
      <c r="H50" s="792"/>
      <c r="I50" s="1886" t="s">
        <v>1531</v>
      </c>
      <c r="J50" s="1894">
        <f>SUMPRODUCT((I63:I65=J47)*(J62:L62=J48)*(J63:L65))</f>
        <v>60</v>
      </c>
      <c r="K50" s="1888" t="s">
        <v>1532</v>
      </c>
      <c r="L50" s="1892"/>
      <c r="M50" s="1895"/>
      <c r="O50" s="1893" t="s">
        <v>1040</v>
      </c>
      <c r="P50" s="1884" t="s">
        <v>1533</v>
      </c>
      <c r="Q50" s="1896" t="e">
        <f ca="1">J58</f>
        <v>#VALUE!</v>
      </c>
      <c r="R50" s="1885"/>
    </row>
    <row r="51" spans="1:18" s="1841" customFormat="1" ht="13.8" thickBot="1">
      <c r="A51" s="1195"/>
      <c r="B51" s="1197"/>
      <c r="C51" s="1198"/>
      <c r="D51" s="1171"/>
      <c r="E51" s="1199" t="s">
        <v>1402</v>
      </c>
      <c r="F51" s="348">
        <f ca="1">F8</f>
        <v>365</v>
      </c>
      <c r="I51" s="1897" t="s">
        <v>1534</v>
      </c>
      <c r="J51" s="1898">
        <f>IF(J49="",J50,J49+J50-YEAR('数据-取费表'!B2))</f>
        <v>55</v>
      </c>
      <c r="K51" s="1899" t="s">
        <v>1535</v>
      </c>
      <c r="L51" s="1900">
        <f ca="1">ROUND(-PV(INDIRECT("'数据-取费表'!h"&amp;$G$1),L48,(C39-C13*C76),0),0)</f>
        <v>1147</v>
      </c>
      <c r="M51" s="1901"/>
      <c r="O51" s="1893" t="s">
        <v>1041</v>
      </c>
      <c r="P51" s="1884" t="s">
        <v>1536</v>
      </c>
      <c r="Q51" s="1896">
        <f>J52</f>
        <v>0.09</v>
      </c>
      <c r="R51" s="1885"/>
    </row>
    <row r="52" spans="1:18" s="1841" customFormat="1" ht="13.8" thickBot="1">
      <c r="A52" s="1195"/>
      <c r="B52" s="1197"/>
      <c r="C52" s="1198"/>
      <c r="D52" s="1171"/>
      <c r="E52" s="1199" t="s">
        <v>1403</v>
      </c>
      <c r="F52" s="1274">
        <v>0.1</v>
      </c>
      <c r="I52" s="1902" t="s">
        <v>1537</v>
      </c>
      <c r="J52" s="1903">
        <v>0.09</v>
      </c>
      <c r="K52" s="1902" t="s">
        <v>1538</v>
      </c>
      <c r="L52" s="1903"/>
      <c r="O52" s="1893" t="s">
        <v>1042</v>
      </c>
      <c r="P52" s="1884" t="s">
        <v>1539</v>
      </c>
      <c r="Q52" s="1885">
        <f ca="1">J53</f>
        <v>31.46</v>
      </c>
      <c r="R52" s="1885" t="s">
        <v>1540</v>
      </c>
    </row>
    <row r="53" spans="1:18" s="1841" customFormat="1" ht="36.6" thickBot="1">
      <c r="A53" s="1404" t="s">
        <v>1134</v>
      </c>
      <c r="B53" s="1830" t="s">
        <v>1404</v>
      </c>
      <c r="C53" s="361">
        <f ca="1">ROUND(IF(F53="押一",C49/12*F11,IF(F53="押二",C49/12*2*F11,IF(F53="押三",C49/12*3*F11,C54*F11))),0)</f>
        <v>1</v>
      </c>
      <c r="D53" s="1823" t="s">
        <v>3034</v>
      </c>
      <c r="E53" s="358" t="s">
        <v>1405</v>
      </c>
      <c r="F53" s="1365" t="s">
        <v>3099</v>
      </c>
      <c r="I53" s="1904" t="s">
        <v>1541</v>
      </c>
      <c r="J53" s="2949">
        <f ca="1">IF(M47="住宅",IF(D1="——",MAX(J51,L48),MAX(J51,L48-'数据-取费表'!B24)),IF(D1="——",MIN(J51,L48),MIN(J51,L48-'数据-取费表'!B24)))</f>
        <v>31.46</v>
      </c>
      <c r="K53" s="3219" t="s">
        <v>1542</v>
      </c>
      <c r="L53" s="3220"/>
      <c r="O53" s="1883" t="s">
        <v>1043</v>
      </c>
      <c r="P53" s="1884" t="s">
        <v>1543</v>
      </c>
      <c r="Q53" s="1885">
        <f ca="1">Q47+Q48</f>
        <v>6442</v>
      </c>
      <c r="R53" s="1885" t="s">
        <v>1044</v>
      </c>
    </row>
    <row r="54" spans="1:18" s="1841" customFormat="1" ht="24.6" thickBot="1">
      <c r="A54" s="1405"/>
      <c r="B54" s="1824" t="s">
        <v>1383</v>
      </c>
      <c r="C54" s="1177"/>
      <c r="D54" s="1823"/>
      <c r="E54" s="299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1072</v>
      </c>
      <c r="B55" s="1826" t="s">
        <v>1407</v>
      </c>
      <c r="C55" s="1333"/>
      <c r="D55" s="1823"/>
      <c r="E55" s="2993"/>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5">
        <v>2</v>
      </c>
      <c r="B56" s="1176" t="s">
        <v>1408</v>
      </c>
      <c r="C56" s="276">
        <f ca="1">C13</f>
        <v>1234</v>
      </c>
      <c r="D56" s="1912"/>
      <c r="E56" s="1913"/>
      <c r="F56" s="1905"/>
      <c r="I56" s="1914" t="s">
        <v>1548</v>
      </c>
      <c r="J56" s="1915" t="s">
        <v>3095</v>
      </c>
      <c r="K56" s="1886" t="s">
        <v>1549</v>
      </c>
      <c r="L56" s="1889" t="str">
        <f ca="1">IF(L48&lt;J51,"——",L48-J53)</f>
        <v>——</v>
      </c>
      <c r="O56" s="1883" t="s">
        <v>1037</v>
      </c>
      <c r="P56" s="1884" t="s">
        <v>1522</v>
      </c>
      <c r="Q56" s="1885">
        <f ca="1">C40+J29</f>
        <v>6442</v>
      </c>
      <c r="R56" s="1885" t="s">
        <v>1523</v>
      </c>
    </row>
    <row r="57" spans="1:18" s="1841" customFormat="1" ht="24.6" thickBot="1">
      <c r="A57" s="1916"/>
      <c r="B57" s="1168" t="s">
        <v>1472</v>
      </c>
      <c r="C57" s="282">
        <f ca="1">C29</f>
        <v>1341</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6" thickBot="1">
      <c r="A58" s="360" t="s">
        <v>1027</v>
      </c>
      <c r="B58" s="1176" t="s">
        <v>1418</v>
      </c>
      <c r="C58" s="361">
        <f ca="1">ROUND(C59+C64+C65+C66,0)</f>
        <v>105</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6" thickBot="1">
      <c r="A59" s="1200" t="s">
        <v>1032</v>
      </c>
      <c r="B59" s="1168" t="s">
        <v>1423</v>
      </c>
      <c r="C59" s="24">
        <f ca="1">ROUND(IF(项目基本情况!B11="自然人",C48*F59,C60+C61+C62),1)</f>
        <v>78.8</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1427</v>
      </c>
      <c r="C60" s="24">
        <f ca="1">IF(项目基本情况!B11="自然人","——",ROUND(C48*F60/(1+'数据-取费表'!C42),2))</f>
        <v>24</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IF(项目基本情况!B11="自然人","——",IF(D61="按租金收入计税",ROUND(C48*F61,2),IF(D61="按房产原值计税",ROUND(C57*F61*0.7,2),INDIRECT("'数据-取费表'!Aj"&amp;$G$1))))</f>
        <v>54</v>
      </c>
      <c r="D61" s="1827" t="s">
        <v>3100</v>
      </c>
      <c r="E61" s="1168" t="s">
        <v>1416</v>
      </c>
      <c r="F61" s="367">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8" thickBot="1">
      <c r="A62" s="1200" t="s">
        <v>1489</v>
      </c>
      <c r="B62" s="1167" t="s">
        <v>1435</v>
      </c>
      <c r="C62" s="25">
        <f ca="1">IF(项目基本情况!B11="自然人","——",ROUND(F62*F63/10000,2))</f>
        <v>0.83</v>
      </c>
      <c r="D62" s="1183" t="s">
        <v>1491</v>
      </c>
      <c r="E62" s="1168" t="s">
        <v>1437</v>
      </c>
      <c r="F62" s="371">
        <f t="shared" si="0"/>
        <v>3</v>
      </c>
      <c r="I62" s="1927" t="s">
        <v>1564</v>
      </c>
      <c r="J62" s="1928" t="s">
        <v>1565</v>
      </c>
      <c r="K62" s="1928" t="s">
        <v>1566</v>
      </c>
      <c r="L62" s="1928" t="s">
        <v>1567</v>
      </c>
      <c r="M62" s="1929" t="s">
        <v>1568</v>
      </c>
      <c r="O62" s="1883" t="s">
        <v>1043</v>
      </c>
      <c r="P62" s="1884" t="s">
        <v>1569</v>
      </c>
      <c r="Q62" s="1885">
        <f ca="1">Q56+Q57</f>
        <v>6442</v>
      </c>
      <c r="R62" s="1885" t="s">
        <v>1044</v>
      </c>
    </row>
    <row r="63" spans="1:18" s="1841" customFormat="1" ht="13.8" thickBot="1">
      <c r="A63" s="372"/>
      <c r="B63" s="1174"/>
      <c r="C63" s="29"/>
      <c r="D63" s="1184"/>
      <c r="E63" s="1168" t="s">
        <v>1441</v>
      </c>
      <c r="F63" s="348">
        <f t="shared" ca="1" si="0"/>
        <v>2781.02</v>
      </c>
      <c r="I63" s="1927" t="s">
        <v>1570</v>
      </c>
      <c r="J63" s="1928">
        <v>70</v>
      </c>
      <c r="K63" s="1928">
        <v>50</v>
      </c>
      <c r="L63" s="1928">
        <v>80</v>
      </c>
      <c r="M63" s="1930">
        <v>0.02</v>
      </c>
      <c r="O63" s="1868" t="s">
        <v>1571</v>
      </c>
      <c r="P63" s="1838"/>
      <c r="Q63" s="1838"/>
      <c r="R63" s="1838"/>
    </row>
    <row r="64" spans="1:18" s="1841" customFormat="1" ht="13.8" thickBot="1">
      <c r="A64" s="1200" t="s">
        <v>1036</v>
      </c>
      <c r="B64" s="1168" t="s">
        <v>1495</v>
      </c>
      <c r="C64" s="24">
        <f ca="1">ROUND(C57*F64,1)</f>
        <v>20.100000000000001</v>
      </c>
      <c r="D64" s="1182" t="s">
        <v>1476</v>
      </c>
      <c r="E64" s="1168"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ROUND(C56*F65,1)</f>
        <v>1.9</v>
      </c>
      <c r="D65" s="1182" t="s">
        <v>1448</v>
      </c>
      <c r="E65" s="1168" t="s">
        <v>1449</v>
      </c>
      <c r="F65" s="376">
        <f t="shared" ca="1" si="0"/>
        <v>1.5E-3</v>
      </c>
      <c r="I65" s="1927" t="s">
        <v>1573</v>
      </c>
      <c r="J65" s="1928">
        <v>40</v>
      </c>
      <c r="K65" s="1928">
        <v>30</v>
      </c>
      <c r="L65" s="1928">
        <v>50</v>
      </c>
      <c r="M65" s="1930">
        <v>0.02</v>
      </c>
      <c r="O65" s="1883" t="s">
        <v>1037</v>
      </c>
      <c r="P65" s="1884" t="s">
        <v>1574</v>
      </c>
      <c r="Q65" s="1885">
        <f ca="1">C40+J29</f>
        <v>6442</v>
      </c>
      <c r="R65" s="1885" t="s">
        <v>1523</v>
      </c>
    </row>
    <row r="66" spans="1:18" s="1841" customFormat="1" ht="16.2" thickBot="1">
      <c r="A66" s="1200" t="s">
        <v>1498</v>
      </c>
      <c r="B66" s="1168" t="s">
        <v>1433</v>
      </c>
      <c r="C66" s="24">
        <f ca="1">ROUND(C48*F66,1)</f>
        <v>4.5</v>
      </c>
      <c r="D66" s="1182" t="s">
        <v>1499</v>
      </c>
      <c r="E66" s="1168" t="s">
        <v>1416</v>
      </c>
      <c r="F66" s="357">
        <f t="shared" ca="1" si="0"/>
        <v>0.01</v>
      </c>
      <c r="O66" s="1883" t="s">
        <v>1038</v>
      </c>
      <c r="P66" s="1884" t="s">
        <v>1552</v>
      </c>
      <c r="Q66" s="1885">
        <f ca="1">L60</f>
        <v>0</v>
      </c>
      <c r="R66" s="1885" t="s">
        <v>1575</v>
      </c>
    </row>
    <row r="67" spans="1:18" s="1841" customFormat="1" ht="24.6" thickBot="1">
      <c r="A67" s="1175" t="s">
        <v>1028</v>
      </c>
      <c r="B67" s="1185" t="s">
        <v>1457</v>
      </c>
      <c r="C67" s="361">
        <f ca="1">C48-C58</f>
        <v>345</v>
      </c>
      <c r="D67" s="1181" t="s">
        <v>1458</v>
      </c>
      <c r="E67" s="1186"/>
      <c r="F67" s="1187"/>
      <c r="O67" s="1893" t="s">
        <v>1039</v>
      </c>
      <c r="P67" s="1884" t="s">
        <v>1556</v>
      </c>
      <c r="Q67" s="1931">
        <f ca="1">L51</f>
        <v>1147</v>
      </c>
      <c r="R67" s="1885" t="s">
        <v>1576</v>
      </c>
    </row>
    <row r="68" spans="1:18" s="1841" customFormat="1" ht="16.2" thickBot="1">
      <c r="A68" s="1165" t="s">
        <v>1029</v>
      </c>
      <c r="B68" s="1166" t="s">
        <v>1479</v>
      </c>
      <c r="C68" s="346">
        <f ca="1">ROUND(C67*(1-((1+F70)/(1+F68))^F69)/(F68-F70),0)</f>
        <v>2710</v>
      </c>
      <c r="D68" s="1183" t="s">
        <v>1463</v>
      </c>
      <c r="E68" s="1168" t="s">
        <v>1464</v>
      </c>
      <c r="F68" s="357">
        <f ca="1">F40</f>
        <v>5.5E-2</v>
      </c>
      <c r="O68" s="1893" t="s">
        <v>1040</v>
      </c>
      <c r="P68" s="1932" t="s">
        <v>1577</v>
      </c>
      <c r="Q68" s="1885">
        <f ca="1">ROUND(Q69-Q70*Q71,0)</f>
        <v>73</v>
      </c>
      <c r="R68" s="1885" t="s">
        <v>1048</v>
      </c>
    </row>
    <row r="69" spans="1:18" s="1841" customFormat="1" ht="13.8" thickBot="1">
      <c r="A69" s="1169"/>
      <c r="B69" s="1170"/>
      <c r="C69" s="351"/>
      <c r="D69" s="1188" t="s">
        <v>1467</v>
      </c>
      <c r="E69" s="1168" t="s">
        <v>1468</v>
      </c>
      <c r="F69" s="379">
        <f ca="1">F41</f>
        <v>8.93</v>
      </c>
      <c r="O69" s="1893" t="s">
        <v>1045</v>
      </c>
      <c r="P69" s="1932" t="s">
        <v>1578</v>
      </c>
      <c r="Q69" s="1885">
        <f ca="1">C39</f>
        <v>178</v>
      </c>
      <c r="R69" s="1885" t="s">
        <v>1523</v>
      </c>
    </row>
    <row r="70" spans="1:18" s="1841" customFormat="1" ht="13.8" thickBot="1">
      <c r="A70" s="1172"/>
      <c r="B70" s="1173"/>
      <c r="C70" s="355"/>
      <c r="D70" s="1184"/>
      <c r="E70" s="1168" t="s">
        <v>1471</v>
      </c>
      <c r="F70" s="1274">
        <f>'数据-取费表'!V6</f>
        <v>3.5000000000000003E-2</v>
      </c>
      <c r="O70" s="1893" t="s">
        <v>1046</v>
      </c>
      <c r="P70" s="1932" t="s">
        <v>1579</v>
      </c>
      <c r="Q70" s="1885">
        <f ca="1">C13</f>
        <v>1234</v>
      </c>
      <c r="R70" s="1885" t="s">
        <v>1523</v>
      </c>
    </row>
    <row r="71" spans="1:18" s="1841" customFormat="1" ht="13.8" thickBot="1">
      <c r="A71" s="1189" t="s">
        <v>1030</v>
      </c>
      <c r="B71" s="1190" t="s">
        <v>1481</v>
      </c>
      <c r="C71" s="382">
        <f ca="1">ROUND(C68*10000/F71,0)</f>
        <v>8927</v>
      </c>
      <c r="D71" s="1191" t="s">
        <v>1482</v>
      </c>
      <c r="E71" s="1192" t="s">
        <v>1483</v>
      </c>
      <c r="F71" s="385">
        <f ca="1">F43</f>
        <v>3035.67</v>
      </c>
      <c r="O71" s="1893" t="s">
        <v>1047</v>
      </c>
      <c r="P71" s="1932" t="s">
        <v>1580</v>
      </c>
      <c r="Q71" s="1896">
        <f ca="1">C76</f>
        <v>8.5000000000000006E-2</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7" t="s">
        <v>1581</v>
      </c>
      <c r="C74" s="1934"/>
      <c r="D74" s="1841"/>
      <c r="E74" s="1841"/>
      <c r="F74" s="1841"/>
      <c r="O74" s="1893" t="s">
        <v>1049</v>
      </c>
      <c r="P74" s="1884" t="str">
        <f>K59</f>
        <v>建筑物剩余耐用年限下的土地年期修正系数Kn</v>
      </c>
      <c r="Q74" s="1885" t="e">
        <f ca="1">L59</f>
        <v>#DIV/0!</v>
      </c>
      <c r="R74" s="1885" t="s">
        <v>1563</v>
      </c>
    </row>
    <row r="75" spans="1:18" ht="13.8" thickBot="1">
      <c r="A75" s="1841"/>
      <c r="B75" s="386" t="s">
        <v>1500</v>
      </c>
      <c r="C75" s="387">
        <f ca="1">ROUND(C13*C76,0)</f>
        <v>105</v>
      </c>
      <c r="D75" s="1841"/>
      <c r="E75" s="1841"/>
      <c r="F75" s="1841"/>
      <c r="K75" s="1867"/>
      <c r="L75" s="1841"/>
      <c r="O75" s="1883" t="s">
        <v>1043</v>
      </c>
      <c r="P75" s="1884" t="s">
        <v>1543</v>
      </c>
      <c r="Q75" s="1885">
        <f ca="1">Q65+Q66</f>
        <v>6442</v>
      </c>
      <c r="R75" s="1885" t="s">
        <v>1044</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0.41000000000000003</v>
      </c>
    </row>
    <row r="80" spans="1:18">
      <c r="B80" s="386" t="s">
        <v>1505</v>
      </c>
      <c r="C80" s="318">
        <f ca="1">ROUND(C75/C39,3)</f>
        <v>0.59</v>
      </c>
    </row>
    <row r="81" spans="2:3">
      <c r="B81" s="314" t="s">
        <v>1506</v>
      </c>
      <c r="C81" s="282"/>
    </row>
    <row r="82" spans="2:3">
      <c r="B82" s="317" t="s">
        <v>1507</v>
      </c>
      <c r="C82" s="319">
        <f ca="1">1-C83</f>
        <v>-2.9999999999998916E-3</v>
      </c>
    </row>
    <row r="83" spans="2:3">
      <c r="B83" s="317" t="s">
        <v>1508</v>
      </c>
      <c r="C83" s="318">
        <f ca="1">ROUND(C13/C40,3)</f>
        <v>1.0029999999999999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4" workbookViewId="0">
      <selection activeCell="D24" sqref="D24"/>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0" t="s">
        <v>2522</v>
      </c>
      <c r="B1" s="2561"/>
      <c r="C1" s="2561"/>
      <c r="D1" s="2561"/>
      <c r="E1" s="2562"/>
    </row>
    <row r="2" spans="1:6" ht="15.6">
      <c r="A2" s="2563" t="s">
        <v>2323</v>
      </c>
      <c r="B2" s="2564">
        <f ca="1">SUMIF(B6:B13,"&lt;&gt;#ref!",B6:B13)</f>
        <v>10310</v>
      </c>
      <c r="C2" s="2565" t="s">
        <v>2515</v>
      </c>
      <c r="D2" s="2566" t="s">
        <v>2516</v>
      </c>
      <c r="E2" s="2567">
        <f>SUM(E6:E13)</f>
        <v>4376.09</v>
      </c>
    </row>
    <row r="3" spans="1:6" ht="15.6">
      <c r="A3" s="2563" t="s">
        <v>1390</v>
      </c>
      <c r="B3" s="2564">
        <f ca="1">ROUND(B2*10000/E2,0)</f>
        <v>23560</v>
      </c>
      <c r="C3" s="2565" t="s">
        <v>2523</v>
      </c>
      <c r="D3" s="2568"/>
      <c r="E3" s="2569"/>
    </row>
    <row r="4" spans="1:6" ht="15.6">
      <c r="A4" s="2570"/>
      <c r="B4" s="2568"/>
      <c r="C4" s="2568"/>
      <c r="D4" s="2568"/>
      <c r="E4" s="2569"/>
    </row>
    <row r="5" spans="1:6" ht="14.4">
      <c r="A5" s="2571" t="s">
        <v>2517</v>
      </c>
      <c r="B5" s="3291" t="s">
        <v>2518</v>
      </c>
      <c r="C5" s="3291"/>
      <c r="D5" s="2572"/>
      <c r="E5" s="2573" t="s">
        <v>2519</v>
      </c>
      <c r="F5" s="2574" t="s">
        <v>2520</v>
      </c>
    </row>
    <row r="6" spans="1:6" ht="14.4">
      <c r="A6" s="2575" t="str">
        <f>'数据-取费表'!AN6</f>
        <v>收益法（3号楼）</v>
      </c>
      <c r="B6" s="2574">
        <f ca="1">IF(F6="是",'数据-取费表'!AO6,0)</f>
        <v>3868</v>
      </c>
      <c r="C6" s="2565" t="s">
        <v>2515</v>
      </c>
      <c r="D6" s="2568"/>
      <c r="E6" s="2576">
        <f>IF(OR(A6=0,F6="否"),0,'数据-取费表'!K6+'数据-取费表'!S6)</f>
        <v>1340.42</v>
      </c>
      <c r="F6" s="2577" t="s">
        <v>2521</v>
      </c>
    </row>
    <row r="7" spans="1:6" ht="14.4">
      <c r="A7" s="2575" t="str">
        <f>'数据-取费表'!AN7</f>
        <v>收益法 (4号楼)</v>
      </c>
      <c r="B7" s="2574">
        <f ca="1">IF(F7="是",'数据-取费表'!AO7,0)</f>
        <v>6442</v>
      </c>
      <c r="C7" s="2565" t="s">
        <v>2515</v>
      </c>
      <c r="D7" s="2568"/>
      <c r="E7" s="2576">
        <f>IF(OR(A7=0,F7="否"),0,'数据-取费表'!K7+'数据-取费表'!S7)</f>
        <v>3035.67</v>
      </c>
      <c r="F7" s="2577" t="s">
        <v>2521</v>
      </c>
    </row>
    <row r="8" spans="1:6" ht="14.4">
      <c r="A8" s="2575">
        <f>'数据-取费表'!AN8</f>
        <v>0</v>
      </c>
      <c r="B8" s="2574" t="e">
        <f ca="1">IF(F8="是",'数据-取费表'!AO8,0)</f>
        <v>#REF!</v>
      </c>
      <c r="C8" s="2565" t="s">
        <v>2515</v>
      </c>
      <c r="D8" s="2568"/>
      <c r="E8" s="2576">
        <f>IF(OR(A8=0,F8="否"),0,'数据-取费表'!K8+'数据-取费表'!S8)</f>
        <v>0</v>
      </c>
      <c r="F8" s="2577" t="s">
        <v>2521</v>
      </c>
    </row>
    <row r="9" spans="1:6" ht="14.4">
      <c r="A9" s="2575">
        <f>'数据-取费表'!AN9</f>
        <v>0</v>
      </c>
      <c r="B9" s="2574" t="e">
        <f ca="1">IF(F9="是",'数据-取费表'!AO9,0)</f>
        <v>#REF!</v>
      </c>
      <c r="C9" s="2565" t="s">
        <v>2515</v>
      </c>
      <c r="D9" s="2568"/>
      <c r="E9" s="2576">
        <f>IF(OR(A9=0,F9="否"),0,'数据-取费表'!K9+'数据-取费表'!S9)</f>
        <v>0</v>
      </c>
      <c r="F9" s="2577" t="s">
        <v>2521</v>
      </c>
    </row>
    <row r="10" spans="1:6" ht="14.4">
      <c r="A10" s="2575">
        <f>'数据-取费表'!AN10</f>
        <v>0</v>
      </c>
      <c r="B10" s="2574" t="e">
        <f ca="1">IF(F10="是",'数据-取费表'!AO10,0)</f>
        <v>#REF!</v>
      </c>
      <c r="C10" s="2565" t="s">
        <v>2515</v>
      </c>
      <c r="D10" s="2568"/>
      <c r="E10" s="2576">
        <f>IF(OR(A10=0,F10="否"),0,'数据-取费表'!K10+'数据-取费表'!S10)</f>
        <v>0</v>
      </c>
      <c r="F10" s="2577" t="s">
        <v>2521</v>
      </c>
    </row>
    <row r="11" spans="1:6" ht="14.4">
      <c r="A11" s="2575">
        <f>'数据-取费表'!AN11</f>
        <v>0</v>
      </c>
      <c r="B11" s="2574" t="e">
        <f ca="1">IF(F11="是",'数据-取费表'!AO11,0)</f>
        <v>#REF!</v>
      </c>
      <c r="C11" s="2565" t="s">
        <v>2515</v>
      </c>
      <c r="D11" s="2568"/>
      <c r="E11" s="2576">
        <f>IF(OR(A11=0,F11="否"),0,'数据-取费表'!K11+'数据-取费表'!S11)</f>
        <v>0</v>
      </c>
      <c r="F11" s="2577" t="s">
        <v>2521</v>
      </c>
    </row>
    <row r="12" spans="1:6" ht="14.4">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5"/>
      <c r="D2" s="1364" t="e">
        <f ca="1">SUMIF(INDIRECT("'"&amp;F2&amp;"'"&amp;"!A:A"),"承租人权益价值",INDIRECT("'"&amp;F2&amp;"'"&amp;"!c:c"))</f>
        <v>#REF!</v>
      </c>
      <c r="E2" s="2586" t="s">
        <v>2324</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IF(C2="——",C50,ROUND(B2*10000/D3,0))</f>
        <v>#DIV/0!</v>
      </c>
      <c r="C3" s="400" t="s">
        <v>2640</v>
      </c>
      <c r="D3" s="399">
        <f>IF(D1="",'数据-汇总表'!E3,SUMIF('数据-汇总表'!$C19:$C33,D1,'数据-汇总表'!$E19:$E33))</f>
        <v>4376.09</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300" t="s">
        <v>2647</v>
      </c>
      <c r="Q4" s="3301"/>
      <c r="R4" s="3295" t="s">
        <v>2643</v>
      </c>
      <c r="S4" s="3296"/>
      <c r="T4" s="3295" t="s">
        <v>2644</v>
      </c>
      <c r="U4" s="3296"/>
      <c r="V4" s="3304" t="s">
        <v>2645</v>
      </c>
      <c r="W4" s="3304"/>
      <c r="X4" s="2669"/>
      <c r="Y4" s="3295" t="s">
        <v>2647</v>
      </c>
      <c r="Z4" s="3296"/>
      <c r="AA4" s="3294" t="s">
        <v>2643</v>
      </c>
      <c r="AB4" s="3294" t="s">
        <v>2644</v>
      </c>
      <c r="AC4" s="3297" t="s">
        <v>2645</v>
      </c>
    </row>
    <row r="5" spans="1:29">
      <c r="A5" s="404"/>
      <c r="B5" s="405"/>
      <c r="C5" s="3256" t="s">
        <v>2538</v>
      </c>
      <c r="D5" s="3257"/>
      <c r="E5" s="3254" t="s">
        <v>2539</v>
      </c>
      <c r="F5" s="3255"/>
      <c r="G5" s="3256" t="s">
        <v>2540</v>
      </c>
      <c r="H5" s="3257"/>
      <c r="I5" s="3256" t="s">
        <v>2541</v>
      </c>
      <c r="J5" s="3257"/>
      <c r="K5" s="610"/>
      <c r="L5" s="1129"/>
      <c r="M5" s="1130"/>
      <c r="N5" s="1130"/>
      <c r="O5" s="1130"/>
      <c r="P5" s="3302"/>
      <c r="Q5" s="3270"/>
      <c r="R5" s="3252"/>
      <c r="S5" s="3253"/>
      <c r="T5" s="3252"/>
      <c r="U5" s="3253"/>
      <c r="V5" s="3275"/>
      <c r="W5" s="3275"/>
      <c r="X5" s="1812"/>
      <c r="Y5" s="3252"/>
      <c r="Z5" s="3253"/>
      <c r="AA5" s="3246"/>
      <c r="AB5" s="3246"/>
      <c r="AC5" s="3298"/>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303"/>
      <c r="Q6" s="3272"/>
      <c r="R6" s="3252"/>
      <c r="S6" s="3253"/>
      <c r="T6" s="3273"/>
      <c r="U6" s="3274"/>
      <c r="V6" s="3275"/>
      <c r="W6" s="3275"/>
      <c r="X6" s="1812"/>
      <c r="Y6" s="3273"/>
      <c r="Z6" s="3274"/>
      <c r="AA6" s="3247"/>
      <c r="AB6" s="3247"/>
      <c r="AC6" s="3299"/>
    </row>
    <row r="7" spans="1:29" s="117" customFormat="1" ht="15" thickBot="1">
      <c r="A7" s="408" t="s">
        <v>2544</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5" t="s">
        <v>2545</v>
      </c>
      <c r="Q7" s="3276"/>
      <c r="R7" s="769" t="s">
        <v>17</v>
      </c>
      <c r="S7" s="770">
        <f t="shared" ref="S7:S15" si="0">F7</f>
        <v>0</v>
      </c>
      <c r="T7" s="769" t="s">
        <v>17</v>
      </c>
      <c r="U7" s="770">
        <f t="shared" ref="U7:U15" si="1">H7</f>
        <v>0</v>
      </c>
      <c r="V7" s="769" t="s">
        <v>17</v>
      </c>
      <c r="W7" s="770">
        <f t="shared" ref="W7:W15" si="2">J7</f>
        <v>0</v>
      </c>
      <c r="X7" s="771"/>
      <c r="Y7" s="3248" t="s">
        <v>2545</v>
      </c>
      <c r="Z7" s="3249"/>
      <c r="AA7" s="772" t="e">
        <f>D7/F7</f>
        <v>#DIV/0!</v>
      </c>
      <c r="AB7" s="772" t="e">
        <f>D7/H7</f>
        <v>#DIV/0!</v>
      </c>
      <c r="AC7" s="2670"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5" t="s">
        <v>2548</v>
      </c>
      <c r="Q8" s="3249"/>
      <c r="R8" s="769" t="s">
        <v>17</v>
      </c>
      <c r="S8" s="770">
        <f t="shared" si="0"/>
        <v>0</v>
      </c>
      <c r="T8" s="769" t="s">
        <v>17</v>
      </c>
      <c r="U8" s="770">
        <f t="shared" si="1"/>
        <v>0</v>
      </c>
      <c r="V8" s="769" t="s">
        <v>17</v>
      </c>
      <c r="W8" s="770">
        <f t="shared" si="2"/>
        <v>0</v>
      </c>
      <c r="X8" s="771"/>
      <c r="Y8" s="3248" t="s">
        <v>2548</v>
      </c>
      <c r="Z8" s="3249"/>
      <c r="AA8" s="772" t="e">
        <f t="shared" ref="AA8:AA47" si="3">D8/F8</f>
        <v>#DIV/0!</v>
      </c>
      <c r="AB8" s="772" t="e">
        <f t="shared" ref="AB8:AB47" si="4">D8/H8</f>
        <v>#DIV/0!</v>
      </c>
      <c r="AC8" s="2670"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62"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2670">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62"/>
      <c r="Q10" s="1794"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62"/>
      <c r="Q11" s="1794"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62"/>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62"/>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62"/>
      <c r="Q14" s="1794">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89" t="s">
        <v>2556</v>
      </c>
      <c r="Q15" s="1809" t="str">
        <f t="shared" si="6"/>
        <v>办公集聚程度</v>
      </c>
      <c r="R15" s="773" t="s">
        <v>17</v>
      </c>
      <c r="S15" s="774">
        <f t="shared" si="0"/>
        <v>100</v>
      </c>
      <c r="T15" s="773" t="s">
        <v>17</v>
      </c>
      <c r="U15" s="774">
        <f t="shared" si="1"/>
        <v>100</v>
      </c>
      <c r="V15" s="773" t="s">
        <v>17</v>
      </c>
      <c r="W15" s="774">
        <f t="shared" si="2"/>
        <v>100</v>
      </c>
      <c r="X15" s="1812"/>
      <c r="Y15" s="3282"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39"/>
      <c r="M16" s="1130"/>
      <c r="N16" s="1130"/>
      <c r="O16" s="1130"/>
      <c r="P16" s="3290"/>
      <c r="Q16" s="1809"/>
      <c r="R16" s="773"/>
      <c r="S16" s="774"/>
      <c r="T16" s="773"/>
      <c r="U16" s="774"/>
      <c r="V16" s="773"/>
      <c r="W16" s="774"/>
      <c r="X16" s="1812"/>
      <c r="Y16" s="3283"/>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90"/>
      <c r="Q17" s="1809" t="str">
        <f>B17</f>
        <v>交通便捷度</v>
      </c>
      <c r="R17" s="773" t="s">
        <v>17</v>
      </c>
      <c r="S17" s="774">
        <f>F17</f>
        <v>100</v>
      </c>
      <c r="T17" s="773" t="s">
        <v>17</v>
      </c>
      <c r="U17" s="774">
        <f>H17</f>
        <v>100</v>
      </c>
      <c r="V17" s="773" t="s">
        <v>17</v>
      </c>
      <c r="W17" s="774">
        <f>J17</f>
        <v>100</v>
      </c>
      <c r="X17" s="1812"/>
      <c r="Y17" s="3283"/>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39"/>
      <c r="M18" s="1130"/>
      <c r="N18" s="1130"/>
      <c r="O18" s="1130"/>
      <c r="P18" s="3290"/>
      <c r="Q18" s="1809"/>
      <c r="R18" s="773"/>
      <c r="S18" s="774"/>
      <c r="T18" s="773"/>
      <c r="U18" s="774"/>
      <c r="V18" s="773"/>
      <c r="W18" s="774"/>
      <c r="X18" s="1812"/>
      <c r="Y18" s="3283"/>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90"/>
      <c r="Q19" s="1809" t="str">
        <f>B19</f>
        <v>公共配套设施</v>
      </c>
      <c r="R19" s="773" t="s">
        <v>17</v>
      </c>
      <c r="S19" s="774">
        <f>F19</f>
        <v>100</v>
      </c>
      <c r="T19" s="773" t="s">
        <v>17</v>
      </c>
      <c r="U19" s="774">
        <f>H19</f>
        <v>100</v>
      </c>
      <c r="V19" s="773" t="s">
        <v>17</v>
      </c>
      <c r="W19" s="774">
        <f>J19</f>
        <v>100</v>
      </c>
      <c r="X19" s="1812"/>
      <c r="Y19" s="3283"/>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39"/>
      <c r="M20" s="1130"/>
      <c r="N20" s="1130"/>
      <c r="O20" s="1130"/>
      <c r="P20" s="3290"/>
      <c r="Q20" s="1809"/>
      <c r="R20" s="773"/>
      <c r="S20" s="774"/>
      <c r="T20" s="773"/>
      <c r="U20" s="774"/>
      <c r="V20" s="773"/>
      <c r="W20" s="774"/>
      <c r="X20" s="1812"/>
      <c r="Y20" s="3283"/>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90"/>
      <c r="Q21" s="1809" t="str">
        <f>B21</f>
        <v>基础设施水平</v>
      </c>
      <c r="R21" s="773" t="s">
        <v>17</v>
      </c>
      <c r="S21" s="774">
        <f>F21</f>
        <v>100</v>
      </c>
      <c r="T21" s="773" t="s">
        <v>17</v>
      </c>
      <c r="U21" s="774">
        <f>H21</f>
        <v>100</v>
      </c>
      <c r="V21" s="773" t="s">
        <v>17</v>
      </c>
      <c r="W21" s="774">
        <f>J21</f>
        <v>100</v>
      </c>
      <c r="X21" s="1812"/>
      <c r="Y21" s="3283"/>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290"/>
      <c r="Q22" s="1809"/>
      <c r="R22" s="773"/>
      <c r="S22" s="774"/>
      <c r="T22" s="773"/>
      <c r="U22" s="774"/>
      <c r="V22" s="773"/>
      <c r="W22" s="774"/>
      <c r="X22" s="1812"/>
      <c r="Y22" s="3283"/>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90"/>
      <c r="Q23" s="1809" t="str">
        <f>B23</f>
        <v>环境质量</v>
      </c>
      <c r="R23" s="773" t="s">
        <v>17</v>
      </c>
      <c r="S23" s="774">
        <f>F23</f>
        <v>100</v>
      </c>
      <c r="T23" s="773" t="s">
        <v>17</v>
      </c>
      <c r="U23" s="774">
        <f>H23</f>
        <v>100</v>
      </c>
      <c r="V23" s="773" t="s">
        <v>17</v>
      </c>
      <c r="W23" s="774">
        <f>J23</f>
        <v>100</v>
      </c>
      <c r="X23" s="1812"/>
      <c r="Y23" s="3283"/>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39"/>
      <c r="M24" s="1130"/>
      <c r="N24" s="1130"/>
      <c r="O24" s="1130"/>
      <c r="P24" s="3290"/>
      <c r="Q24" s="1809"/>
      <c r="R24" s="773"/>
      <c r="S24" s="774"/>
      <c r="T24" s="773"/>
      <c r="U24" s="774"/>
      <c r="V24" s="773"/>
      <c r="W24" s="774"/>
      <c r="X24" s="1812"/>
      <c r="Y24" s="3283"/>
      <c r="Z24" s="1813"/>
      <c r="AA24" s="1810">
        <v>1</v>
      </c>
      <c r="AB24" s="1810">
        <v>1</v>
      </c>
      <c r="AC24" s="2673">
        <v>1</v>
      </c>
    </row>
    <row r="25" spans="1:29" ht="28.8">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290"/>
      <c r="Q25" s="1809" t="str">
        <f>B25</f>
        <v>毗邻道路的类型与等级</v>
      </c>
      <c r="R25" s="773" t="s">
        <v>17</v>
      </c>
      <c r="S25" s="774">
        <f>F25</f>
        <v>100</v>
      </c>
      <c r="T25" s="773" t="s">
        <v>17</v>
      </c>
      <c r="U25" s="774">
        <f>H25</f>
        <v>100</v>
      </c>
      <c r="V25" s="773" t="s">
        <v>17</v>
      </c>
      <c r="W25" s="774">
        <f>J25</f>
        <v>100</v>
      </c>
      <c r="X25" s="1812"/>
      <c r="Y25" s="3283"/>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39"/>
      <c r="M26" s="1130"/>
      <c r="N26" s="1130"/>
      <c r="O26" s="1130"/>
      <c r="P26" s="3290"/>
      <c r="Q26" s="1809"/>
      <c r="R26" s="773"/>
      <c r="S26" s="774"/>
      <c r="T26" s="773"/>
      <c r="U26" s="774"/>
      <c r="V26" s="773"/>
      <c r="W26" s="774"/>
      <c r="X26" s="1812"/>
      <c r="Y26" s="3283"/>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90"/>
      <c r="Q27" s="1809" t="str">
        <f t="shared" ref="Q27:Q47" si="11">B27</f>
        <v>楼层</v>
      </c>
      <c r="R27" s="773" t="s">
        <v>17</v>
      </c>
      <c r="S27" s="774">
        <f>F27</f>
        <v>100</v>
      </c>
      <c r="T27" s="773" t="s">
        <v>17</v>
      </c>
      <c r="U27" s="774">
        <f>H27</f>
        <v>100</v>
      </c>
      <c r="V27" s="773" t="s">
        <v>17</v>
      </c>
      <c r="W27" s="774">
        <f>J27</f>
        <v>100</v>
      </c>
      <c r="X27" s="1812"/>
      <c r="Y27" s="3283"/>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290"/>
      <c r="Q28" s="1794" t="str">
        <f t="shared" si="11"/>
        <v>朝向</v>
      </c>
      <c r="R28" s="769" t="s">
        <v>17</v>
      </c>
      <c r="S28" s="770">
        <f>F28</f>
        <v>100</v>
      </c>
      <c r="T28" s="769" t="s">
        <v>17</v>
      </c>
      <c r="U28" s="770">
        <f>H28</f>
        <v>100</v>
      </c>
      <c r="V28" s="769" t="s">
        <v>17</v>
      </c>
      <c r="W28" s="770">
        <f>J28</f>
        <v>100</v>
      </c>
      <c r="X28" s="771"/>
      <c r="Y28" s="3283"/>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90"/>
      <c r="Q29" s="1809">
        <f t="shared" si="11"/>
        <v>111</v>
      </c>
      <c r="R29" s="773" t="s">
        <v>17</v>
      </c>
      <c r="S29" s="774">
        <f t="shared" ref="S29:S47" si="12">F29</f>
        <v>100</v>
      </c>
      <c r="T29" s="773" t="s">
        <v>17</v>
      </c>
      <c r="U29" s="774">
        <f t="shared" ref="U29:U47" si="13">H29</f>
        <v>100</v>
      </c>
      <c r="V29" s="773" t="s">
        <v>17</v>
      </c>
      <c r="W29" s="774">
        <f t="shared" ref="W29:W47" si="14">J29</f>
        <v>100</v>
      </c>
      <c r="X29" s="1812"/>
      <c r="Y29" s="3283"/>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90"/>
      <c r="Q30" s="1809">
        <f t="shared" si="11"/>
        <v>111</v>
      </c>
      <c r="R30" s="773" t="s">
        <v>17</v>
      </c>
      <c r="S30" s="774">
        <f t="shared" si="12"/>
        <v>100</v>
      </c>
      <c r="T30" s="773" t="s">
        <v>17</v>
      </c>
      <c r="U30" s="774">
        <f t="shared" si="13"/>
        <v>100</v>
      </c>
      <c r="V30" s="773" t="s">
        <v>17</v>
      </c>
      <c r="W30" s="774">
        <f t="shared" si="14"/>
        <v>100</v>
      </c>
      <c r="X30" s="1812"/>
      <c r="Y30" s="3283"/>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90"/>
      <c r="Q31" s="1809">
        <f t="shared" si="11"/>
        <v>111</v>
      </c>
      <c r="R31" s="773" t="s">
        <v>17</v>
      </c>
      <c r="S31" s="774">
        <f t="shared" si="12"/>
        <v>100</v>
      </c>
      <c r="T31" s="773" t="s">
        <v>17</v>
      </c>
      <c r="U31" s="774">
        <f t="shared" si="13"/>
        <v>100</v>
      </c>
      <c r="V31" s="773" t="s">
        <v>17</v>
      </c>
      <c r="W31" s="774">
        <f t="shared" si="14"/>
        <v>100</v>
      </c>
      <c r="X31" s="1812"/>
      <c r="Y31" s="3283"/>
      <c r="Z31" s="1813">
        <f t="shared" si="15"/>
        <v>111</v>
      </c>
      <c r="AA31" s="1810">
        <f t="shared" si="3"/>
        <v>1</v>
      </c>
      <c r="AB31" s="1810">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90"/>
      <c r="Q32" s="1809">
        <f t="shared" si="11"/>
        <v>111</v>
      </c>
      <c r="R32" s="773" t="s">
        <v>17</v>
      </c>
      <c r="S32" s="774">
        <f t="shared" si="12"/>
        <v>100</v>
      </c>
      <c r="T32" s="773" t="s">
        <v>17</v>
      </c>
      <c r="U32" s="774">
        <f t="shared" si="13"/>
        <v>100</v>
      </c>
      <c r="V32" s="773" t="s">
        <v>17</v>
      </c>
      <c r="W32" s="774">
        <f t="shared" si="14"/>
        <v>100</v>
      </c>
      <c r="X32" s="1812"/>
      <c r="Y32" s="3283"/>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284" t="s">
        <v>2561</v>
      </c>
      <c r="Q33" s="1809" t="str">
        <f t="shared" si="11"/>
        <v>建筑类型</v>
      </c>
      <c r="R33" s="773" t="s">
        <v>17</v>
      </c>
      <c r="S33" s="774">
        <f t="shared" si="12"/>
        <v>100</v>
      </c>
      <c r="T33" s="773" t="s">
        <v>17</v>
      </c>
      <c r="U33" s="774">
        <f t="shared" si="13"/>
        <v>100</v>
      </c>
      <c r="V33" s="773" t="s">
        <v>17</v>
      </c>
      <c r="W33" s="774">
        <f t="shared" si="14"/>
        <v>100</v>
      </c>
      <c r="X33" s="1812"/>
      <c r="Y33" s="3287"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85"/>
      <c r="Q34" s="775" t="str">
        <f t="shared" si="11"/>
        <v>项目建筑规模</v>
      </c>
      <c r="R34" s="776" t="s">
        <v>17</v>
      </c>
      <c r="S34" s="777" t="e">
        <f t="shared" si="12"/>
        <v>#N/A</v>
      </c>
      <c r="T34" s="776" t="s">
        <v>17</v>
      </c>
      <c r="U34" s="777" t="e">
        <f t="shared" si="13"/>
        <v>#N/A</v>
      </c>
      <c r="V34" s="776" t="s">
        <v>17</v>
      </c>
      <c r="W34" s="777" t="e">
        <f t="shared" si="14"/>
        <v>#N/A</v>
      </c>
      <c r="X34" s="778"/>
      <c r="Y34" s="3287"/>
      <c r="Z34" s="779"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85"/>
      <c r="Q35" s="1809" t="str">
        <f t="shared" si="11"/>
        <v>建筑结构</v>
      </c>
      <c r="R35" s="773" t="s">
        <v>17</v>
      </c>
      <c r="S35" s="774">
        <f t="shared" si="12"/>
        <v>100</v>
      </c>
      <c r="T35" s="773" t="s">
        <v>17</v>
      </c>
      <c r="U35" s="774">
        <f t="shared" si="13"/>
        <v>100</v>
      </c>
      <c r="V35" s="773" t="s">
        <v>17</v>
      </c>
      <c r="W35" s="774">
        <f t="shared" si="14"/>
        <v>100</v>
      </c>
      <c r="X35" s="1812"/>
      <c r="Y35" s="3287"/>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85"/>
      <c r="Q36" s="1809" t="str">
        <f t="shared" si="11"/>
        <v>公共部分装修</v>
      </c>
      <c r="R36" s="773" t="s">
        <v>17</v>
      </c>
      <c r="S36" s="774">
        <f t="shared" si="12"/>
        <v>100</v>
      </c>
      <c r="T36" s="773" t="s">
        <v>17</v>
      </c>
      <c r="U36" s="774">
        <f t="shared" si="13"/>
        <v>100</v>
      </c>
      <c r="V36" s="773" t="s">
        <v>17</v>
      </c>
      <c r="W36" s="774">
        <f t="shared" si="14"/>
        <v>100</v>
      </c>
      <c r="X36" s="1812"/>
      <c r="Y36" s="3287"/>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85"/>
      <c r="Q37" s="1809" t="str">
        <f t="shared" si="11"/>
        <v>成新度</v>
      </c>
      <c r="R37" s="773" t="s">
        <v>17</v>
      </c>
      <c r="S37" s="774" t="e">
        <f t="shared" si="12"/>
        <v>#N/A</v>
      </c>
      <c r="T37" s="773" t="s">
        <v>17</v>
      </c>
      <c r="U37" s="774" t="e">
        <f t="shared" si="13"/>
        <v>#N/A</v>
      </c>
      <c r="V37" s="773" t="s">
        <v>17</v>
      </c>
      <c r="W37" s="774" t="e">
        <f t="shared" si="14"/>
        <v>#N/A</v>
      </c>
      <c r="X37" s="1812"/>
      <c r="Y37" s="3287"/>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85"/>
      <c r="Q38" s="1794" t="str">
        <f t="shared" si="11"/>
        <v>写字楼等级</v>
      </c>
      <c r="R38" s="769" t="s">
        <v>17</v>
      </c>
      <c r="S38" s="770">
        <f t="shared" si="12"/>
        <v>100</v>
      </c>
      <c r="T38" s="769" t="s">
        <v>17</v>
      </c>
      <c r="U38" s="770">
        <f t="shared" si="13"/>
        <v>100</v>
      </c>
      <c r="V38" s="769" t="s">
        <v>17</v>
      </c>
      <c r="W38" s="770">
        <f t="shared" si="14"/>
        <v>100</v>
      </c>
      <c r="X38" s="771"/>
      <c r="Y38" s="3287"/>
      <c r="Z38" s="55" t="str">
        <f t="shared" si="15"/>
        <v>写字楼等级</v>
      </c>
      <c r="AA38" s="772">
        <f t="shared" si="3"/>
        <v>1</v>
      </c>
      <c r="AB38" s="772">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85" t="s">
        <v>2561</v>
      </c>
      <c r="Q39" s="1809" t="str">
        <f t="shared" si="11"/>
        <v>物业管理</v>
      </c>
      <c r="R39" s="773" t="s">
        <v>17</v>
      </c>
      <c r="S39" s="774">
        <f t="shared" si="12"/>
        <v>100</v>
      </c>
      <c r="T39" s="773" t="s">
        <v>17</v>
      </c>
      <c r="U39" s="774">
        <f t="shared" si="13"/>
        <v>100</v>
      </c>
      <c r="V39" s="773" t="s">
        <v>17</v>
      </c>
      <c r="W39" s="774">
        <f t="shared" si="14"/>
        <v>100</v>
      </c>
      <c r="X39" s="1812"/>
      <c r="Y39" s="3287"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85"/>
      <c r="Q40" s="1809" t="str">
        <f t="shared" si="11"/>
        <v>市政基础设施</v>
      </c>
      <c r="R40" s="773" t="s">
        <v>17</v>
      </c>
      <c r="S40" s="774">
        <f t="shared" si="12"/>
        <v>100</v>
      </c>
      <c r="T40" s="773" t="s">
        <v>17</v>
      </c>
      <c r="U40" s="774">
        <f t="shared" si="13"/>
        <v>100</v>
      </c>
      <c r="V40" s="773" t="s">
        <v>17</v>
      </c>
      <c r="W40" s="774">
        <f t="shared" si="14"/>
        <v>100</v>
      </c>
      <c r="X40" s="1812"/>
      <c r="Y40" s="3287"/>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85"/>
      <c r="Q41" s="1809" t="str">
        <f t="shared" si="11"/>
        <v>层高</v>
      </c>
      <c r="R41" s="773" t="s">
        <v>17</v>
      </c>
      <c r="S41" s="774">
        <f t="shared" si="12"/>
        <v>100</v>
      </c>
      <c r="T41" s="773" t="s">
        <v>17</v>
      </c>
      <c r="U41" s="774">
        <f t="shared" si="13"/>
        <v>100</v>
      </c>
      <c r="V41" s="773" t="s">
        <v>17</v>
      </c>
      <c r="W41" s="774">
        <f t="shared" si="14"/>
        <v>100</v>
      </c>
      <c r="X41" s="1812"/>
      <c r="Y41" s="3287"/>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85"/>
      <c r="Q42" s="775" t="str">
        <f t="shared" si="11"/>
        <v>单套建筑面积</v>
      </c>
      <c r="R42" s="776" t="s">
        <v>17</v>
      </c>
      <c r="S42" s="777">
        <f t="shared" si="12"/>
        <v>100</v>
      </c>
      <c r="T42" s="776" t="s">
        <v>17</v>
      </c>
      <c r="U42" s="777">
        <f t="shared" si="13"/>
        <v>100</v>
      </c>
      <c r="V42" s="776" t="s">
        <v>17</v>
      </c>
      <c r="W42" s="777">
        <f t="shared" si="14"/>
        <v>100</v>
      </c>
      <c r="X42" s="778"/>
      <c r="Y42" s="3287"/>
      <c r="Z42" s="779"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85"/>
      <c r="Q43" s="1809" t="str">
        <f t="shared" si="11"/>
        <v>内部装修</v>
      </c>
      <c r="R43" s="773" t="s">
        <v>17</v>
      </c>
      <c r="S43" s="774">
        <f t="shared" si="12"/>
        <v>100</v>
      </c>
      <c r="T43" s="773" t="s">
        <v>17</v>
      </c>
      <c r="U43" s="774">
        <f t="shared" si="13"/>
        <v>100</v>
      </c>
      <c r="V43" s="773" t="s">
        <v>17</v>
      </c>
      <c r="W43" s="774">
        <f t="shared" si="14"/>
        <v>100</v>
      </c>
      <c r="X43" s="1812"/>
      <c r="Y43" s="3287"/>
      <c r="Z43" s="1813" t="str">
        <f t="shared" si="15"/>
        <v>内部装修</v>
      </c>
      <c r="AA43" s="1810">
        <f t="shared" si="3"/>
        <v>1</v>
      </c>
      <c r="AB43" s="1810">
        <f t="shared" si="4"/>
        <v>1</v>
      </c>
      <c r="AC43" s="2673">
        <f t="shared" si="5"/>
        <v>1</v>
      </c>
    </row>
    <row r="44" spans="1:29" ht="28.8">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285"/>
      <c r="Q44" s="1809" t="str">
        <f t="shared" si="11"/>
        <v>内部装修维护情况</v>
      </c>
      <c r="R44" s="773" t="s">
        <v>17</v>
      </c>
      <c r="S44" s="774">
        <f t="shared" si="12"/>
        <v>100</v>
      </c>
      <c r="T44" s="773" t="s">
        <v>17</v>
      </c>
      <c r="U44" s="774">
        <f t="shared" si="13"/>
        <v>100</v>
      </c>
      <c r="V44" s="773" t="s">
        <v>17</v>
      </c>
      <c r="W44" s="774">
        <f t="shared" si="14"/>
        <v>100</v>
      </c>
      <c r="X44" s="1812"/>
      <c r="Y44" s="3287"/>
      <c r="Z44" s="1813" t="str">
        <f t="shared" si="15"/>
        <v>内部装修维护情况</v>
      </c>
      <c r="AA44" s="1810">
        <f t="shared" si="3"/>
        <v>1</v>
      </c>
      <c r="AB44" s="1810">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85"/>
      <c r="Q45" s="1794">
        <f t="shared" si="11"/>
        <v>111</v>
      </c>
      <c r="R45" s="769" t="s">
        <v>17</v>
      </c>
      <c r="S45" s="770">
        <f t="shared" si="12"/>
        <v>100</v>
      </c>
      <c r="T45" s="769" t="s">
        <v>17</v>
      </c>
      <c r="U45" s="770">
        <f t="shared" si="13"/>
        <v>100</v>
      </c>
      <c r="V45" s="769" t="s">
        <v>17</v>
      </c>
      <c r="W45" s="770">
        <f t="shared" si="14"/>
        <v>100</v>
      </c>
      <c r="X45" s="771"/>
      <c r="Y45" s="3287"/>
      <c r="Z45" s="55">
        <f t="shared" si="15"/>
        <v>111</v>
      </c>
      <c r="AA45" s="772">
        <f t="shared" si="3"/>
        <v>1</v>
      </c>
      <c r="AB45" s="772">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85"/>
      <c r="Q46" s="1809">
        <f t="shared" si="11"/>
        <v>111</v>
      </c>
      <c r="R46" s="773" t="s">
        <v>17</v>
      </c>
      <c r="S46" s="774">
        <f t="shared" si="12"/>
        <v>100</v>
      </c>
      <c r="T46" s="773" t="s">
        <v>17</v>
      </c>
      <c r="U46" s="774">
        <f t="shared" si="13"/>
        <v>100</v>
      </c>
      <c r="V46" s="773" t="s">
        <v>17</v>
      </c>
      <c r="W46" s="774">
        <f t="shared" si="14"/>
        <v>100</v>
      </c>
      <c r="X46" s="1812"/>
      <c r="Y46" s="3287"/>
      <c r="Z46" s="1813">
        <f t="shared" si="15"/>
        <v>111</v>
      </c>
      <c r="AA46" s="1810">
        <f t="shared" si="3"/>
        <v>1</v>
      </c>
      <c r="AB46" s="1810">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86"/>
      <c r="Q47" s="1809">
        <f t="shared" si="11"/>
        <v>111</v>
      </c>
      <c r="R47" s="773" t="s">
        <v>17</v>
      </c>
      <c r="S47" s="774">
        <f t="shared" si="12"/>
        <v>100</v>
      </c>
      <c r="T47" s="773" t="s">
        <v>17</v>
      </c>
      <c r="U47" s="774">
        <f t="shared" si="13"/>
        <v>100</v>
      </c>
      <c r="V47" s="773" t="s">
        <v>17</v>
      </c>
      <c r="W47" s="774">
        <f t="shared" si="14"/>
        <v>100</v>
      </c>
      <c r="X47" s="1812"/>
      <c r="Y47" s="3288"/>
      <c r="Z47" s="1813">
        <f t="shared" si="15"/>
        <v>111</v>
      </c>
      <c r="AA47" s="1810">
        <f t="shared" si="3"/>
        <v>1</v>
      </c>
      <c r="AB47" s="1810">
        <f t="shared" si="4"/>
        <v>1</v>
      </c>
      <c r="AC47" s="2673">
        <f t="shared" si="5"/>
        <v>1</v>
      </c>
    </row>
    <row r="48" spans="1:29" ht="14.4">
      <c r="A48" s="479" t="s">
        <v>2573</v>
      </c>
      <c r="B48" s="480"/>
      <c r="C48" s="1406" t="s">
        <v>1</v>
      </c>
      <c r="D48" s="1407"/>
      <c r="E48" s="1408"/>
      <c r="F48" s="1409"/>
      <c r="G48" s="1410"/>
      <c r="H48" s="1411"/>
      <c r="I48" s="1408"/>
      <c r="J48" s="485"/>
      <c r="K48" s="782"/>
      <c r="L48" s="1142"/>
      <c r="M48" s="1130"/>
      <c r="N48" s="1130"/>
      <c r="O48" s="1130"/>
      <c r="P48" s="3262" t="str">
        <f>A48</f>
        <v>成交单价（元/平方米）</v>
      </c>
      <c r="Q48" s="3280"/>
      <c r="R48" s="3281">
        <f>E48</f>
        <v>0</v>
      </c>
      <c r="S48" s="3281"/>
      <c r="T48" s="3281">
        <f>G48</f>
        <v>0</v>
      </c>
      <c r="U48" s="3281"/>
      <c r="V48" s="3281">
        <f>I48</f>
        <v>0</v>
      </c>
      <c r="W48" s="3281"/>
      <c r="X48" s="446"/>
      <c r="Y48" s="780"/>
      <c r="Z48" s="446"/>
      <c r="AA48" s="446"/>
      <c r="AB48" s="446"/>
      <c r="AC48" s="630"/>
    </row>
    <row r="49" spans="1:29" ht="15" thickBot="1">
      <c r="A49" s="486" t="s">
        <v>2665</v>
      </c>
      <c r="B49" s="487"/>
      <c r="C49" s="1412" t="e">
        <f>R50</f>
        <v>#DIV/0!</v>
      </c>
      <c r="D49" s="1413"/>
      <c r="E49" s="1414" t="e">
        <f>R49</f>
        <v>#DIV/0!</v>
      </c>
      <c r="F49" s="1414"/>
      <c r="G49" s="1412" t="e">
        <f>T49</f>
        <v>#DIV/0!</v>
      </c>
      <c r="H49" s="1413"/>
      <c r="I49" s="1414" t="e">
        <f>V49</f>
        <v>#DIV/0!</v>
      </c>
      <c r="J49" s="489"/>
      <c r="K49" s="783"/>
      <c r="L49" s="1142"/>
      <c r="M49" s="1130"/>
      <c r="N49" s="1130"/>
      <c r="O49" s="1130"/>
      <c r="P49" s="3262" t="str">
        <f>A49</f>
        <v>比较价值（元/平方米）</v>
      </c>
      <c r="Q49" s="3280"/>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 thickBot="1">
      <c r="A50" s="492" t="s">
        <v>2666</v>
      </c>
      <c r="B50" s="493"/>
      <c r="C50" s="1416" t="e">
        <f>R50</f>
        <v>#DIV/0!</v>
      </c>
      <c r="D50" s="1416"/>
      <c r="E50" s="1416"/>
      <c r="F50" s="1416"/>
      <c r="G50" s="1416"/>
      <c r="H50" s="1416"/>
      <c r="I50" s="1416"/>
      <c r="J50" s="494"/>
      <c r="K50" s="784"/>
      <c r="L50" s="1142"/>
      <c r="M50" s="1130"/>
      <c r="N50" s="1130"/>
      <c r="O50" s="1130"/>
      <c r="P50" s="3306" t="str">
        <f>A50</f>
        <v>估价对象XX用房的比较价值（楼面单价，元/平方米）</v>
      </c>
      <c r="Q50" s="3307"/>
      <c r="R50" s="3308" t="e">
        <f>IF(F1="售价",ROUND(AVERAGE(R49:V49),0),ROUND(AVERAGE(R49:V49),1))</f>
        <v>#DIV/0!</v>
      </c>
      <c r="S50" s="3308"/>
      <c r="T50" s="3308"/>
      <c r="U50" s="3308"/>
      <c r="V50" s="3308"/>
      <c r="W50" s="3308"/>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2.2" thickBot="1">
      <c r="A58" s="762" t="s">
        <v>2670</v>
      </c>
      <c r="B58" s="758"/>
      <c r="C58" s="763"/>
      <c r="D58" s="763"/>
      <c r="E58" s="763"/>
      <c r="F58" s="764"/>
      <c r="G58" s="764"/>
      <c r="H58" s="763"/>
      <c r="I58" s="763"/>
      <c r="J58" s="763"/>
      <c r="K58" s="765"/>
      <c r="L58" s="1160"/>
      <c r="M58" s="1158"/>
      <c r="N58" s="1158"/>
      <c r="O58" s="1158"/>
      <c r="P58" s="2680"/>
      <c r="Q58" s="504"/>
    </row>
    <row r="59" spans="1:29" s="508" customFormat="1" ht="14.4">
      <c r="A59" s="505" t="s">
        <v>2544</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c r="A60" s="509"/>
      <c r="B60" s="510"/>
      <c r="C60" s="1572">
        <v>100</v>
      </c>
      <c r="D60" s="512"/>
      <c r="E60" s="512"/>
      <c r="F60" s="512"/>
      <c r="G60" s="512"/>
      <c r="H60" s="512"/>
      <c r="I60" s="512"/>
      <c r="J60" s="512"/>
      <c r="K60" s="512"/>
      <c r="L60" s="512"/>
      <c r="M60" s="513"/>
      <c r="N60" s="512"/>
      <c r="O60" s="513"/>
      <c r="P60" s="2681"/>
    </row>
    <row r="61" spans="1:29" s="117" customFormat="1" ht="15" thickBot="1">
      <c r="A61" s="515" t="s">
        <v>2581</v>
      </c>
      <c r="B61" s="516"/>
      <c r="C61" s="517"/>
      <c r="D61" s="518"/>
      <c r="E61" s="518"/>
      <c r="F61" s="518"/>
      <c r="G61" s="518"/>
      <c r="H61" s="518"/>
      <c r="I61" s="518"/>
      <c r="J61" s="518"/>
      <c r="K61" s="518"/>
      <c r="L61" s="518"/>
      <c r="M61" s="519"/>
      <c r="N61" s="518"/>
      <c r="O61" s="519"/>
      <c r="P61" s="2681"/>
      <c r="Q61" s="504"/>
    </row>
    <row r="62" spans="1:29" s="117" customFormat="1" ht="14.4">
      <c r="A62" s="521" t="s">
        <v>2546</v>
      </c>
      <c r="B62" s="510"/>
      <c r="C62" s="522" t="s">
        <v>2648</v>
      </c>
      <c r="D62" s="523"/>
      <c r="E62" s="523"/>
      <c r="F62" s="523"/>
      <c r="G62" s="523"/>
      <c r="H62" s="523"/>
      <c r="I62" s="523"/>
      <c r="J62" s="523"/>
      <c r="K62" s="523"/>
      <c r="L62" s="524"/>
      <c r="M62" s="525"/>
      <c r="N62" s="1150"/>
      <c r="O62" s="1150"/>
      <c r="P62" s="2682"/>
      <c r="Q62" s="504"/>
    </row>
    <row r="63" spans="1:29" s="117" customFormat="1" ht="14.4" thickBot="1">
      <c r="A63" s="521"/>
      <c r="B63" s="510"/>
      <c r="C63" s="511">
        <v>100</v>
      </c>
      <c r="D63" s="512"/>
      <c r="E63" s="512"/>
      <c r="F63" s="512"/>
      <c r="G63" s="512"/>
      <c r="H63" s="512"/>
      <c r="I63" s="512"/>
      <c r="J63" s="512"/>
      <c r="K63" s="512"/>
      <c r="L63" s="512"/>
      <c r="M63" s="514"/>
      <c r="N63" s="1150"/>
      <c r="O63" s="1150"/>
      <c r="P63" s="2681"/>
      <c r="Q63" s="504"/>
    </row>
    <row r="64" spans="1:29" ht="14.4">
      <c r="A64" s="527" t="s">
        <v>2584</v>
      </c>
      <c r="B64" s="528" t="s">
        <v>2550</v>
      </c>
      <c r="C64" s="529">
        <f>C9</f>
        <v>0</v>
      </c>
      <c r="D64" s="530"/>
      <c r="E64" s="530"/>
      <c r="F64" s="530"/>
      <c r="G64" s="530"/>
      <c r="H64" s="530"/>
      <c r="I64" s="530"/>
      <c r="J64" s="530"/>
      <c r="K64" s="531"/>
      <c r="L64" s="532"/>
      <c r="M64" s="533"/>
      <c r="N64" s="1151"/>
      <c r="O64" s="1151"/>
      <c r="P64" s="2683"/>
      <c r="Q64" s="504"/>
    </row>
    <row r="65" spans="1:17" ht="14.4" thickBot="1">
      <c r="A65" s="534"/>
      <c r="B65" s="535"/>
      <c r="C65" s="536">
        <v>100</v>
      </c>
      <c r="D65" s="536"/>
      <c r="E65" s="536"/>
      <c r="F65" s="536"/>
      <c r="G65" s="536"/>
      <c r="H65" s="536"/>
      <c r="I65" s="536"/>
      <c r="J65" s="536"/>
      <c r="K65" s="536"/>
      <c r="L65" s="536"/>
      <c r="M65" s="537"/>
      <c r="N65" s="1152"/>
      <c r="O65" s="1152"/>
      <c r="P65" s="2683"/>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c r="A69" s="534"/>
      <c r="B69" s="548"/>
      <c r="C69" s="549"/>
      <c r="D69" s="549"/>
      <c r="E69" s="549"/>
      <c r="F69" s="549"/>
      <c r="G69" s="549"/>
      <c r="H69" s="549"/>
      <c r="I69" s="549"/>
      <c r="J69" s="549"/>
      <c r="K69" s="550"/>
      <c r="L69" s="551"/>
      <c r="M69" s="552"/>
      <c r="N69" s="1151"/>
      <c r="O69" s="1151"/>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4.4" thickTop="1">
      <c r="A71" s="553"/>
      <c r="B71" s="538">
        <f>B12</f>
        <v>111</v>
      </c>
      <c r="C71" s="554"/>
      <c r="D71" s="554"/>
      <c r="E71" s="554"/>
      <c r="F71" s="554"/>
      <c r="G71" s="554"/>
      <c r="H71" s="555"/>
      <c r="I71" s="555"/>
      <c r="J71" s="555"/>
      <c r="K71" s="555"/>
      <c r="L71" s="556"/>
      <c r="M71" s="557"/>
      <c r="N71" s="1153"/>
      <c r="O71" s="1153"/>
      <c r="P71" s="2684"/>
      <c r="Q71" s="559"/>
    </row>
    <row r="72" spans="1:17" s="471" customFormat="1" ht="14.4" thickBot="1">
      <c r="A72" s="553"/>
      <c r="B72" s="543"/>
      <c r="C72" s="560"/>
      <c r="D72" s="536"/>
      <c r="E72" s="536"/>
      <c r="F72" s="536"/>
      <c r="G72" s="536"/>
      <c r="H72" s="536"/>
      <c r="I72" s="536"/>
      <c r="J72" s="536"/>
      <c r="K72" s="536"/>
      <c r="L72" s="536"/>
      <c r="M72" s="537"/>
      <c r="N72" s="1152"/>
      <c r="O72" s="1152"/>
      <c r="P72" s="2684"/>
      <c r="Q72" s="559"/>
    </row>
    <row r="73" spans="1:17" s="471" customFormat="1" ht="14.4" thickTop="1">
      <c r="A73" s="553"/>
      <c r="B73" s="538">
        <f>B13</f>
        <v>111</v>
      </c>
      <c r="C73" s="554"/>
      <c r="D73" s="554"/>
      <c r="E73" s="554"/>
      <c r="F73" s="554"/>
      <c r="G73" s="554"/>
      <c r="H73" s="555"/>
      <c r="I73" s="555"/>
      <c r="J73" s="555"/>
      <c r="K73" s="555"/>
      <c r="L73" s="556"/>
      <c r="M73" s="557"/>
      <c r="N73" s="1153"/>
      <c r="O73" s="1153"/>
      <c r="P73" s="2685"/>
      <c r="Q73" s="561"/>
    </row>
    <row r="74" spans="1:17" s="471" customFormat="1" ht="14.4" thickBot="1">
      <c r="A74" s="553"/>
      <c r="B74" s="543"/>
      <c r="C74" s="560"/>
      <c r="D74" s="560"/>
      <c r="E74" s="560"/>
      <c r="F74" s="560"/>
      <c r="G74" s="560"/>
      <c r="H74" s="562"/>
      <c r="I74" s="562"/>
      <c r="J74" s="562"/>
      <c r="K74" s="562"/>
      <c r="L74" s="562"/>
      <c r="M74" s="563"/>
      <c r="N74" s="1153"/>
      <c r="O74" s="1153"/>
      <c r="P74" s="2684"/>
      <c r="Q74" s="559"/>
    </row>
    <row r="75" spans="1:17" s="471" customFormat="1" ht="14.4" thickTop="1">
      <c r="A75" s="553"/>
      <c r="B75" s="546">
        <f>B14</f>
        <v>111</v>
      </c>
      <c r="C75" s="523"/>
      <c r="D75" s="523"/>
      <c r="E75" s="523"/>
      <c r="F75" s="523"/>
      <c r="G75" s="523"/>
      <c r="H75" s="564"/>
      <c r="I75" s="564"/>
      <c r="J75" s="564"/>
      <c r="K75" s="564"/>
      <c r="L75" s="565"/>
      <c r="M75" s="566"/>
      <c r="N75" s="1153"/>
      <c r="O75" s="1153"/>
      <c r="P75" s="2686"/>
      <c r="Q75" s="559"/>
    </row>
    <row r="76" spans="1:17" s="471" customFormat="1" ht="14.4" thickBot="1">
      <c r="A76" s="568"/>
      <c r="B76" s="569"/>
      <c r="C76" s="570"/>
      <c r="D76" s="570"/>
      <c r="E76" s="570"/>
      <c r="F76" s="570"/>
      <c r="G76" s="570"/>
      <c r="H76" s="571"/>
      <c r="I76" s="571"/>
      <c r="J76" s="571"/>
      <c r="K76" s="571"/>
      <c r="L76" s="571"/>
      <c r="M76" s="572"/>
      <c r="N76" s="1153"/>
      <c r="O76" s="1153"/>
      <c r="P76" s="2684"/>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1"/>
      <c r="O77" s="1151"/>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1"/>
      <c r="O79" s="1151"/>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1"/>
      <c r="O81" s="1151"/>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 thickTop="1">
      <c r="A83" s="534"/>
      <c r="B83" s="546" t="s">
        <v>2685</v>
      </c>
      <c r="C83" s="660" t="s">
        <v>2671</v>
      </c>
      <c r="D83" s="660" t="s">
        <v>2672</v>
      </c>
      <c r="E83" s="660" t="s">
        <v>2673</v>
      </c>
      <c r="F83" s="660" t="s">
        <v>2674</v>
      </c>
      <c r="G83" s="660" t="s">
        <v>2675</v>
      </c>
      <c r="H83" s="539"/>
      <c r="I83" s="539"/>
      <c r="J83" s="539"/>
      <c r="K83" s="539"/>
      <c r="L83" s="539"/>
      <c r="M83" s="1381"/>
      <c r="N83" s="1152"/>
      <c r="O83" s="1152"/>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1"/>
      <c r="O85" s="1151"/>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9.4" thickTop="1">
      <c r="A87" s="579"/>
      <c r="B87" s="538" t="s">
        <v>2695</v>
      </c>
      <c r="C87" s="554"/>
      <c r="D87" s="554"/>
      <c r="E87" s="554"/>
      <c r="F87" s="554"/>
      <c r="G87" s="554"/>
      <c r="H87" s="554"/>
      <c r="I87" s="554"/>
      <c r="J87" s="554"/>
      <c r="K87" s="554"/>
      <c r="L87" s="580"/>
      <c r="M87" s="581"/>
      <c r="N87" s="1150"/>
      <c r="O87" s="1150"/>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4.4"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4.4" thickTop="1">
      <c r="A93" s="534"/>
      <c r="B93" s="538">
        <f>B29</f>
        <v>111</v>
      </c>
      <c r="C93" s="554"/>
      <c r="D93" s="554"/>
      <c r="E93" s="554"/>
      <c r="F93" s="554"/>
      <c r="G93" s="554"/>
      <c r="H93" s="554"/>
      <c r="I93" s="554"/>
      <c r="J93" s="554"/>
      <c r="K93" s="554"/>
      <c r="L93" s="580"/>
      <c r="M93" s="581"/>
      <c r="N93" s="1151"/>
      <c r="O93" s="1151"/>
      <c r="P93" s="2683"/>
      <c r="Q93" s="504"/>
    </row>
    <row r="94" spans="1:17" ht="14.4" thickBot="1">
      <c r="A94" s="534"/>
      <c r="B94" s="543"/>
      <c r="C94" s="560"/>
      <c r="D94" s="536"/>
      <c r="E94" s="536"/>
      <c r="F94" s="536"/>
      <c r="G94" s="536"/>
      <c r="H94" s="536"/>
      <c r="I94" s="536"/>
      <c r="J94" s="536"/>
      <c r="K94" s="536"/>
      <c r="L94" s="536"/>
      <c r="M94" s="537"/>
      <c r="N94" s="1152"/>
      <c r="O94" s="1152"/>
      <c r="P94" s="2683"/>
      <c r="Q94" s="504"/>
    </row>
    <row r="95" spans="1:17" ht="14.4" thickTop="1">
      <c r="A95" s="534"/>
      <c r="B95" s="538">
        <f>B30</f>
        <v>111</v>
      </c>
      <c r="C95" s="554"/>
      <c r="D95" s="554"/>
      <c r="E95" s="554"/>
      <c r="F95" s="554"/>
      <c r="G95" s="583"/>
      <c r="H95" s="583"/>
      <c r="I95" s="583"/>
      <c r="J95" s="583"/>
      <c r="K95" s="584"/>
      <c r="L95" s="585"/>
      <c r="M95" s="586"/>
      <c r="N95" s="1151"/>
      <c r="O95" s="1151"/>
      <c r="P95" s="2683"/>
      <c r="Q95" s="504"/>
    </row>
    <row r="96" spans="1:17" ht="14.4" thickBot="1">
      <c r="A96" s="534"/>
      <c r="B96" s="543"/>
      <c r="C96" s="560"/>
      <c r="D96" s="560"/>
      <c r="E96" s="560"/>
      <c r="F96" s="560"/>
      <c r="G96" s="536"/>
      <c r="H96" s="536"/>
      <c r="I96" s="536"/>
      <c r="J96" s="536"/>
      <c r="K96" s="536"/>
      <c r="L96" s="536"/>
      <c r="M96" s="537"/>
      <c r="N96" s="1152"/>
      <c r="O96" s="1152"/>
      <c r="P96" s="2683"/>
      <c r="Q96" s="504"/>
    </row>
    <row r="97" spans="1:17" ht="14.4" thickTop="1">
      <c r="A97" s="534"/>
      <c r="B97" s="538">
        <f>B31</f>
        <v>111</v>
      </c>
      <c r="C97" s="554"/>
      <c r="D97" s="554"/>
      <c r="E97" s="554"/>
      <c r="F97" s="554"/>
      <c r="G97" s="583"/>
      <c r="H97" s="583"/>
      <c r="I97" s="583"/>
      <c r="J97" s="583"/>
      <c r="K97" s="584"/>
      <c r="L97" s="585"/>
      <c r="M97" s="586"/>
      <c r="N97" s="1151"/>
      <c r="O97" s="1151"/>
      <c r="P97" s="2683"/>
      <c r="Q97" s="504"/>
    </row>
    <row r="98" spans="1:17" ht="14.4" thickBot="1">
      <c r="A98" s="534"/>
      <c r="B98" s="543"/>
      <c r="C98" s="560"/>
      <c r="D98" s="536"/>
      <c r="E98" s="536"/>
      <c r="F98" s="536"/>
      <c r="G98" s="536"/>
      <c r="H98" s="536"/>
      <c r="I98" s="536"/>
      <c r="J98" s="536"/>
      <c r="K98" s="536"/>
      <c r="L98" s="536"/>
      <c r="M98" s="537"/>
      <c r="N98" s="1152"/>
      <c r="O98" s="1152"/>
      <c r="P98" s="2683"/>
      <c r="Q98" s="504"/>
    </row>
    <row r="99" spans="1:17" ht="14.4" thickTop="1">
      <c r="A99" s="534"/>
      <c r="B99" s="546">
        <f>B32</f>
        <v>111</v>
      </c>
      <c r="C99" s="523"/>
      <c r="D99" s="523"/>
      <c r="E99" s="523"/>
      <c r="F99" s="523"/>
      <c r="G99" s="587"/>
      <c r="H99" s="587"/>
      <c r="I99" s="587"/>
      <c r="J99" s="587"/>
      <c r="K99" s="588"/>
      <c r="L99" s="589"/>
      <c r="M99" s="590"/>
      <c r="N99" s="1151"/>
      <c r="O99" s="1151"/>
      <c r="P99" s="2683"/>
      <c r="Q99" s="504"/>
    </row>
    <row r="100" spans="1:17" ht="14.4" thickBot="1">
      <c r="A100" s="2635"/>
      <c r="B100" s="569"/>
      <c r="C100" s="570"/>
      <c r="D100" s="570"/>
      <c r="E100" s="570"/>
      <c r="F100" s="570"/>
      <c r="G100" s="591"/>
      <c r="H100" s="591"/>
      <c r="I100" s="591"/>
      <c r="J100" s="591"/>
      <c r="K100" s="591"/>
      <c r="L100" s="591"/>
      <c r="M100" s="592"/>
      <c r="N100" s="1152"/>
      <c r="O100" s="1152"/>
      <c r="P100" s="2683"/>
      <c r="Q100" s="504"/>
    </row>
    <row r="101" spans="1:17" ht="14.4">
      <c r="A101" s="527" t="s">
        <v>2559</v>
      </c>
      <c r="B101" s="528" t="s">
        <v>2608</v>
      </c>
      <c r="C101" s="530"/>
      <c r="D101" s="530"/>
      <c r="E101" s="530"/>
      <c r="F101" s="530"/>
      <c r="G101" s="530"/>
      <c r="H101" s="530"/>
      <c r="I101" s="530"/>
      <c r="J101" s="530"/>
      <c r="K101" s="531"/>
      <c r="L101" s="532"/>
      <c r="M101" s="533"/>
      <c r="N101" s="1151"/>
      <c r="O101" s="1151"/>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4.4"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2610</v>
      </c>
      <c r="C106" s="554"/>
      <c r="D106" s="554"/>
      <c r="E106" s="583"/>
      <c r="F106" s="583"/>
      <c r="G106" s="583"/>
      <c r="H106" s="583"/>
      <c r="I106" s="583"/>
      <c r="J106" s="583"/>
      <c r="K106" s="584"/>
      <c r="L106" s="585"/>
      <c r="M106" s="586"/>
      <c r="N106" s="1151"/>
      <c r="O106" s="1151"/>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2612</v>
      </c>
      <c r="C108" s="554"/>
      <c r="D108" s="554"/>
      <c r="E108" s="554"/>
      <c r="F108" s="583"/>
      <c r="G108" s="583"/>
      <c r="H108" s="583"/>
      <c r="I108" s="583"/>
      <c r="J108" s="583"/>
      <c r="K108" s="584"/>
      <c r="L108" s="585"/>
      <c r="M108" s="586"/>
      <c r="N108" s="1151"/>
      <c r="O108" s="1151"/>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2613</v>
      </c>
      <c r="C115" s="554"/>
      <c r="D115" s="554"/>
      <c r="E115" s="583"/>
      <c r="F115" s="583"/>
      <c r="G115" s="583"/>
      <c r="H115" s="583"/>
      <c r="I115" s="583"/>
      <c r="J115" s="583"/>
      <c r="K115" s="584"/>
      <c r="L115" s="585"/>
      <c r="M115" s="586"/>
      <c r="N115" s="1151"/>
      <c r="O115" s="1151"/>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2614</v>
      </c>
      <c r="C117" s="554"/>
      <c r="D117" s="554"/>
      <c r="E117" s="554"/>
      <c r="F117" s="554"/>
      <c r="G117" s="554"/>
      <c r="H117" s="583"/>
      <c r="I117" s="583"/>
      <c r="J117" s="583"/>
      <c r="K117" s="584"/>
      <c r="L117" s="585"/>
      <c r="M117" s="586"/>
      <c r="N117" s="1151"/>
      <c r="O117" s="1151"/>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2697</v>
      </c>
      <c r="C119" s="583"/>
      <c r="D119" s="583"/>
      <c r="E119" s="583"/>
      <c r="F119" s="583"/>
      <c r="G119" s="583"/>
      <c r="H119" s="583"/>
      <c r="I119" s="583"/>
      <c r="J119" s="583"/>
      <c r="K119" s="583"/>
      <c r="L119" s="2688"/>
      <c r="M119" s="2689"/>
      <c r="N119" s="1152"/>
      <c r="O119" s="1152"/>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4"/>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2616</v>
      </c>
      <c r="C123" s="554"/>
      <c r="D123" s="554"/>
      <c r="E123" s="554"/>
      <c r="F123" s="583"/>
      <c r="G123" s="583"/>
      <c r="H123" s="583"/>
      <c r="I123" s="583"/>
      <c r="J123" s="583"/>
      <c r="K123" s="584"/>
      <c r="L123" s="585"/>
      <c r="M123" s="586"/>
      <c r="N123" s="1151"/>
      <c r="O123" s="1151"/>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4"/>
      <c r="Q128" s="559"/>
    </row>
    <row r="129" spans="1:17" ht="14.4" thickTop="1">
      <c r="A129" s="599"/>
      <c r="B129" s="538">
        <f>B46</f>
        <v>111</v>
      </c>
      <c r="C129" s="554"/>
      <c r="D129" s="554"/>
      <c r="E129" s="554"/>
      <c r="F129" s="554"/>
      <c r="G129" s="583"/>
      <c r="H129" s="583"/>
      <c r="I129" s="583"/>
      <c r="J129" s="583"/>
      <c r="K129" s="584"/>
      <c r="L129" s="585"/>
      <c r="M129" s="586"/>
      <c r="N129" s="1151"/>
      <c r="O129" s="1151"/>
      <c r="P129" s="2683"/>
      <c r="Q129" s="504"/>
    </row>
    <row r="130" spans="1:17" ht="14.4" thickBot="1">
      <c r="A130" s="534"/>
      <c r="B130" s="543"/>
      <c r="C130" s="560"/>
      <c r="D130" s="560"/>
      <c r="E130" s="560"/>
      <c r="F130" s="560"/>
      <c r="G130" s="536"/>
      <c r="H130" s="536"/>
      <c r="I130" s="536"/>
      <c r="J130" s="536"/>
      <c r="K130" s="536"/>
      <c r="L130" s="536"/>
      <c r="M130" s="537"/>
      <c r="N130" s="1152"/>
      <c r="O130" s="1152"/>
      <c r="P130" s="2683"/>
      <c r="Q130" s="504"/>
    </row>
    <row r="131" spans="1:17" ht="14.4" thickTop="1">
      <c r="A131" s="599"/>
      <c r="B131" s="546">
        <f>B47</f>
        <v>111</v>
      </c>
      <c r="C131" s="523"/>
      <c r="D131" s="523"/>
      <c r="E131" s="523"/>
      <c r="F131" s="523"/>
      <c r="G131" s="587"/>
      <c r="H131" s="587"/>
      <c r="I131" s="587"/>
      <c r="J131" s="587"/>
      <c r="K131" s="523"/>
      <c r="L131" s="524"/>
      <c r="M131" s="590"/>
      <c r="N131" s="1151"/>
      <c r="O131" s="1151"/>
      <c r="P131" s="2683"/>
      <c r="Q131" s="504"/>
    </row>
    <row r="132" spans="1:17" ht="14.4"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5"/>
      <c r="D2" s="1123" t="e">
        <f ca="1">SUMIF(INDIRECT("'"&amp;F2&amp;"'"&amp;"!A:A"),"承租人权益价值",INDIRECT("'"&amp;F2&amp;"'"&amp;"!c:c"))</f>
        <v>#REF!</v>
      </c>
      <c r="E2" s="2586" t="s">
        <v>2324</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4376.09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46" t="s">
        <v>2644</v>
      </c>
      <c r="AC4" s="3245" t="s">
        <v>2645</v>
      </c>
    </row>
    <row r="5" spans="1:29">
      <c r="A5" s="404"/>
      <c r="B5" s="405"/>
      <c r="C5" s="3256" t="s">
        <v>2538</v>
      </c>
      <c r="D5" s="3257"/>
      <c r="E5" s="3254" t="s">
        <v>2539</v>
      </c>
      <c r="F5" s="3255"/>
      <c r="G5" s="3256" t="s">
        <v>2540</v>
      </c>
      <c r="H5" s="3257"/>
      <c r="I5" s="3256" t="s">
        <v>2541</v>
      </c>
      <c r="J5" s="3257"/>
      <c r="K5" s="610"/>
      <c r="L5" s="1129"/>
      <c r="M5" s="1130"/>
      <c r="N5" s="1130"/>
      <c r="O5" s="1130"/>
      <c r="P5" s="3269"/>
      <c r="Q5" s="3270"/>
      <c r="R5" s="3252"/>
      <c r="S5" s="3253"/>
      <c r="T5" s="3252"/>
      <c r="U5" s="3253"/>
      <c r="V5" s="3275"/>
      <c r="W5" s="3275"/>
      <c r="X5" s="1812"/>
      <c r="Y5" s="3252"/>
      <c r="Z5" s="3253"/>
      <c r="AA5" s="3246"/>
      <c r="AB5" s="3246"/>
      <c r="AC5" s="3246"/>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1812"/>
      <c r="Y6" s="3273"/>
      <c r="Z6" s="3274"/>
      <c r="AA6" s="3247"/>
      <c r="AB6" s="3247"/>
      <c r="AC6" s="3247"/>
    </row>
    <row r="7" spans="1:29" s="117" customFormat="1" ht="15" thickBot="1">
      <c r="A7" s="408" t="s">
        <v>2544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8" t="s">
        <v>2545</v>
      </c>
      <c r="Q7" s="3276"/>
      <c r="R7" s="769" t="s">
        <v>17</v>
      </c>
      <c r="S7" s="770">
        <f t="shared" ref="S7:S15" si="0">F7</f>
        <v>0</v>
      </c>
      <c r="T7" s="769" t="s">
        <v>17</v>
      </c>
      <c r="U7" s="770">
        <f t="shared" ref="U7:U15" si="1">H7</f>
        <v>0</v>
      </c>
      <c r="V7" s="769" t="s">
        <v>17</v>
      </c>
      <c r="W7" s="770">
        <f t="shared" ref="W7:W15" si="2">J7</f>
        <v>0</v>
      </c>
      <c r="X7" s="771"/>
      <c r="Y7" s="3248" t="s">
        <v>2545</v>
      </c>
      <c r="Z7" s="3249"/>
      <c r="AA7" s="772" t="e">
        <f>D7/F7</f>
        <v>#DIV/0!</v>
      </c>
      <c r="AB7" s="772" t="e">
        <f>D7/H7</f>
        <v>#DIV/0!</v>
      </c>
      <c r="AC7" s="772"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8" t="s">
        <v>2548</v>
      </c>
      <c r="Q8" s="3249"/>
      <c r="R8" s="769" t="s">
        <v>17</v>
      </c>
      <c r="S8" s="770">
        <f t="shared" si="0"/>
        <v>0</v>
      </c>
      <c r="T8" s="769" t="s">
        <v>17</v>
      </c>
      <c r="U8" s="770">
        <f t="shared" si="1"/>
        <v>0</v>
      </c>
      <c r="V8" s="769" t="s">
        <v>17</v>
      </c>
      <c r="W8" s="770">
        <f t="shared" si="2"/>
        <v>0</v>
      </c>
      <c r="X8" s="771"/>
      <c r="Y8" s="3248" t="s">
        <v>2548</v>
      </c>
      <c r="Z8" s="3249"/>
      <c r="AA8" s="772" t="e">
        <f t="shared" ref="AA8:AA40" si="3">D8/F8</f>
        <v>#DIV/0!</v>
      </c>
      <c r="AB8" s="772" t="e">
        <f t="shared" ref="AB8:AB40" si="4">D8/H8</f>
        <v>#DIV/0!</v>
      </c>
      <c r="AC8" s="772"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80"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772">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80"/>
      <c r="Q10" s="1794"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80"/>
      <c r="Q11" s="1794"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280"/>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280"/>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280"/>
      <c r="Q14" s="1794">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69">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82" t="s">
        <v>2556</v>
      </c>
      <c r="Q15" s="1809" t="str">
        <f t="shared" si="6"/>
        <v>产业集聚程度</v>
      </c>
      <c r="R15" s="773" t="s">
        <v>17</v>
      </c>
      <c r="S15" s="774">
        <f t="shared" si="0"/>
        <v>100</v>
      </c>
      <c r="T15" s="773" t="s">
        <v>17</v>
      </c>
      <c r="U15" s="774">
        <f t="shared" si="1"/>
        <v>100</v>
      </c>
      <c r="V15" s="773" t="s">
        <v>17</v>
      </c>
      <c r="W15" s="774">
        <f t="shared" si="2"/>
        <v>100</v>
      </c>
      <c r="X15" s="1812"/>
      <c r="Y15" s="3282"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83"/>
      <c r="Q16" s="1809"/>
      <c r="R16" s="773"/>
      <c r="S16" s="774"/>
      <c r="T16" s="773"/>
      <c r="U16" s="774"/>
      <c r="V16" s="773"/>
      <c r="W16" s="774"/>
      <c r="X16" s="1812"/>
      <c r="Y16" s="3283"/>
      <c r="Z16" s="1813"/>
      <c r="AA16" s="1810">
        <v>1</v>
      </c>
      <c r="AB16" s="1810">
        <v>1</v>
      </c>
      <c r="AC16" s="1810">
        <v>1</v>
      </c>
    </row>
    <row r="17" spans="1:29" ht="96.6">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83"/>
      <c r="Q17" s="1809" t="str">
        <f>B17</f>
        <v>交通便捷度</v>
      </c>
      <c r="R17" s="773" t="s">
        <v>17</v>
      </c>
      <c r="S17" s="774">
        <f>F17</f>
        <v>100</v>
      </c>
      <c r="T17" s="773" t="s">
        <v>17</v>
      </c>
      <c r="U17" s="774">
        <f>H17</f>
        <v>100</v>
      </c>
      <c r="V17" s="773" t="s">
        <v>17</v>
      </c>
      <c r="W17" s="774">
        <f>J17</f>
        <v>100</v>
      </c>
      <c r="X17" s="1812"/>
      <c r="Y17" s="328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283"/>
      <c r="Q18" s="1809"/>
      <c r="R18" s="773"/>
      <c r="S18" s="774"/>
      <c r="T18" s="773"/>
      <c r="U18" s="774"/>
      <c r="V18" s="773"/>
      <c r="W18" s="774"/>
      <c r="X18" s="1812"/>
      <c r="Y18" s="3283"/>
      <c r="Z18" s="1813"/>
      <c r="AA18" s="1810">
        <v>1</v>
      </c>
      <c r="AB18" s="1810">
        <v>1</v>
      </c>
      <c r="AC18" s="1810">
        <v>1</v>
      </c>
    </row>
    <row r="19" spans="1:29" ht="41.4">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83"/>
      <c r="Q19" s="1809" t="str">
        <f>B19</f>
        <v>公共配套设施</v>
      </c>
      <c r="R19" s="773" t="s">
        <v>17</v>
      </c>
      <c r="S19" s="774">
        <f>F19</f>
        <v>100</v>
      </c>
      <c r="T19" s="773" t="s">
        <v>17</v>
      </c>
      <c r="U19" s="774">
        <f>H19</f>
        <v>100</v>
      </c>
      <c r="V19" s="773" t="s">
        <v>17</v>
      </c>
      <c r="W19" s="774">
        <f>J19</f>
        <v>100</v>
      </c>
      <c r="X19" s="1812"/>
      <c r="Y19" s="328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283"/>
      <c r="Q20" s="1809"/>
      <c r="R20" s="773"/>
      <c r="S20" s="774"/>
      <c r="T20" s="773"/>
      <c r="U20" s="774"/>
      <c r="V20" s="773"/>
      <c r="W20" s="774"/>
      <c r="X20" s="1812"/>
      <c r="Y20" s="3283"/>
      <c r="Z20" s="1813"/>
      <c r="AA20" s="1810">
        <v>1</v>
      </c>
      <c r="AB20" s="1810">
        <v>1</v>
      </c>
      <c r="AC20" s="1810">
        <v>1</v>
      </c>
    </row>
    <row r="21" spans="1:29" ht="41.4">
      <c r="A21" s="428"/>
      <c r="B21" s="1383"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83"/>
      <c r="Q21" s="1809" t="str">
        <f>B21</f>
        <v>基础设施水平</v>
      </c>
      <c r="R21" s="773" t="s">
        <v>17</v>
      </c>
      <c r="S21" s="774">
        <f>F21</f>
        <v>100</v>
      </c>
      <c r="T21" s="773" t="s">
        <v>17</v>
      </c>
      <c r="U21" s="774">
        <f>H21</f>
        <v>100</v>
      </c>
      <c r="V21" s="773" t="s">
        <v>17</v>
      </c>
      <c r="W21" s="774">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283"/>
      <c r="Q22" s="1809"/>
      <c r="R22" s="773"/>
      <c r="S22" s="774"/>
      <c r="T22" s="773"/>
      <c r="U22" s="774"/>
      <c r="V22" s="773"/>
      <c r="W22" s="774"/>
      <c r="X22" s="1812"/>
      <c r="Y22" s="3283"/>
      <c r="Z22" s="1813"/>
      <c r="AA22" s="1810">
        <v>1</v>
      </c>
      <c r="AB22" s="1810">
        <v>1</v>
      </c>
      <c r="AC22" s="1810">
        <v>1</v>
      </c>
    </row>
    <row r="23" spans="1:29" ht="82.8">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83"/>
      <c r="Q23" s="1809" t="str">
        <f>B23</f>
        <v>环境质量</v>
      </c>
      <c r="R23" s="773" t="s">
        <v>17</v>
      </c>
      <c r="S23" s="774">
        <f>F23</f>
        <v>100</v>
      </c>
      <c r="T23" s="773" t="s">
        <v>17</v>
      </c>
      <c r="U23" s="774">
        <f>H23</f>
        <v>100</v>
      </c>
      <c r="V23" s="773" t="s">
        <v>17</v>
      </c>
      <c r="W23" s="774">
        <f>J23</f>
        <v>100</v>
      </c>
      <c r="X23" s="1812"/>
      <c r="Y23" s="3283"/>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283"/>
      <c r="Q24" s="1809"/>
      <c r="R24" s="773"/>
      <c r="S24" s="774"/>
      <c r="T24" s="773"/>
      <c r="U24" s="774"/>
      <c r="V24" s="773"/>
      <c r="W24" s="774"/>
      <c r="X24" s="1812"/>
      <c r="Y24" s="328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83"/>
      <c r="Q25" s="1809">
        <f>B25</f>
        <v>111</v>
      </c>
      <c r="R25" s="773" t="s">
        <v>17</v>
      </c>
      <c r="S25" s="774">
        <f>F25</f>
        <v>100</v>
      </c>
      <c r="T25" s="773" t="s">
        <v>17</v>
      </c>
      <c r="U25" s="774">
        <f>H25</f>
        <v>100</v>
      </c>
      <c r="V25" s="773" t="s">
        <v>17</v>
      </c>
      <c r="W25" s="774">
        <f>J25</f>
        <v>100</v>
      </c>
      <c r="X25" s="1812"/>
      <c r="Y25" s="328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83"/>
      <c r="Q26" s="1809">
        <f t="shared" ref="Q26:Q40" si="11">B26</f>
        <v>111</v>
      </c>
      <c r="R26" s="773" t="s">
        <v>17</v>
      </c>
      <c r="S26" s="774">
        <f>F26</f>
        <v>100</v>
      </c>
      <c r="T26" s="773" t="s">
        <v>17</v>
      </c>
      <c r="U26" s="774">
        <f>H26</f>
        <v>100</v>
      </c>
      <c r="V26" s="773" t="s">
        <v>17</v>
      </c>
      <c r="W26" s="774">
        <f>J26</f>
        <v>100</v>
      </c>
      <c r="X26" s="1812"/>
      <c r="Y26" s="328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83"/>
      <c r="Q27" s="1794">
        <f t="shared" si="11"/>
        <v>111</v>
      </c>
      <c r="R27" s="769" t="s">
        <v>17</v>
      </c>
      <c r="S27" s="770">
        <f>F27</f>
        <v>100</v>
      </c>
      <c r="T27" s="769" t="s">
        <v>17</v>
      </c>
      <c r="U27" s="770">
        <f>H27</f>
        <v>100</v>
      </c>
      <c r="V27" s="769" t="s">
        <v>17</v>
      </c>
      <c r="W27" s="770">
        <f>J27</f>
        <v>100</v>
      </c>
      <c r="X27" s="771"/>
      <c r="Y27" s="3283"/>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83"/>
      <c r="Q28" s="1809">
        <f t="shared" si="11"/>
        <v>111</v>
      </c>
      <c r="R28" s="773" t="s">
        <v>17</v>
      </c>
      <c r="S28" s="774">
        <f t="shared" ref="S28:S40" si="12">F28</f>
        <v>100</v>
      </c>
      <c r="T28" s="773" t="s">
        <v>17</v>
      </c>
      <c r="U28" s="774">
        <f t="shared" ref="U28:U40" si="13">H28</f>
        <v>100</v>
      </c>
      <c r="V28" s="773" t="s">
        <v>17</v>
      </c>
      <c r="W28" s="774">
        <f t="shared" ref="W28:W40" si="14">J28</f>
        <v>100</v>
      </c>
      <c r="X28" s="1812"/>
      <c r="Y28" s="3283"/>
      <c r="Z28" s="1813">
        <f t="shared" ref="Z28:Z40" si="15">Q28</f>
        <v>111</v>
      </c>
      <c r="AA28" s="1810">
        <f t="shared" si="3"/>
        <v>1</v>
      </c>
      <c r="AB28" s="1810">
        <f t="shared" si="4"/>
        <v>1</v>
      </c>
      <c r="AC28" s="1810">
        <f t="shared" si="5"/>
        <v>1</v>
      </c>
    </row>
    <row r="29" spans="1:29" ht="30">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3309" t="s">
        <v>2561</v>
      </c>
      <c r="Q29" s="1809" t="str">
        <f t="shared" si="11"/>
        <v>建筑类型</v>
      </c>
      <c r="R29" s="773" t="s">
        <v>17</v>
      </c>
      <c r="S29" s="774">
        <f t="shared" si="12"/>
        <v>100</v>
      </c>
      <c r="T29" s="773" t="s">
        <v>17</v>
      </c>
      <c r="U29" s="774">
        <f t="shared" si="13"/>
        <v>100</v>
      </c>
      <c r="V29" s="773" t="s">
        <v>17</v>
      </c>
      <c r="W29" s="774">
        <f t="shared" si="14"/>
        <v>100</v>
      </c>
      <c r="X29" s="1812"/>
      <c r="Y29" s="3287"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87"/>
      <c r="Q30" s="775" t="str">
        <f t="shared" si="11"/>
        <v>项目建筑规模</v>
      </c>
      <c r="R30" s="776" t="s">
        <v>17</v>
      </c>
      <c r="S30" s="777" t="e">
        <f t="shared" si="12"/>
        <v>#N/A</v>
      </c>
      <c r="T30" s="776" t="s">
        <v>17</v>
      </c>
      <c r="U30" s="777" t="e">
        <f t="shared" si="13"/>
        <v>#N/A</v>
      </c>
      <c r="V30" s="776" t="s">
        <v>17</v>
      </c>
      <c r="W30" s="777" t="e">
        <f t="shared" si="14"/>
        <v>#N/A</v>
      </c>
      <c r="X30" s="778"/>
      <c r="Y30" s="3287"/>
      <c r="Z30" s="779"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87"/>
      <c r="Q31" s="1809" t="str">
        <f t="shared" si="11"/>
        <v>建筑结构</v>
      </c>
      <c r="R31" s="773" t="s">
        <v>17</v>
      </c>
      <c r="S31" s="774">
        <f t="shared" si="12"/>
        <v>100</v>
      </c>
      <c r="T31" s="773" t="s">
        <v>17</v>
      </c>
      <c r="U31" s="774">
        <f t="shared" si="13"/>
        <v>100</v>
      </c>
      <c r="V31" s="773" t="s">
        <v>17</v>
      </c>
      <c r="W31" s="774">
        <f t="shared" si="14"/>
        <v>100</v>
      </c>
      <c r="X31" s="1812"/>
      <c r="Y31" s="3287"/>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87"/>
      <c r="Q32" s="1809" t="str">
        <f t="shared" si="11"/>
        <v>公共部分装修</v>
      </c>
      <c r="R32" s="773" t="s">
        <v>17</v>
      </c>
      <c r="S32" s="774">
        <f t="shared" si="12"/>
        <v>100</v>
      </c>
      <c r="T32" s="773" t="s">
        <v>17</v>
      </c>
      <c r="U32" s="774">
        <f t="shared" si="13"/>
        <v>100</v>
      </c>
      <c r="V32" s="773" t="s">
        <v>17</v>
      </c>
      <c r="W32" s="774">
        <f t="shared" si="14"/>
        <v>100</v>
      </c>
      <c r="X32" s="1812"/>
      <c r="Y32" s="3287"/>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87"/>
      <c r="Q33" s="1809" t="str">
        <f t="shared" si="11"/>
        <v>成新度</v>
      </c>
      <c r="R33" s="773" t="s">
        <v>17</v>
      </c>
      <c r="S33" s="774" t="e">
        <f t="shared" si="12"/>
        <v>#N/A</v>
      </c>
      <c r="T33" s="773" t="s">
        <v>17</v>
      </c>
      <c r="U33" s="774" t="e">
        <f t="shared" si="13"/>
        <v>#N/A</v>
      </c>
      <c r="V33" s="773" t="s">
        <v>17</v>
      </c>
      <c r="W33" s="774" t="e">
        <f t="shared" si="14"/>
        <v>#N/A</v>
      </c>
      <c r="X33" s="1812"/>
      <c r="Y33" s="3287"/>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87"/>
      <c r="Q34" s="1794" t="str">
        <f t="shared" si="11"/>
        <v>物业管理</v>
      </c>
      <c r="R34" s="769" t="s">
        <v>17</v>
      </c>
      <c r="S34" s="770">
        <f t="shared" si="12"/>
        <v>100</v>
      </c>
      <c r="T34" s="769" t="s">
        <v>17</v>
      </c>
      <c r="U34" s="770">
        <f t="shared" si="13"/>
        <v>100</v>
      </c>
      <c r="V34" s="769" t="s">
        <v>17</v>
      </c>
      <c r="W34" s="770">
        <f t="shared" si="14"/>
        <v>100</v>
      </c>
      <c r="X34" s="771"/>
      <c r="Y34" s="3287"/>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87" t="s">
        <v>2561</v>
      </c>
      <c r="Q35" s="1809" t="str">
        <f t="shared" si="11"/>
        <v>市政基础设施</v>
      </c>
      <c r="R35" s="773" t="s">
        <v>17</v>
      </c>
      <c r="S35" s="774">
        <f t="shared" si="12"/>
        <v>100</v>
      </c>
      <c r="T35" s="773" t="s">
        <v>17</v>
      </c>
      <c r="U35" s="774">
        <f t="shared" si="13"/>
        <v>100</v>
      </c>
      <c r="V35" s="773" t="s">
        <v>17</v>
      </c>
      <c r="W35" s="774">
        <f t="shared" si="14"/>
        <v>100</v>
      </c>
      <c r="X35" s="1812"/>
      <c r="Y35" s="3287"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87"/>
      <c r="Q36" s="1809" t="str">
        <f t="shared" si="11"/>
        <v>内部装修</v>
      </c>
      <c r="R36" s="773" t="s">
        <v>17</v>
      </c>
      <c r="S36" s="774">
        <f t="shared" si="12"/>
        <v>100</v>
      </c>
      <c r="T36" s="773" t="s">
        <v>17</v>
      </c>
      <c r="U36" s="774">
        <f t="shared" si="13"/>
        <v>100</v>
      </c>
      <c r="V36" s="773" t="s">
        <v>17</v>
      </c>
      <c r="W36" s="774">
        <f t="shared" si="14"/>
        <v>100</v>
      </c>
      <c r="X36" s="1812"/>
      <c r="Y36" s="3287"/>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87"/>
      <c r="Q37" s="1809" t="str">
        <f t="shared" si="11"/>
        <v>内部装修状况</v>
      </c>
      <c r="R37" s="773" t="s">
        <v>17</v>
      </c>
      <c r="S37" s="774">
        <f t="shared" si="12"/>
        <v>100</v>
      </c>
      <c r="T37" s="773" t="s">
        <v>17</v>
      </c>
      <c r="U37" s="774">
        <f t="shared" si="13"/>
        <v>100</v>
      </c>
      <c r="V37" s="773" t="s">
        <v>17</v>
      </c>
      <c r="W37" s="774">
        <f t="shared" si="14"/>
        <v>100</v>
      </c>
      <c r="X37" s="1812"/>
      <c r="Y37" s="328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87"/>
      <c r="Q38" s="775">
        <f t="shared" si="11"/>
        <v>111</v>
      </c>
      <c r="R38" s="776" t="s">
        <v>17</v>
      </c>
      <c r="S38" s="777">
        <f t="shared" si="12"/>
        <v>100</v>
      </c>
      <c r="T38" s="776" t="s">
        <v>17</v>
      </c>
      <c r="U38" s="777">
        <f t="shared" si="13"/>
        <v>100</v>
      </c>
      <c r="V38" s="776" t="s">
        <v>17</v>
      </c>
      <c r="W38" s="777">
        <f t="shared" si="14"/>
        <v>100</v>
      </c>
      <c r="X38" s="778"/>
      <c r="Y38" s="3287"/>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87"/>
      <c r="Q39" s="1809">
        <f t="shared" si="11"/>
        <v>111</v>
      </c>
      <c r="R39" s="773" t="s">
        <v>17</v>
      </c>
      <c r="S39" s="774">
        <f t="shared" si="12"/>
        <v>100</v>
      </c>
      <c r="T39" s="773" t="s">
        <v>17</v>
      </c>
      <c r="U39" s="774">
        <f t="shared" si="13"/>
        <v>100</v>
      </c>
      <c r="V39" s="773" t="s">
        <v>17</v>
      </c>
      <c r="W39" s="774">
        <f t="shared" si="14"/>
        <v>100</v>
      </c>
      <c r="X39" s="1812"/>
      <c r="Y39" s="3287"/>
      <c r="Z39" s="1813">
        <f t="shared" si="15"/>
        <v>111</v>
      </c>
      <c r="AA39" s="1810">
        <f t="shared" si="3"/>
        <v>1</v>
      </c>
      <c r="AB39" s="1810">
        <f t="shared" si="4"/>
        <v>1</v>
      </c>
      <c r="AC39" s="1810">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88"/>
      <c r="Q40" s="1809">
        <f t="shared" si="11"/>
        <v>111</v>
      </c>
      <c r="R40" s="773" t="s">
        <v>17</v>
      </c>
      <c r="S40" s="774">
        <f t="shared" si="12"/>
        <v>100</v>
      </c>
      <c r="T40" s="773" t="s">
        <v>17</v>
      </c>
      <c r="U40" s="774">
        <f t="shared" si="13"/>
        <v>100</v>
      </c>
      <c r="V40" s="773" t="s">
        <v>17</v>
      </c>
      <c r="W40" s="774">
        <f t="shared" si="14"/>
        <v>100</v>
      </c>
      <c r="X40" s="1812"/>
      <c r="Y40" s="3288"/>
      <c r="Z40" s="1813">
        <f t="shared" si="15"/>
        <v>111</v>
      </c>
      <c r="AA40" s="1810">
        <f t="shared" si="3"/>
        <v>1</v>
      </c>
      <c r="AB40" s="1810">
        <f t="shared" si="4"/>
        <v>1</v>
      </c>
      <c r="AC40" s="1810">
        <f t="shared" si="5"/>
        <v>1</v>
      </c>
    </row>
    <row r="41" spans="1:29" ht="14.4">
      <c r="A41" s="479" t="s">
        <v>2573</v>
      </c>
      <c r="B41" s="480"/>
      <c r="C41" s="1406" t="s">
        <v>1</v>
      </c>
      <c r="D41" s="1407"/>
      <c r="E41" s="1408"/>
      <c r="F41" s="1409"/>
      <c r="G41" s="1410"/>
      <c r="H41" s="1411"/>
      <c r="I41" s="1408"/>
      <c r="J41" s="1411"/>
      <c r="K41" s="782"/>
      <c r="L41" s="1142"/>
      <c r="M41" s="1143"/>
      <c r="N41" s="1130"/>
      <c r="O41" s="1143"/>
      <c r="P41" s="3280" t="str">
        <f>A41</f>
        <v>成交单价（元/平方米）</v>
      </c>
      <c r="Q41" s="3280"/>
      <c r="R41" s="3281">
        <f>E41</f>
        <v>0</v>
      </c>
      <c r="S41" s="3281"/>
      <c r="T41" s="3281">
        <f>G41</f>
        <v>0</v>
      </c>
      <c r="U41" s="3281"/>
      <c r="V41" s="3281">
        <f>I41</f>
        <v>0</v>
      </c>
      <c r="W41" s="3281"/>
      <c r="X41" s="758"/>
      <c r="Y41" s="780"/>
      <c r="Z41" s="758"/>
      <c r="AA41" s="758"/>
      <c r="AB41" s="758"/>
      <c r="AC41" s="758"/>
    </row>
    <row r="42" spans="1:29" ht="15" thickBot="1">
      <c r="A42" s="486" t="s">
        <v>2665</v>
      </c>
      <c r="B42" s="487"/>
      <c r="C42" s="1412" t="e">
        <f>R43</f>
        <v>#DIV/0!</v>
      </c>
      <c r="D42" s="1413"/>
      <c r="E42" s="1414" t="e">
        <f>R42</f>
        <v>#DIV/0!</v>
      </c>
      <c r="F42" s="1414"/>
      <c r="G42" s="1412" t="e">
        <f>T42</f>
        <v>#DIV/0!</v>
      </c>
      <c r="H42" s="1413"/>
      <c r="I42" s="1414" t="e">
        <f>V42</f>
        <v>#DIV/0!</v>
      </c>
      <c r="J42" s="1413"/>
      <c r="K42" s="783"/>
      <c r="L42" s="1142"/>
      <c r="M42" s="1143"/>
      <c r="N42" s="1130"/>
      <c r="O42" s="1143"/>
      <c r="P42" s="3280" t="str">
        <f>A42</f>
        <v>比较价值（元/平方米）</v>
      </c>
      <c r="Q42" s="3280"/>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8"/>
      <c r="Y42" s="758"/>
      <c r="Z42" s="758"/>
      <c r="AA42" s="758"/>
      <c r="AB42" s="758"/>
      <c r="AC42" s="758"/>
    </row>
    <row r="43" spans="1:29" ht="15" thickBot="1">
      <c r="A43" s="492" t="s">
        <v>2666</v>
      </c>
      <c r="B43" s="493"/>
      <c r="C43" s="1416" t="e">
        <f>R43</f>
        <v>#DIV/0!</v>
      </c>
      <c r="D43" s="1416"/>
      <c r="E43" s="1416"/>
      <c r="F43" s="1416"/>
      <c r="G43" s="1416"/>
      <c r="H43" s="1416"/>
      <c r="I43" s="1416"/>
      <c r="J43" s="1416"/>
      <c r="K43" s="784"/>
      <c r="L43" s="1142"/>
      <c r="M43" s="1143"/>
      <c r="N43" s="1143"/>
      <c r="O43" s="1143"/>
      <c r="P43" s="3277" t="str">
        <f>A43</f>
        <v>估价对象XX用房的比较价值（楼面单价，元/平方米）</v>
      </c>
      <c r="Q43" s="3278"/>
      <c r="R43" s="3279" t="e">
        <f>IF(F1="售价",ROUND(AVERAGE(R42:V42),0),ROUND(AVERAGE(R42:V42),1))</f>
        <v>#DIV/0!</v>
      </c>
      <c r="S43" s="3279"/>
      <c r="T43" s="3279"/>
      <c r="U43" s="3279"/>
      <c r="V43" s="3279"/>
      <c r="W43" s="327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2670</v>
      </c>
      <c r="B51" s="758"/>
      <c r="C51" s="763"/>
      <c r="D51" s="763"/>
      <c r="E51" s="763"/>
      <c r="F51" s="764"/>
      <c r="G51" s="764"/>
      <c r="H51" s="763"/>
      <c r="I51" s="763"/>
      <c r="J51" s="763"/>
      <c r="K51" s="1159"/>
      <c r="L51" s="1160"/>
      <c r="M51" s="1158"/>
      <c r="N51" s="1158"/>
      <c r="O51" s="1158"/>
      <c r="P51" s="503"/>
      <c r="Q51" s="504"/>
    </row>
    <row r="52" spans="1:17" s="508" customFormat="1" ht="14.4">
      <c r="A52" s="505" t="s">
        <v>2544</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2584</v>
      </c>
      <c r="B57" s="528" t="s">
        <v>2550</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5"/>
      <c r="B87" s="569"/>
      <c r="C87" s="570"/>
      <c r="D87" s="570"/>
      <c r="E87" s="570"/>
      <c r="F87" s="570"/>
      <c r="G87" s="591"/>
      <c r="H87" s="591"/>
      <c r="I87" s="591"/>
      <c r="J87" s="591"/>
      <c r="K87" s="591"/>
      <c r="L87" s="591"/>
      <c r="M87" s="592"/>
      <c r="N87" s="1152"/>
      <c r="O87" s="1152"/>
      <c r="P87" s="45"/>
      <c r="Q87" s="504"/>
    </row>
    <row r="88" spans="1:17" ht="14.4">
      <c r="A88" s="527" t="s">
        <v>2559</v>
      </c>
      <c r="B88" s="528" t="s">
        <v>2608</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5"/>
      <c r="D2" s="1123" t="e">
        <f ca="1">SUMIF(INDIRECT("'"&amp;F2&amp;"'"&amp;"!A:A"),"承租人权益价值",INDIRECT("'"&amp;F2&amp;"'"&amp;"!c:c"))</f>
        <v>#REF!</v>
      </c>
      <c r="E2" s="2586" t="s">
        <v>2324</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46" t="s">
        <v>2644</v>
      </c>
      <c r="AC4" s="3245" t="s">
        <v>2645</v>
      </c>
    </row>
    <row r="5" spans="1:29">
      <c r="A5" s="404"/>
      <c r="B5" s="405"/>
      <c r="C5" s="3256" t="s">
        <v>2538</v>
      </c>
      <c r="D5" s="3257"/>
      <c r="E5" s="3254" t="s">
        <v>2539</v>
      </c>
      <c r="F5" s="3255"/>
      <c r="G5" s="3256" t="s">
        <v>2540</v>
      </c>
      <c r="H5" s="3257"/>
      <c r="I5" s="3256" t="s">
        <v>2541</v>
      </c>
      <c r="J5" s="3257"/>
      <c r="K5" s="610"/>
      <c r="L5" s="1129"/>
      <c r="M5" s="1130"/>
      <c r="N5" s="1130"/>
      <c r="O5" s="1130"/>
      <c r="P5" s="3269"/>
      <c r="Q5" s="3270"/>
      <c r="R5" s="3252"/>
      <c r="S5" s="3253"/>
      <c r="T5" s="3252"/>
      <c r="U5" s="3253"/>
      <c r="V5" s="3275"/>
      <c r="W5" s="3275"/>
      <c r="X5" s="1812"/>
      <c r="Y5" s="3252"/>
      <c r="Z5" s="3253"/>
      <c r="AA5" s="3246"/>
      <c r="AB5" s="3246"/>
      <c r="AC5" s="3246"/>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1812"/>
      <c r="Y6" s="3273"/>
      <c r="Z6" s="3274"/>
      <c r="AA6" s="3247"/>
      <c r="AB6" s="3247"/>
      <c r="AC6" s="3247"/>
    </row>
    <row r="7" spans="1:29" s="117" customFormat="1" ht="15" thickBot="1">
      <c r="A7" s="408" t="s">
        <v>2544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8" t="s">
        <v>2545</v>
      </c>
      <c r="Q7" s="3276"/>
      <c r="R7" s="769" t="s">
        <v>17</v>
      </c>
      <c r="S7" s="770">
        <f t="shared" ref="S7:S14" si="0">F7</f>
        <v>0</v>
      </c>
      <c r="T7" s="769" t="s">
        <v>17</v>
      </c>
      <c r="U7" s="770">
        <f t="shared" ref="U7:U14" si="1">H7</f>
        <v>0</v>
      </c>
      <c r="V7" s="769" t="s">
        <v>17</v>
      </c>
      <c r="W7" s="770">
        <f t="shared" ref="W7:W14" si="2">J7</f>
        <v>0</v>
      </c>
      <c r="X7" s="771"/>
      <c r="Y7" s="3248" t="s">
        <v>2545</v>
      </c>
      <c r="Z7" s="3249"/>
      <c r="AA7" s="772" t="e">
        <f>D7/F7</f>
        <v>#DIV/0!</v>
      </c>
      <c r="AB7" s="772" t="e">
        <f>D7/H7</f>
        <v>#DIV/0!</v>
      </c>
      <c r="AC7" s="772"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8" t="s">
        <v>2548</v>
      </c>
      <c r="Q8" s="3249"/>
      <c r="R8" s="769" t="s">
        <v>17</v>
      </c>
      <c r="S8" s="770">
        <f t="shared" si="0"/>
        <v>0</v>
      </c>
      <c r="T8" s="769" t="s">
        <v>17</v>
      </c>
      <c r="U8" s="770">
        <f t="shared" si="1"/>
        <v>0</v>
      </c>
      <c r="V8" s="769" t="s">
        <v>17</v>
      </c>
      <c r="W8" s="770">
        <f t="shared" si="2"/>
        <v>0</v>
      </c>
      <c r="X8" s="771"/>
      <c r="Y8" s="3248" t="s">
        <v>2548</v>
      </c>
      <c r="Z8" s="3249"/>
      <c r="AA8" s="772" t="e">
        <f t="shared" ref="AA8:AA36" si="3">D8/F8</f>
        <v>#DIV/0!</v>
      </c>
      <c r="AB8" s="772" t="e">
        <f t="shared" ref="AB8:AB36" si="4">D8/H8</f>
        <v>#DIV/0!</v>
      </c>
      <c r="AC8" s="772"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80" t="s">
        <v>2551</v>
      </c>
      <c r="Q9" s="1794" t="str">
        <f t="shared" ref="Q9:Q14" si="6">B9</f>
        <v>用途</v>
      </c>
      <c r="R9" s="769" t="s">
        <v>17</v>
      </c>
      <c r="S9" s="770">
        <f t="shared" si="0"/>
        <v>100</v>
      </c>
      <c r="T9" s="769" t="s">
        <v>17</v>
      </c>
      <c r="U9" s="770">
        <f t="shared" si="1"/>
        <v>100</v>
      </c>
      <c r="V9" s="769" t="s">
        <v>17</v>
      </c>
      <c r="W9" s="770">
        <f t="shared" si="2"/>
        <v>100</v>
      </c>
      <c r="X9" s="771"/>
      <c r="Y9" s="3096" t="s">
        <v>2552</v>
      </c>
      <c r="Z9" s="55" t="str">
        <f t="shared" ref="Z9:Z14" si="7">Q9</f>
        <v>用途</v>
      </c>
      <c r="AA9" s="772">
        <f t="shared" si="3"/>
        <v>1</v>
      </c>
      <c r="AB9" s="772">
        <f t="shared" si="4"/>
        <v>1</v>
      </c>
      <c r="AC9" s="772">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80"/>
      <c r="Q10" s="1794"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80"/>
      <c r="Q11" s="1794">
        <f t="shared" si="6"/>
        <v>111</v>
      </c>
      <c r="R11" s="769" t="s">
        <v>17</v>
      </c>
      <c r="S11" s="770">
        <f t="shared" si="0"/>
        <v>100</v>
      </c>
      <c r="T11" s="769" t="s">
        <v>17</v>
      </c>
      <c r="U11" s="770">
        <f t="shared" si="1"/>
        <v>100</v>
      </c>
      <c r="V11" s="769" t="s">
        <v>17</v>
      </c>
      <c r="W11" s="770">
        <f t="shared" si="2"/>
        <v>100</v>
      </c>
      <c r="X11" s="771"/>
      <c r="Y11" s="309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80"/>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80"/>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82" t="s">
        <v>2556</v>
      </c>
      <c r="Q14" s="1809" t="str">
        <f t="shared" si="6"/>
        <v>交通便捷度</v>
      </c>
      <c r="R14" s="773" t="s">
        <v>17</v>
      </c>
      <c r="S14" s="774">
        <f t="shared" si="0"/>
        <v>100</v>
      </c>
      <c r="T14" s="773" t="s">
        <v>17</v>
      </c>
      <c r="U14" s="774">
        <f t="shared" si="1"/>
        <v>100</v>
      </c>
      <c r="V14" s="773" t="s">
        <v>17</v>
      </c>
      <c r="W14" s="774">
        <f t="shared" si="2"/>
        <v>100</v>
      </c>
      <c r="X14" s="1812"/>
      <c r="Y14" s="3282"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83"/>
      <c r="Q15" s="1809"/>
      <c r="R15" s="773"/>
      <c r="S15" s="774"/>
      <c r="T15" s="773"/>
      <c r="U15" s="774"/>
      <c r="V15" s="773"/>
      <c r="W15" s="774"/>
      <c r="X15" s="1812"/>
      <c r="Y15" s="3283"/>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83"/>
      <c r="Q16" s="1809" t="str">
        <f>B16</f>
        <v>公共配套设施</v>
      </c>
      <c r="R16" s="773" t="s">
        <v>17</v>
      </c>
      <c r="S16" s="774">
        <f>F16</f>
        <v>100</v>
      </c>
      <c r="T16" s="773" t="s">
        <v>17</v>
      </c>
      <c r="U16" s="774">
        <f>H16</f>
        <v>100</v>
      </c>
      <c r="V16" s="773" t="s">
        <v>17</v>
      </c>
      <c r="W16" s="774">
        <f>J16</f>
        <v>100</v>
      </c>
      <c r="X16" s="1812"/>
      <c r="Y16" s="328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9"/>
      <c r="M17" s="1130"/>
      <c r="N17" s="1130"/>
      <c r="O17" s="1130"/>
      <c r="P17" s="3283"/>
      <c r="Q17" s="1809"/>
      <c r="R17" s="773"/>
      <c r="S17" s="774"/>
      <c r="T17" s="773"/>
      <c r="U17" s="774"/>
      <c r="V17" s="773"/>
      <c r="W17" s="774"/>
      <c r="X17" s="1812"/>
      <c r="Y17" s="3283"/>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83"/>
      <c r="Q18" s="1809" t="str">
        <f>B18</f>
        <v>基础设施水平</v>
      </c>
      <c r="R18" s="773" t="s">
        <v>17</v>
      </c>
      <c r="S18" s="774">
        <f>F18</f>
        <v>100</v>
      </c>
      <c r="T18" s="773" t="s">
        <v>17</v>
      </c>
      <c r="U18" s="774">
        <f>H18</f>
        <v>100</v>
      </c>
      <c r="V18" s="773" t="s">
        <v>17</v>
      </c>
      <c r="W18" s="774">
        <f>J18</f>
        <v>100</v>
      </c>
      <c r="X18" s="1812"/>
      <c r="Y18" s="328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2"/>
      <c r="L19" s="1139"/>
      <c r="M19" s="1130"/>
      <c r="N19" s="1130"/>
      <c r="O19" s="1130"/>
      <c r="P19" s="3283"/>
      <c r="Q19" s="1809"/>
      <c r="R19" s="773"/>
      <c r="S19" s="774"/>
      <c r="T19" s="773"/>
      <c r="U19" s="774"/>
      <c r="V19" s="773"/>
      <c r="W19" s="774"/>
      <c r="X19" s="1812"/>
      <c r="Y19" s="3283"/>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83"/>
      <c r="Q20" s="1809" t="str">
        <f>B20</f>
        <v>自然及人文环境</v>
      </c>
      <c r="R20" s="773" t="s">
        <v>17</v>
      </c>
      <c r="S20" s="774">
        <f>F20</f>
        <v>100</v>
      </c>
      <c r="T20" s="773" t="s">
        <v>17</v>
      </c>
      <c r="U20" s="774">
        <f>H20</f>
        <v>100</v>
      </c>
      <c r="V20" s="773" t="s">
        <v>17</v>
      </c>
      <c r="W20" s="774">
        <f>J20</f>
        <v>100</v>
      </c>
      <c r="X20" s="1812"/>
      <c r="Y20" s="328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83"/>
      <c r="Q21" s="1809"/>
      <c r="R21" s="773"/>
      <c r="S21" s="774"/>
      <c r="T21" s="773"/>
      <c r="U21" s="774"/>
      <c r="V21" s="773"/>
      <c r="W21" s="774"/>
      <c r="X21" s="1812"/>
      <c r="Y21" s="3283"/>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83"/>
      <c r="Q22" s="1809" t="str">
        <f>B22</f>
        <v>楼层</v>
      </c>
      <c r="R22" s="773" t="s">
        <v>17</v>
      </c>
      <c r="S22" s="774">
        <f>F22</f>
        <v>100</v>
      </c>
      <c r="T22" s="773" t="s">
        <v>17</v>
      </c>
      <c r="U22" s="774">
        <f>H22</f>
        <v>100</v>
      </c>
      <c r="V22" s="773" t="s">
        <v>17</v>
      </c>
      <c r="W22" s="774">
        <f>J22</f>
        <v>100</v>
      </c>
      <c r="X22" s="1812"/>
      <c r="Y22" s="328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83"/>
      <c r="Q23" s="1809">
        <f>B23</f>
        <v>111</v>
      </c>
      <c r="R23" s="773" t="s">
        <v>17</v>
      </c>
      <c r="S23" s="774">
        <f>F23</f>
        <v>100</v>
      </c>
      <c r="T23" s="773" t="s">
        <v>17</v>
      </c>
      <c r="U23" s="774">
        <f>H23</f>
        <v>100</v>
      </c>
      <c r="V23" s="773" t="s">
        <v>17</v>
      </c>
      <c r="W23" s="774">
        <f>J23</f>
        <v>100</v>
      </c>
      <c r="X23" s="1812"/>
      <c r="Y23" s="328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83"/>
      <c r="Q24" s="1809">
        <f t="shared" ref="Q24:Q36" si="11">B24</f>
        <v>111</v>
      </c>
      <c r="R24" s="773" t="s">
        <v>17</v>
      </c>
      <c r="S24" s="774">
        <f>F24</f>
        <v>100</v>
      </c>
      <c r="T24" s="773" t="s">
        <v>17</v>
      </c>
      <c r="U24" s="774">
        <f>H24</f>
        <v>100</v>
      </c>
      <c r="V24" s="773" t="s">
        <v>17</v>
      </c>
      <c r="W24" s="774">
        <f>J24</f>
        <v>100</v>
      </c>
      <c r="X24" s="1812"/>
      <c r="Y24" s="3283"/>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83"/>
      <c r="Q25" s="1794">
        <f t="shared" si="11"/>
        <v>111</v>
      </c>
      <c r="R25" s="769" t="s">
        <v>17</v>
      </c>
      <c r="S25" s="770">
        <f>F25</f>
        <v>100</v>
      </c>
      <c r="T25" s="769" t="s">
        <v>17</v>
      </c>
      <c r="U25" s="770">
        <f>H25</f>
        <v>100</v>
      </c>
      <c r="V25" s="769" t="s">
        <v>17</v>
      </c>
      <c r="W25" s="770">
        <f>J25</f>
        <v>100</v>
      </c>
      <c r="X25" s="771"/>
      <c r="Y25" s="3283"/>
      <c r="Z25" s="55">
        <f>Q25</f>
        <v>111</v>
      </c>
      <c r="AA25" s="1810">
        <f>D25/F25</f>
        <v>1</v>
      </c>
      <c r="AB25" s="1810">
        <f>D25/H25</f>
        <v>1</v>
      </c>
      <c r="AC25" s="1810">
        <f>D25/J25</f>
        <v>1</v>
      </c>
    </row>
    <row r="26" spans="1:29" ht="30">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09"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87"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87"/>
      <c r="Q27" s="775" t="str">
        <f t="shared" si="11"/>
        <v>项目停车位配比</v>
      </c>
      <c r="R27" s="776" t="s">
        <v>17</v>
      </c>
      <c r="S27" s="777">
        <f t="shared" si="12"/>
        <v>100</v>
      </c>
      <c r="T27" s="776" t="s">
        <v>17</v>
      </c>
      <c r="U27" s="777">
        <f t="shared" si="13"/>
        <v>100</v>
      </c>
      <c r="V27" s="776" t="s">
        <v>17</v>
      </c>
      <c r="W27" s="777">
        <f t="shared" si="14"/>
        <v>100</v>
      </c>
      <c r="X27" s="778"/>
      <c r="Y27" s="3287"/>
      <c r="Z27" s="779"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87"/>
      <c r="Q28" s="1809" t="str">
        <f t="shared" si="11"/>
        <v>公共部分装修</v>
      </c>
      <c r="R28" s="773" t="s">
        <v>17</v>
      </c>
      <c r="S28" s="774">
        <f t="shared" si="12"/>
        <v>100</v>
      </c>
      <c r="T28" s="773" t="s">
        <v>17</v>
      </c>
      <c r="U28" s="774">
        <f t="shared" si="13"/>
        <v>100</v>
      </c>
      <c r="V28" s="773" t="s">
        <v>17</v>
      </c>
      <c r="W28" s="774">
        <f t="shared" si="14"/>
        <v>100</v>
      </c>
      <c r="X28" s="1812"/>
      <c r="Y28" s="3287"/>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87"/>
      <c r="Q29" s="1809" t="str">
        <f t="shared" si="11"/>
        <v>成新率</v>
      </c>
      <c r="R29" s="773" t="s">
        <v>17</v>
      </c>
      <c r="S29" s="774" t="e">
        <f t="shared" si="12"/>
        <v>#N/A</v>
      </c>
      <c r="T29" s="773" t="s">
        <v>17</v>
      </c>
      <c r="U29" s="774" t="e">
        <f t="shared" si="13"/>
        <v>#N/A</v>
      </c>
      <c r="V29" s="773" t="s">
        <v>17</v>
      </c>
      <c r="W29" s="774" t="e">
        <f t="shared" si="14"/>
        <v>#N/A</v>
      </c>
      <c r="X29" s="1812"/>
      <c r="Y29" s="3287"/>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87"/>
      <c r="Q30" s="1809" t="str">
        <f t="shared" si="11"/>
        <v>物业等级</v>
      </c>
      <c r="R30" s="773" t="s">
        <v>17</v>
      </c>
      <c r="S30" s="774">
        <f t="shared" si="12"/>
        <v>100</v>
      </c>
      <c r="T30" s="773" t="s">
        <v>17</v>
      </c>
      <c r="U30" s="774">
        <f t="shared" si="13"/>
        <v>100</v>
      </c>
      <c r="V30" s="773" t="s">
        <v>17</v>
      </c>
      <c r="W30" s="774">
        <f t="shared" si="14"/>
        <v>100</v>
      </c>
      <c r="X30" s="1812"/>
      <c r="Y30" s="3287"/>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87"/>
      <c r="Q31" s="1794" t="str">
        <f t="shared" si="11"/>
        <v>停车位面积</v>
      </c>
      <c r="R31" s="769" t="s">
        <v>17</v>
      </c>
      <c r="S31" s="770" t="e">
        <f t="shared" si="12"/>
        <v>#N/A</v>
      </c>
      <c r="T31" s="769" t="s">
        <v>17</v>
      </c>
      <c r="U31" s="770" t="e">
        <f t="shared" si="13"/>
        <v>#N/A</v>
      </c>
      <c r="V31" s="769" t="s">
        <v>17</v>
      </c>
      <c r="W31" s="770" t="e">
        <f t="shared" si="14"/>
        <v>#N/A</v>
      </c>
      <c r="X31" s="771"/>
      <c r="Y31" s="3287"/>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87" t="s">
        <v>2561</v>
      </c>
      <c r="Q32" s="1809" t="str">
        <f t="shared" si="11"/>
        <v>车位类型</v>
      </c>
      <c r="R32" s="773" t="s">
        <v>17</v>
      </c>
      <c r="S32" s="774">
        <f t="shared" si="12"/>
        <v>100</v>
      </c>
      <c r="T32" s="773" t="s">
        <v>17</v>
      </c>
      <c r="U32" s="774">
        <f t="shared" si="13"/>
        <v>100</v>
      </c>
      <c r="V32" s="773" t="s">
        <v>17</v>
      </c>
      <c r="W32" s="774">
        <f t="shared" si="14"/>
        <v>100</v>
      </c>
      <c r="X32" s="1812"/>
      <c r="Y32" s="3287"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87"/>
      <c r="Q33" s="1809" t="str">
        <f t="shared" si="11"/>
        <v>是否直接入户</v>
      </c>
      <c r="R33" s="773" t="s">
        <v>17</v>
      </c>
      <c r="S33" s="774">
        <f t="shared" si="12"/>
        <v>100</v>
      </c>
      <c r="T33" s="773" t="s">
        <v>17</v>
      </c>
      <c r="U33" s="774">
        <f t="shared" si="13"/>
        <v>100</v>
      </c>
      <c r="V33" s="773" t="s">
        <v>17</v>
      </c>
      <c r="W33" s="774">
        <f t="shared" si="14"/>
        <v>100</v>
      </c>
      <c r="X33" s="1812"/>
      <c r="Y33" s="328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87"/>
      <c r="Q34" s="1809">
        <f t="shared" si="11"/>
        <v>111</v>
      </c>
      <c r="R34" s="773" t="s">
        <v>17</v>
      </c>
      <c r="S34" s="774">
        <f t="shared" si="12"/>
        <v>100</v>
      </c>
      <c r="T34" s="773" t="s">
        <v>17</v>
      </c>
      <c r="U34" s="774">
        <f t="shared" si="13"/>
        <v>100</v>
      </c>
      <c r="V34" s="773" t="s">
        <v>17</v>
      </c>
      <c r="W34" s="774">
        <f t="shared" si="14"/>
        <v>100</v>
      </c>
      <c r="X34" s="1812"/>
      <c r="Y34" s="328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87"/>
      <c r="Q35" s="775">
        <f t="shared" si="11"/>
        <v>111</v>
      </c>
      <c r="R35" s="776" t="s">
        <v>17</v>
      </c>
      <c r="S35" s="777">
        <f t="shared" si="12"/>
        <v>100</v>
      </c>
      <c r="T35" s="776" t="s">
        <v>17</v>
      </c>
      <c r="U35" s="777">
        <f t="shared" si="13"/>
        <v>100</v>
      </c>
      <c r="V35" s="776" t="s">
        <v>17</v>
      </c>
      <c r="W35" s="777">
        <f t="shared" si="14"/>
        <v>100</v>
      </c>
      <c r="X35" s="778"/>
      <c r="Y35" s="3287"/>
      <c r="Z35" s="779">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87"/>
      <c r="Q36" s="1809">
        <f t="shared" si="11"/>
        <v>111</v>
      </c>
      <c r="R36" s="773" t="s">
        <v>17</v>
      </c>
      <c r="S36" s="774">
        <f t="shared" si="12"/>
        <v>100</v>
      </c>
      <c r="T36" s="773" t="s">
        <v>17</v>
      </c>
      <c r="U36" s="774">
        <f t="shared" si="13"/>
        <v>100</v>
      </c>
      <c r="V36" s="773" t="s">
        <v>17</v>
      </c>
      <c r="W36" s="774">
        <f t="shared" si="14"/>
        <v>100</v>
      </c>
      <c r="X36" s="1812"/>
      <c r="Y36" s="3287"/>
      <c r="Z36" s="1813">
        <f t="shared" si="15"/>
        <v>111</v>
      </c>
      <c r="AA36" s="1810">
        <f t="shared" si="3"/>
        <v>1</v>
      </c>
      <c r="AB36" s="1810">
        <f t="shared" si="4"/>
        <v>1</v>
      </c>
      <c r="AC36" s="1810">
        <f t="shared" si="5"/>
        <v>1</v>
      </c>
    </row>
    <row r="37" spans="1:29" ht="14.4">
      <c r="A37" s="479" t="s">
        <v>2716</v>
      </c>
      <c r="B37" s="2694" t="s">
        <v>2717</v>
      </c>
      <c r="C37" s="1406" t="s">
        <v>1</v>
      </c>
      <c r="D37" s="1407"/>
      <c r="E37" s="1408"/>
      <c r="F37" s="1409"/>
      <c r="G37" s="1410"/>
      <c r="H37" s="1411"/>
      <c r="I37" s="1408"/>
      <c r="J37" s="1411"/>
      <c r="K37" s="619"/>
      <c r="L37" s="1142"/>
      <c r="M37" s="1143"/>
      <c r="N37" s="1130"/>
      <c r="O37" s="1143"/>
      <c r="P37" s="3280" t="str">
        <f>A37</f>
        <v>成交单价</v>
      </c>
      <c r="Q37" s="3280"/>
      <c r="R37" s="3281">
        <f>E37</f>
        <v>0</v>
      </c>
      <c r="S37" s="3281"/>
      <c r="T37" s="3281">
        <f>G37</f>
        <v>0</v>
      </c>
      <c r="U37" s="3281"/>
      <c r="V37" s="3281">
        <f>I37</f>
        <v>0</v>
      </c>
      <c r="W37" s="3281"/>
      <c r="X37" s="758"/>
      <c r="Y37" s="780"/>
      <c r="Z37" s="758"/>
      <c r="AA37" s="758"/>
      <c r="AB37" s="758"/>
      <c r="AC37" s="758"/>
    </row>
    <row r="38" spans="1:29" ht="1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80" t="str">
        <f>A38</f>
        <v>比较价值（元/平方米）</v>
      </c>
      <c r="Q38" s="3280"/>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8"/>
      <c r="Y38" s="758"/>
      <c r="Z38" s="758"/>
      <c r="AA38" s="758"/>
      <c r="AB38" s="758"/>
      <c r="AC38" s="758"/>
    </row>
    <row r="39" spans="1:29" ht="15" thickBot="1">
      <c r="A39" s="492" t="s">
        <v>2719</v>
      </c>
      <c r="B39" s="493"/>
      <c r="C39" s="1416" t="e">
        <f>R39</f>
        <v>#DIV/0!</v>
      </c>
      <c r="D39" s="1416"/>
      <c r="E39" s="1416"/>
      <c r="F39" s="1416"/>
      <c r="G39" s="1416"/>
      <c r="H39" s="1416"/>
      <c r="I39" s="1416"/>
      <c r="J39" s="1416"/>
      <c r="K39" s="621"/>
      <c r="L39" s="1142"/>
      <c r="M39" s="1143"/>
      <c r="N39" s="1143"/>
      <c r="O39" s="1143"/>
      <c r="P39" s="3277" t="str">
        <f>A39</f>
        <v>估价对象XX用房的比较价值（楼面单价，元/平方米）</v>
      </c>
      <c r="Q39" s="3278"/>
      <c r="R39" s="3279" t="e">
        <f>IF(F1="售价",ROUND(AVERAGE(R38:V38),0),ROUND(AVERAGE(R38:V38),1))</f>
        <v>#DIV/0!</v>
      </c>
      <c r="S39" s="3279"/>
      <c r="T39" s="3279"/>
      <c r="U39" s="3279"/>
      <c r="V39" s="3279"/>
      <c r="W39" s="327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2724</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5"/>
      <c r="D2" s="1123" t="e">
        <f ca="1">SUMIF(INDIRECT("'"&amp;F2&amp;"'"&amp;"!A:A"),"承租人权益价值",INDIRECT("'"&amp;F2&amp;"'"&amp;"!c:c"))</f>
        <v>#REF!</v>
      </c>
      <c r="E2" s="2586" t="s">
        <v>2324</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46" t="s">
        <v>2644</v>
      </c>
      <c r="AC4" s="3245" t="s">
        <v>2645</v>
      </c>
    </row>
    <row r="5" spans="1:29">
      <c r="A5" s="404"/>
      <c r="B5" s="405"/>
      <c r="C5" s="3256" t="s">
        <v>2538</v>
      </c>
      <c r="D5" s="3257"/>
      <c r="E5" s="3254" t="s">
        <v>2539</v>
      </c>
      <c r="F5" s="3255"/>
      <c r="G5" s="3256" t="s">
        <v>2540</v>
      </c>
      <c r="H5" s="3257"/>
      <c r="I5" s="3256" t="s">
        <v>2541</v>
      </c>
      <c r="J5" s="3257"/>
      <c r="K5" s="610"/>
      <c r="L5" s="1129"/>
      <c r="M5" s="1130"/>
      <c r="N5" s="1130"/>
      <c r="O5" s="1130"/>
      <c r="P5" s="3269"/>
      <c r="Q5" s="3270"/>
      <c r="R5" s="3252"/>
      <c r="S5" s="3253"/>
      <c r="T5" s="3252"/>
      <c r="U5" s="3253"/>
      <c r="V5" s="3275"/>
      <c r="W5" s="3275"/>
      <c r="X5" s="1812"/>
      <c r="Y5" s="3252"/>
      <c r="Z5" s="3253"/>
      <c r="AA5" s="3246"/>
      <c r="AB5" s="3246"/>
      <c r="AC5" s="3246"/>
    </row>
    <row r="6" spans="1:29"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1812"/>
      <c r="Y6" s="3273"/>
      <c r="Z6" s="3274"/>
      <c r="AA6" s="3247"/>
      <c r="AB6" s="3247"/>
      <c r="AC6" s="3247"/>
    </row>
    <row r="7" spans="1:29" s="117" customFormat="1" ht="15" thickBot="1">
      <c r="A7" s="408" t="s">
        <v>2544</v>
      </c>
      <c r="B7" s="409"/>
      <c r="C7" s="410">
        <f>'数据-取费表'!B2</f>
        <v>43734</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248" t="s">
        <v>2545</v>
      </c>
      <c r="Q7" s="3276"/>
      <c r="R7" s="769" t="s">
        <v>17</v>
      </c>
      <c r="S7" s="770">
        <f t="shared" ref="S7:S14" si="0">F7</f>
        <v>0</v>
      </c>
      <c r="T7" s="769" t="s">
        <v>17</v>
      </c>
      <c r="U7" s="770">
        <f t="shared" ref="U7:U14" si="1">H7</f>
        <v>0</v>
      </c>
      <c r="V7" s="769" t="s">
        <v>17</v>
      </c>
      <c r="W7" s="770">
        <f t="shared" ref="W7:W14" si="2">J7</f>
        <v>0</v>
      </c>
      <c r="X7" s="771"/>
      <c r="Y7" s="3248" t="s">
        <v>2545</v>
      </c>
      <c r="Z7" s="3249"/>
      <c r="AA7" s="772" t="e">
        <f>D7/F7</f>
        <v>#DIV/0!</v>
      </c>
      <c r="AB7" s="772" t="e">
        <f>D7/H7</f>
        <v>#DIV/0!</v>
      </c>
      <c r="AC7" s="772"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8" t="s">
        <v>2548</v>
      </c>
      <c r="Q8" s="3249"/>
      <c r="R8" s="769" t="s">
        <v>17</v>
      </c>
      <c r="S8" s="770">
        <f t="shared" si="0"/>
        <v>0</v>
      </c>
      <c r="T8" s="769" t="s">
        <v>17</v>
      </c>
      <c r="U8" s="770">
        <f t="shared" si="1"/>
        <v>0</v>
      </c>
      <c r="V8" s="769" t="s">
        <v>17</v>
      </c>
      <c r="W8" s="770">
        <f t="shared" si="2"/>
        <v>0</v>
      </c>
      <c r="X8" s="771"/>
      <c r="Y8" s="3248" t="s">
        <v>2548</v>
      </c>
      <c r="Z8" s="3249"/>
      <c r="AA8" s="772" t="e">
        <f t="shared" ref="AA8:AA34" si="3">D8/F8</f>
        <v>#DIV/0!</v>
      </c>
      <c r="AB8" s="772" t="e">
        <f t="shared" ref="AB8:AB34" si="4">D8/H8</f>
        <v>#DIV/0!</v>
      </c>
      <c r="AC8" s="772"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80" t="s">
        <v>2551</v>
      </c>
      <c r="Q9" s="1794" t="str">
        <f t="shared" ref="Q9:Q14" si="6">B9</f>
        <v>用途</v>
      </c>
      <c r="R9" s="769" t="s">
        <v>17</v>
      </c>
      <c r="S9" s="770">
        <f t="shared" si="0"/>
        <v>100</v>
      </c>
      <c r="T9" s="769" t="s">
        <v>17</v>
      </c>
      <c r="U9" s="770">
        <f t="shared" si="1"/>
        <v>100</v>
      </c>
      <c r="V9" s="769" t="s">
        <v>17</v>
      </c>
      <c r="W9" s="770">
        <f t="shared" si="2"/>
        <v>100</v>
      </c>
      <c r="X9" s="771"/>
      <c r="Y9" s="3096" t="s">
        <v>2552</v>
      </c>
      <c r="Z9" s="55" t="str">
        <f t="shared" ref="Z9:Z14" si="7">Q9</f>
        <v>用途</v>
      </c>
      <c r="AA9" s="772">
        <f t="shared" si="3"/>
        <v>1</v>
      </c>
      <c r="AB9" s="772">
        <f t="shared" si="4"/>
        <v>1</v>
      </c>
      <c r="AC9" s="772">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80"/>
      <c r="Q10" s="1794"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80"/>
      <c r="Q11" s="1794">
        <f t="shared" si="6"/>
        <v>111</v>
      </c>
      <c r="R11" s="769" t="s">
        <v>17</v>
      </c>
      <c r="S11" s="770">
        <f t="shared" si="0"/>
        <v>100</v>
      </c>
      <c r="T11" s="769" t="s">
        <v>17</v>
      </c>
      <c r="U11" s="770">
        <f t="shared" si="1"/>
        <v>100</v>
      </c>
      <c r="V11" s="769" t="s">
        <v>17</v>
      </c>
      <c r="W11" s="770">
        <f t="shared" si="2"/>
        <v>100</v>
      </c>
      <c r="X11" s="771"/>
      <c r="Y11" s="3096"/>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80"/>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280"/>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82" t="s">
        <v>2556</v>
      </c>
      <c r="Q14" s="1809" t="str">
        <f t="shared" si="6"/>
        <v>交通便捷度</v>
      </c>
      <c r="R14" s="773" t="s">
        <v>17</v>
      </c>
      <c r="S14" s="774">
        <f t="shared" si="0"/>
        <v>100</v>
      </c>
      <c r="T14" s="773" t="s">
        <v>17</v>
      </c>
      <c r="U14" s="774">
        <f t="shared" si="1"/>
        <v>100</v>
      </c>
      <c r="V14" s="773" t="s">
        <v>17</v>
      </c>
      <c r="W14" s="774">
        <f t="shared" si="2"/>
        <v>100</v>
      </c>
      <c r="X14" s="1812"/>
      <c r="Y14" s="3282"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83"/>
      <c r="Q15" s="1809"/>
      <c r="R15" s="773"/>
      <c r="S15" s="774"/>
      <c r="T15" s="773"/>
      <c r="U15" s="774"/>
      <c r="V15" s="773"/>
      <c r="W15" s="774"/>
      <c r="X15" s="1812"/>
      <c r="Y15" s="3283"/>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83"/>
      <c r="Q16" s="1809" t="str">
        <f>B16</f>
        <v>公共配套设施</v>
      </c>
      <c r="R16" s="773" t="s">
        <v>17</v>
      </c>
      <c r="S16" s="774">
        <f>F16</f>
        <v>100</v>
      </c>
      <c r="T16" s="773" t="s">
        <v>17</v>
      </c>
      <c r="U16" s="774">
        <f>H16</f>
        <v>100</v>
      </c>
      <c r="V16" s="773" t="s">
        <v>17</v>
      </c>
      <c r="W16" s="774">
        <f>J16</f>
        <v>100</v>
      </c>
      <c r="X16" s="1812"/>
      <c r="Y16" s="328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283"/>
      <c r="Q17" s="1809"/>
      <c r="R17" s="773"/>
      <c r="S17" s="774"/>
      <c r="T17" s="773"/>
      <c r="U17" s="774"/>
      <c r="V17" s="773"/>
      <c r="W17" s="774"/>
      <c r="X17" s="1812"/>
      <c r="Y17" s="3283"/>
      <c r="Z17" s="1813"/>
      <c r="AA17" s="1810">
        <v>1</v>
      </c>
      <c r="AB17" s="1810">
        <v>1</v>
      </c>
      <c r="AC17" s="1810">
        <v>1</v>
      </c>
    </row>
    <row r="18" spans="1:29" ht="15">
      <c r="A18" s="428"/>
      <c r="B18" s="1383"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83"/>
      <c r="Q18" s="1809" t="str">
        <f>B18</f>
        <v>基础设施水平</v>
      </c>
      <c r="R18" s="773" t="s">
        <v>17</v>
      </c>
      <c r="S18" s="774">
        <f>F18</f>
        <v>100</v>
      </c>
      <c r="T18" s="773" t="s">
        <v>17</v>
      </c>
      <c r="U18" s="774">
        <f>H18</f>
        <v>100</v>
      </c>
      <c r="V18" s="773" t="s">
        <v>17</v>
      </c>
      <c r="W18" s="774">
        <f>J18</f>
        <v>100</v>
      </c>
      <c r="X18" s="1812"/>
      <c r="Y18" s="3283"/>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283"/>
      <c r="Q19" s="1809"/>
      <c r="R19" s="773"/>
      <c r="S19" s="774"/>
      <c r="T19" s="773"/>
      <c r="U19" s="774"/>
      <c r="V19" s="773"/>
      <c r="W19" s="774"/>
      <c r="X19" s="1812"/>
      <c r="Y19" s="3283"/>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83"/>
      <c r="Q20" s="1809" t="str">
        <f>B20</f>
        <v>自然及人文环境</v>
      </c>
      <c r="R20" s="773" t="s">
        <v>17</v>
      </c>
      <c r="S20" s="774">
        <f>F20</f>
        <v>100</v>
      </c>
      <c r="T20" s="773" t="s">
        <v>17</v>
      </c>
      <c r="U20" s="774">
        <f>H20</f>
        <v>100</v>
      </c>
      <c r="V20" s="773" t="s">
        <v>17</v>
      </c>
      <c r="W20" s="774">
        <f>J20</f>
        <v>100</v>
      </c>
      <c r="X20" s="1812"/>
      <c r="Y20" s="328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83"/>
      <c r="Q21" s="1809"/>
      <c r="R21" s="773"/>
      <c r="S21" s="774"/>
      <c r="T21" s="773"/>
      <c r="U21" s="774"/>
      <c r="V21" s="773"/>
      <c r="W21" s="774"/>
      <c r="X21" s="1812"/>
      <c r="Y21" s="3283"/>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83"/>
      <c r="Q22" s="1809" t="str">
        <f>B22</f>
        <v>楼层</v>
      </c>
      <c r="R22" s="773" t="s">
        <v>17</v>
      </c>
      <c r="S22" s="774">
        <f>F22</f>
        <v>100</v>
      </c>
      <c r="T22" s="773" t="s">
        <v>17</v>
      </c>
      <c r="U22" s="774">
        <f>H22</f>
        <v>100</v>
      </c>
      <c r="V22" s="773" t="s">
        <v>17</v>
      </c>
      <c r="W22" s="774">
        <f>J22</f>
        <v>100</v>
      </c>
      <c r="X22" s="1812"/>
      <c r="Y22" s="328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83"/>
      <c r="Q23" s="1809">
        <f>B23</f>
        <v>111</v>
      </c>
      <c r="R23" s="773" t="s">
        <v>17</v>
      </c>
      <c r="S23" s="774">
        <f>F23</f>
        <v>100</v>
      </c>
      <c r="T23" s="773" t="s">
        <v>17</v>
      </c>
      <c r="U23" s="774">
        <f>H23</f>
        <v>100</v>
      </c>
      <c r="V23" s="773" t="s">
        <v>17</v>
      </c>
      <c r="W23" s="774">
        <f>J23</f>
        <v>100</v>
      </c>
      <c r="X23" s="1812"/>
      <c r="Y23" s="328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83"/>
      <c r="Q24" s="1809">
        <f t="shared" ref="Q24:Q34" si="11">B24</f>
        <v>111</v>
      </c>
      <c r="R24" s="773" t="s">
        <v>17</v>
      </c>
      <c r="S24" s="774">
        <f>F24</f>
        <v>100</v>
      </c>
      <c r="T24" s="773" t="s">
        <v>17</v>
      </c>
      <c r="U24" s="774">
        <f>H24</f>
        <v>100</v>
      </c>
      <c r="V24" s="773" t="s">
        <v>17</v>
      </c>
      <c r="W24" s="774">
        <f>J24</f>
        <v>100</v>
      </c>
      <c r="X24" s="1812"/>
      <c r="Y24" s="3283"/>
      <c r="Z24" s="1813">
        <f>Q24</f>
        <v>111</v>
      </c>
      <c r="AA24" s="1810">
        <f t="shared" si="3"/>
        <v>1</v>
      </c>
      <c r="AB24" s="1810">
        <f t="shared" si="4"/>
        <v>1</v>
      </c>
      <c r="AC24" s="1810">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283"/>
      <c r="Q25" s="1794">
        <f t="shared" si="11"/>
        <v>111</v>
      </c>
      <c r="R25" s="769" t="s">
        <v>17</v>
      </c>
      <c r="S25" s="770">
        <f>F25</f>
        <v>100</v>
      </c>
      <c r="T25" s="769" t="s">
        <v>17</v>
      </c>
      <c r="U25" s="770">
        <f>H25</f>
        <v>100</v>
      </c>
      <c r="V25" s="769" t="s">
        <v>17</v>
      </c>
      <c r="W25" s="770">
        <f>J25</f>
        <v>100</v>
      </c>
      <c r="X25" s="771"/>
      <c r="Y25" s="3283"/>
      <c r="Z25" s="55">
        <f>Q25</f>
        <v>111</v>
      </c>
      <c r="AA25" s="1810">
        <f>D25/F25</f>
        <v>1</v>
      </c>
      <c r="AB25" s="1810">
        <f>D25/H25</f>
        <v>1</v>
      </c>
      <c r="AC25" s="1810">
        <f>D25/J25</f>
        <v>1</v>
      </c>
    </row>
    <row r="26" spans="1:29" ht="30">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3309"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7"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87"/>
      <c r="Q27" s="775" t="str">
        <f t="shared" si="11"/>
        <v>成新率</v>
      </c>
      <c r="R27" s="776" t="s">
        <v>17</v>
      </c>
      <c r="S27" s="777" t="e">
        <f t="shared" si="12"/>
        <v>#N/A</v>
      </c>
      <c r="T27" s="776" t="s">
        <v>17</v>
      </c>
      <c r="U27" s="777" t="e">
        <f t="shared" si="13"/>
        <v>#N/A</v>
      </c>
      <c r="V27" s="776" t="s">
        <v>17</v>
      </c>
      <c r="W27" s="777" t="e">
        <f t="shared" si="14"/>
        <v>#N/A</v>
      </c>
      <c r="X27" s="778"/>
      <c r="Y27" s="3287"/>
      <c r="Z27" s="779"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87"/>
      <c r="Q28" s="1809" t="str">
        <f t="shared" si="11"/>
        <v>物业等级</v>
      </c>
      <c r="R28" s="773" t="s">
        <v>17</v>
      </c>
      <c r="S28" s="774">
        <f t="shared" si="12"/>
        <v>100</v>
      </c>
      <c r="T28" s="773" t="s">
        <v>17</v>
      </c>
      <c r="U28" s="774">
        <f t="shared" si="13"/>
        <v>100</v>
      </c>
      <c r="V28" s="773" t="s">
        <v>17</v>
      </c>
      <c r="W28" s="774">
        <f t="shared" si="14"/>
        <v>100</v>
      </c>
      <c r="X28" s="1812"/>
      <c r="Y28" s="3287"/>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87"/>
      <c r="Q29" s="1809" t="str">
        <f t="shared" si="11"/>
        <v>有无电梯</v>
      </c>
      <c r="R29" s="773" t="s">
        <v>17</v>
      </c>
      <c r="S29" s="774">
        <f t="shared" si="12"/>
        <v>100</v>
      </c>
      <c r="T29" s="773" t="s">
        <v>17</v>
      </c>
      <c r="U29" s="774">
        <f t="shared" si="13"/>
        <v>100</v>
      </c>
      <c r="V29" s="773" t="s">
        <v>17</v>
      </c>
      <c r="W29" s="774">
        <f t="shared" si="14"/>
        <v>100</v>
      </c>
      <c r="X29" s="1812"/>
      <c r="Y29" s="3287"/>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87"/>
      <c r="Q30" s="1809" t="str">
        <f t="shared" si="11"/>
        <v>建筑面积</v>
      </c>
      <c r="R30" s="773" t="s">
        <v>17</v>
      </c>
      <c r="S30" s="774" t="e">
        <f t="shared" si="12"/>
        <v>#N/A</v>
      </c>
      <c r="T30" s="773" t="s">
        <v>17</v>
      </c>
      <c r="U30" s="774" t="e">
        <f t="shared" si="13"/>
        <v>#N/A</v>
      </c>
      <c r="V30" s="773" t="s">
        <v>17</v>
      </c>
      <c r="W30" s="774" t="e">
        <f t="shared" si="14"/>
        <v>#N/A</v>
      </c>
      <c r="X30" s="1812"/>
      <c r="Y30" s="3287"/>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87"/>
      <c r="Q31" s="1794" t="str">
        <f t="shared" si="11"/>
        <v>是否封闭</v>
      </c>
      <c r="R31" s="769" t="s">
        <v>17</v>
      </c>
      <c r="S31" s="770">
        <f t="shared" si="12"/>
        <v>100</v>
      </c>
      <c r="T31" s="769" t="s">
        <v>17</v>
      </c>
      <c r="U31" s="770">
        <f t="shared" si="13"/>
        <v>100</v>
      </c>
      <c r="V31" s="769" t="s">
        <v>17</v>
      </c>
      <c r="W31" s="770">
        <f t="shared" si="14"/>
        <v>100</v>
      </c>
      <c r="X31" s="771"/>
      <c r="Y31" s="3287"/>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87" t="s">
        <v>2561</v>
      </c>
      <c r="Q32" s="1809">
        <f t="shared" si="11"/>
        <v>111</v>
      </c>
      <c r="R32" s="773" t="s">
        <v>17</v>
      </c>
      <c r="S32" s="774">
        <f t="shared" si="12"/>
        <v>100</v>
      </c>
      <c r="T32" s="773" t="s">
        <v>17</v>
      </c>
      <c r="U32" s="774">
        <f t="shared" si="13"/>
        <v>100</v>
      </c>
      <c r="V32" s="773" t="s">
        <v>17</v>
      </c>
      <c r="W32" s="774">
        <f t="shared" si="14"/>
        <v>100</v>
      </c>
      <c r="X32" s="1812"/>
      <c r="Y32" s="3287"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87"/>
      <c r="Q33" s="1809">
        <f t="shared" si="11"/>
        <v>111</v>
      </c>
      <c r="R33" s="773" t="s">
        <v>17</v>
      </c>
      <c r="S33" s="774">
        <f t="shared" si="12"/>
        <v>100</v>
      </c>
      <c r="T33" s="773" t="s">
        <v>17</v>
      </c>
      <c r="U33" s="774">
        <f t="shared" si="13"/>
        <v>100</v>
      </c>
      <c r="V33" s="773" t="s">
        <v>17</v>
      </c>
      <c r="W33" s="774">
        <f t="shared" si="14"/>
        <v>100</v>
      </c>
      <c r="X33" s="1812"/>
      <c r="Y33" s="3287"/>
      <c r="Z33" s="1813">
        <f t="shared" si="15"/>
        <v>111</v>
      </c>
      <c r="AA33" s="1810">
        <f t="shared" si="3"/>
        <v>1</v>
      </c>
      <c r="AB33" s="1810">
        <f t="shared" si="4"/>
        <v>1</v>
      </c>
      <c r="AC33" s="1810">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287"/>
      <c r="Q34" s="1809">
        <f t="shared" si="11"/>
        <v>111</v>
      </c>
      <c r="R34" s="773" t="s">
        <v>17</v>
      </c>
      <c r="S34" s="774">
        <f t="shared" si="12"/>
        <v>100</v>
      </c>
      <c r="T34" s="773" t="s">
        <v>17</v>
      </c>
      <c r="U34" s="774">
        <f t="shared" si="13"/>
        <v>100</v>
      </c>
      <c r="V34" s="773" t="s">
        <v>17</v>
      </c>
      <c r="W34" s="774">
        <f t="shared" si="14"/>
        <v>100</v>
      </c>
      <c r="X34" s="1812"/>
      <c r="Y34" s="3287"/>
      <c r="Z34" s="1813">
        <f t="shared" si="15"/>
        <v>111</v>
      </c>
      <c r="AA34" s="1810">
        <f t="shared" si="3"/>
        <v>1</v>
      </c>
      <c r="AB34" s="1810">
        <f t="shared" si="4"/>
        <v>1</v>
      </c>
      <c r="AC34" s="1810">
        <f t="shared" si="5"/>
        <v>1</v>
      </c>
    </row>
    <row r="35" spans="1:29" ht="14.4">
      <c r="A35" s="479" t="s">
        <v>2573</v>
      </c>
      <c r="B35" s="480"/>
      <c r="C35" s="1406" t="s">
        <v>1</v>
      </c>
      <c r="D35" s="1407"/>
      <c r="E35" s="1408"/>
      <c r="F35" s="1409"/>
      <c r="G35" s="1410"/>
      <c r="H35" s="1411"/>
      <c r="I35" s="1408"/>
      <c r="J35" s="1411"/>
      <c r="K35" s="782"/>
      <c r="L35" s="1142"/>
      <c r="M35" s="1143"/>
      <c r="N35" s="1130"/>
      <c r="O35" s="1143"/>
      <c r="P35" s="3280" t="str">
        <f>A35</f>
        <v>成交单价（元/平方米）</v>
      </c>
      <c r="Q35" s="3280"/>
      <c r="R35" s="3281">
        <f>E35</f>
        <v>0</v>
      </c>
      <c r="S35" s="3281"/>
      <c r="T35" s="3281">
        <f>G35</f>
        <v>0</v>
      </c>
      <c r="U35" s="3281"/>
      <c r="V35" s="3281">
        <f>I35</f>
        <v>0</v>
      </c>
      <c r="W35" s="3281"/>
      <c r="X35" s="758"/>
      <c r="Y35" s="780"/>
      <c r="Z35" s="758"/>
      <c r="AA35" s="758"/>
      <c r="AB35" s="758"/>
      <c r="AC35" s="758"/>
    </row>
    <row r="36" spans="1:29" ht="15" thickBot="1">
      <c r="A36" s="486" t="s">
        <v>2665</v>
      </c>
      <c r="B36" s="487"/>
      <c r="C36" s="1412" t="e">
        <f>R37</f>
        <v>#DIV/0!</v>
      </c>
      <c r="D36" s="1413"/>
      <c r="E36" s="1414" t="e">
        <f>R36</f>
        <v>#DIV/0!</v>
      </c>
      <c r="F36" s="1414"/>
      <c r="G36" s="1412" t="e">
        <f>T36</f>
        <v>#DIV/0!</v>
      </c>
      <c r="H36" s="1413"/>
      <c r="I36" s="1414" t="e">
        <f>V36</f>
        <v>#DIV/0!</v>
      </c>
      <c r="J36" s="1413"/>
      <c r="K36" s="783"/>
      <c r="L36" s="1142"/>
      <c r="M36" s="1143"/>
      <c r="N36" s="1130"/>
      <c r="O36" s="1143"/>
      <c r="P36" s="3280" t="str">
        <f>A36</f>
        <v>比较价值（元/平方米）</v>
      </c>
      <c r="Q36" s="3280"/>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8"/>
      <c r="Y36" s="758"/>
      <c r="Z36" s="758"/>
      <c r="AA36" s="758"/>
      <c r="AB36" s="758"/>
      <c r="AC36" s="758"/>
    </row>
    <row r="37" spans="1:29" ht="15" thickBot="1">
      <c r="A37" s="492" t="s">
        <v>2666</v>
      </c>
      <c r="B37" s="493"/>
      <c r="C37" s="1416" t="e">
        <f>R37</f>
        <v>#DIV/0!</v>
      </c>
      <c r="D37" s="1416"/>
      <c r="E37" s="1416"/>
      <c r="F37" s="1416"/>
      <c r="G37" s="1416"/>
      <c r="H37" s="1416"/>
      <c r="I37" s="1416"/>
      <c r="J37" s="1416"/>
      <c r="K37" s="784"/>
      <c r="L37" s="1142"/>
      <c r="M37" s="1143"/>
      <c r="N37" s="1143"/>
      <c r="O37" s="1143"/>
      <c r="P37" s="3277" t="str">
        <f>A37</f>
        <v>估价对象XX用房的比较价值（楼面单价，元/平方米）</v>
      </c>
      <c r="Q37" s="3278"/>
      <c r="R37" s="3279" t="e">
        <f>IF(F1="售价",ROUND(AVERAGE(R36:V36),0),ROUND(AVERAGE(R36:V36),1))</f>
        <v>#DIV/0!</v>
      </c>
      <c r="S37" s="3279"/>
      <c r="T37" s="3279"/>
      <c r="U37" s="3279"/>
      <c r="V37" s="3279"/>
      <c r="W37" s="327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2670</v>
      </c>
      <c r="B45" s="758"/>
      <c r="C45" s="763"/>
      <c r="D45" s="763"/>
      <c r="E45" s="763"/>
      <c r="F45" s="764"/>
      <c r="G45" s="764"/>
      <c r="H45" s="763"/>
      <c r="I45" s="763"/>
      <c r="J45" s="763"/>
      <c r="K45" s="765"/>
      <c r="L45" s="766"/>
      <c r="M45" s="763"/>
      <c r="N45" s="763"/>
      <c r="O45" s="763"/>
      <c r="P45" s="503"/>
      <c r="Q45" s="504"/>
    </row>
    <row r="46" spans="1:29" s="508" customFormat="1" ht="14.4">
      <c r="A46" s="505" t="s">
        <v>2544</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2584</v>
      </c>
      <c r="B51" s="528" t="s">
        <v>2550</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2725</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46" t="s">
        <v>2644</v>
      </c>
      <c r="AC4" s="3245" t="s">
        <v>2645</v>
      </c>
    </row>
    <row r="5" spans="1:30">
      <c r="A5" s="404"/>
      <c r="B5" s="405"/>
      <c r="C5" s="3256" t="s">
        <v>2538</v>
      </c>
      <c r="D5" s="3257"/>
      <c r="E5" s="3254" t="s">
        <v>2539</v>
      </c>
      <c r="F5" s="3255"/>
      <c r="G5" s="3256" t="s">
        <v>2540</v>
      </c>
      <c r="H5" s="3257"/>
      <c r="I5" s="3256" t="s">
        <v>2541</v>
      </c>
      <c r="J5" s="3257"/>
      <c r="K5" s="610"/>
      <c r="L5" s="1129"/>
      <c r="M5" s="1130"/>
      <c r="N5" s="1130"/>
      <c r="O5" s="1130"/>
      <c r="P5" s="3269"/>
      <c r="Q5" s="3270"/>
      <c r="R5" s="3252"/>
      <c r="S5" s="3253"/>
      <c r="T5" s="3252"/>
      <c r="U5" s="3253"/>
      <c r="V5" s="3275"/>
      <c r="W5" s="3275"/>
      <c r="X5" s="1812"/>
      <c r="Y5" s="3252"/>
      <c r="Z5" s="3253"/>
      <c r="AA5" s="3246"/>
      <c r="AB5" s="3246"/>
      <c r="AC5" s="3246"/>
    </row>
    <row r="6" spans="1:30" ht="15" thickBot="1">
      <c r="A6" s="406"/>
      <c r="B6" s="407"/>
      <c r="C6" s="3258" t="s">
        <v>2542</v>
      </c>
      <c r="D6" s="3259"/>
      <c r="E6" s="3260" t="s">
        <v>2542</v>
      </c>
      <c r="F6" s="3261"/>
      <c r="G6" s="3258" t="s">
        <v>2542</v>
      </c>
      <c r="H6" s="3259"/>
      <c r="I6" s="3258" t="s">
        <v>2542</v>
      </c>
      <c r="J6" s="3259"/>
      <c r="K6" s="610" t="s">
        <v>2543</v>
      </c>
      <c r="L6" s="1129"/>
      <c r="M6" s="1130"/>
      <c r="N6" s="1130"/>
      <c r="O6" s="1130"/>
      <c r="P6" s="3271"/>
      <c r="Q6" s="3272"/>
      <c r="R6" s="3252"/>
      <c r="S6" s="3253"/>
      <c r="T6" s="3273"/>
      <c r="U6" s="3274"/>
      <c r="V6" s="3275"/>
      <c r="W6" s="3275"/>
      <c r="X6" s="1812"/>
      <c r="Y6" s="3273"/>
      <c r="Z6" s="3274"/>
      <c r="AA6" s="3247"/>
      <c r="AB6" s="3247"/>
      <c r="AC6" s="3247"/>
    </row>
    <row r="7" spans="1:30" s="117" customFormat="1" ht="15" thickBot="1">
      <c r="A7" s="408" t="s">
        <v>2544</v>
      </c>
      <c r="B7" s="409"/>
      <c r="C7" s="410">
        <f>'数据-取费表'!B2</f>
        <v>43734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248" t="s">
        <v>2545</v>
      </c>
      <c r="Q7" s="3276"/>
      <c r="R7" s="769" t="s">
        <v>17</v>
      </c>
      <c r="S7" s="770">
        <f t="shared" ref="S7:S15" si="0">F7</f>
        <v>0</v>
      </c>
      <c r="T7" s="769" t="s">
        <v>17</v>
      </c>
      <c r="U7" s="770">
        <f t="shared" ref="U7:U15" si="1">H7</f>
        <v>0</v>
      </c>
      <c r="V7" s="769" t="s">
        <v>17</v>
      </c>
      <c r="W7" s="770">
        <f t="shared" ref="W7:W15" si="2">J7</f>
        <v>0</v>
      </c>
      <c r="X7" s="771"/>
      <c r="Y7" s="3248" t="s">
        <v>2545</v>
      </c>
      <c r="Z7" s="3249"/>
      <c r="AA7" s="772" t="e">
        <f>D7/F7</f>
        <v>#DIV/0!</v>
      </c>
      <c r="AB7" s="772" t="e">
        <f>D7/H7</f>
        <v>#DIV/0!</v>
      </c>
      <c r="AC7" s="772"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8" t="s">
        <v>2548</v>
      </c>
      <c r="Q8" s="3249"/>
      <c r="R8" s="769" t="s">
        <v>17</v>
      </c>
      <c r="S8" s="770">
        <f t="shared" si="0"/>
        <v>0</v>
      </c>
      <c r="T8" s="769" t="s">
        <v>17</v>
      </c>
      <c r="U8" s="770">
        <f t="shared" si="1"/>
        <v>0</v>
      </c>
      <c r="V8" s="769" t="s">
        <v>17</v>
      </c>
      <c r="W8" s="770">
        <f t="shared" si="2"/>
        <v>0</v>
      </c>
      <c r="X8" s="771"/>
      <c r="Y8" s="3248" t="s">
        <v>2548</v>
      </c>
      <c r="Z8" s="3249"/>
      <c r="AA8" s="772" t="e">
        <f t="shared" ref="AA8:AA45" si="3">D8/F8</f>
        <v>#DIV/0!</v>
      </c>
      <c r="AB8" s="772" t="e">
        <f t="shared" ref="AB8:AB45" si="4">D8/H8</f>
        <v>#DIV/0!</v>
      </c>
      <c r="AC8" s="772" t="e">
        <f t="shared" ref="AC8:AC45" si="5">D8/J8</f>
        <v>#DIV/0!</v>
      </c>
    </row>
    <row r="9" spans="1:30" s="117" customFormat="1" ht="14.4">
      <c r="A9" s="415" t="s">
        <v>2549</v>
      </c>
      <c r="B9" s="71" t="s">
        <v>2550</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280"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772">
        <f t="shared" si="5"/>
        <v>1</v>
      </c>
    </row>
    <row r="10" spans="1:30" s="427" customFormat="1" ht="28.8">
      <c r="A10" s="421"/>
      <c r="B10" s="422" t="s">
        <v>2553</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280"/>
      <c r="Q10" s="1794" t="str">
        <f t="shared" si="6"/>
        <v>土地使用年限（年）</v>
      </c>
      <c r="R10" s="769" t="s">
        <v>17</v>
      </c>
      <c r="S10" s="770">
        <f t="shared" si="0"/>
        <v>109</v>
      </c>
      <c r="T10" s="769" t="s">
        <v>17</v>
      </c>
      <c r="U10" s="770">
        <f t="shared" si="1"/>
        <v>109</v>
      </c>
      <c r="V10" s="769" t="s">
        <v>17</v>
      </c>
      <c r="W10" s="770">
        <f t="shared" si="2"/>
        <v>109</v>
      </c>
      <c r="X10" s="771"/>
      <c r="Y10" s="3096"/>
      <c r="Z10" s="55" t="str">
        <f t="shared" si="7"/>
        <v>土地使用年限（年）</v>
      </c>
      <c r="AA10" s="772">
        <f t="shared" si="3"/>
        <v>0.91743119266055051</v>
      </c>
      <c r="AB10" s="772">
        <f t="shared" si="4"/>
        <v>0.91743119266055051</v>
      </c>
      <c r="AC10" s="772">
        <f t="shared" si="5"/>
        <v>0.91743119266055051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80"/>
      <c r="Q11" s="1794"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80"/>
      <c r="Q12" s="1794" t="str">
        <f t="shared" si="6"/>
        <v>配建</v>
      </c>
      <c r="R12" s="769" t="s">
        <v>17</v>
      </c>
      <c r="S12" s="770">
        <f t="shared" si="0"/>
        <v>100</v>
      </c>
      <c r="T12" s="769" t="s">
        <v>17</v>
      </c>
      <c r="U12" s="770">
        <f t="shared" si="1"/>
        <v>100</v>
      </c>
      <c r="V12" s="769" t="s">
        <v>17</v>
      </c>
      <c r="W12" s="770">
        <f t="shared" si="2"/>
        <v>100</v>
      </c>
      <c r="X12" s="771"/>
      <c r="Y12" s="3096"/>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80"/>
      <c r="Q13" s="1794">
        <f t="shared" si="6"/>
        <v>111</v>
      </c>
      <c r="R13" s="769" t="s">
        <v>17</v>
      </c>
      <c r="S13" s="770">
        <f t="shared" si="0"/>
        <v>100</v>
      </c>
      <c r="T13" s="769" t="s">
        <v>17</v>
      </c>
      <c r="U13" s="770">
        <f t="shared" si="1"/>
        <v>100</v>
      </c>
      <c r="V13" s="769" t="s">
        <v>17</v>
      </c>
      <c r="W13" s="770">
        <f t="shared" si="2"/>
        <v>100</v>
      </c>
      <c r="X13" s="771"/>
      <c r="Y13" s="3096"/>
      <c r="Z13" s="55">
        <f t="shared" si="7"/>
        <v>111</v>
      </c>
      <c r="AA13" s="772">
        <f>D13/F13</f>
        <v>1</v>
      </c>
      <c r="AB13" s="772">
        <f>D13/H13</f>
        <v>1</v>
      </c>
      <c r="AC13" s="772">
        <f>D13/J13</f>
        <v>1</v>
      </c>
    </row>
    <row r="14" spans="1:30" ht="15.6"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80"/>
      <c r="Q14" s="1794">
        <f t="shared" si="6"/>
        <v>111</v>
      </c>
      <c r="R14" s="769" t="s">
        <v>17</v>
      </c>
      <c r="S14" s="770">
        <f t="shared" si="0"/>
        <v>100</v>
      </c>
      <c r="T14" s="769" t="s">
        <v>17</v>
      </c>
      <c r="U14" s="770">
        <f t="shared" si="1"/>
        <v>100</v>
      </c>
      <c r="V14" s="769" t="s">
        <v>17</v>
      </c>
      <c r="W14" s="770">
        <f t="shared" si="2"/>
        <v>100</v>
      </c>
      <c r="X14" s="771"/>
      <c r="Y14" s="3096"/>
      <c r="Z14" s="55">
        <f t="shared" si="7"/>
        <v>111</v>
      </c>
      <c r="AA14" s="772">
        <f>D14/F14</f>
        <v>1</v>
      </c>
      <c r="AB14" s="772">
        <f>D14/H14</f>
        <v>1</v>
      </c>
      <c r="AC14" s="772">
        <f>D14/J14</f>
        <v>1</v>
      </c>
    </row>
    <row r="15" spans="1:30" ht="15">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82" t="s">
        <v>2556</v>
      </c>
      <c r="Q15" s="1809" t="str">
        <f t="shared" si="6"/>
        <v>居住社区成熟度</v>
      </c>
      <c r="R15" s="773" t="s">
        <v>17</v>
      </c>
      <c r="S15" s="774">
        <f t="shared" si="0"/>
        <v>100</v>
      </c>
      <c r="T15" s="773" t="s">
        <v>17</v>
      </c>
      <c r="U15" s="774">
        <f t="shared" si="1"/>
        <v>100</v>
      </c>
      <c r="V15" s="773" t="s">
        <v>17</v>
      </c>
      <c r="W15" s="774">
        <f t="shared" si="2"/>
        <v>100</v>
      </c>
      <c r="X15" s="1812"/>
      <c r="Y15" s="3282" t="s">
        <v>2556</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9"/>
      <c r="M16" s="1130"/>
      <c r="N16" s="1130"/>
      <c r="O16" s="1138"/>
      <c r="P16" s="3283"/>
      <c r="Q16" s="1809"/>
      <c r="R16" s="773"/>
      <c r="S16" s="774"/>
      <c r="T16" s="773"/>
      <c r="U16" s="774"/>
      <c r="V16" s="773"/>
      <c r="W16" s="774"/>
      <c r="X16" s="1812"/>
      <c r="Y16" s="3283"/>
      <c r="Z16" s="1813"/>
      <c r="AA16" s="1810">
        <v>1</v>
      </c>
      <c r="AB16" s="1810">
        <v>1</v>
      </c>
      <c r="AC16" s="1810">
        <v>1</v>
      </c>
    </row>
    <row r="17" spans="1:29" ht="15">
      <c r="A17" s="428"/>
      <c r="B17" s="451" t="s">
        <v>2649</v>
      </c>
      <c r="C17" s="2663"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83"/>
      <c r="Q17" s="1809" t="str">
        <f>B17</f>
        <v>商业繁华度</v>
      </c>
      <c r="R17" s="773" t="s">
        <v>17</v>
      </c>
      <c r="S17" s="774">
        <f>F17</f>
        <v>100</v>
      </c>
      <c r="T17" s="773" t="s">
        <v>17</v>
      </c>
      <c r="U17" s="774">
        <f>H17</f>
        <v>100</v>
      </c>
      <c r="V17" s="773" t="s">
        <v>17</v>
      </c>
      <c r="W17" s="774">
        <f>J17</f>
        <v>100</v>
      </c>
      <c r="X17" s="1812"/>
      <c r="Y17" s="328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9"/>
      <c r="M18" s="1130"/>
      <c r="N18" s="1130"/>
      <c r="O18" s="1138"/>
      <c r="P18" s="3283"/>
      <c r="Q18" s="1809"/>
      <c r="R18" s="773"/>
      <c r="S18" s="774"/>
      <c r="T18" s="773"/>
      <c r="U18" s="774"/>
      <c r="V18" s="773"/>
      <c r="W18" s="774"/>
      <c r="X18" s="1812"/>
      <c r="Y18" s="3283"/>
      <c r="Z18" s="1813"/>
      <c r="AA18" s="1810">
        <v>1</v>
      </c>
      <c r="AB18" s="1810">
        <v>1</v>
      </c>
      <c r="AC18" s="1810">
        <v>1</v>
      </c>
    </row>
    <row r="19" spans="1:29" ht="15">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83"/>
      <c r="Q19" s="1809" t="str">
        <f>B19</f>
        <v>办公集聚程度</v>
      </c>
      <c r="R19" s="773" t="s">
        <v>17</v>
      </c>
      <c r="S19" s="774">
        <f>F19</f>
        <v>100</v>
      </c>
      <c r="T19" s="773" t="s">
        <v>17</v>
      </c>
      <c r="U19" s="774">
        <f>H19</f>
        <v>100</v>
      </c>
      <c r="V19" s="773" t="s">
        <v>17</v>
      </c>
      <c r="W19" s="774">
        <f>J19</f>
        <v>100</v>
      </c>
      <c r="X19" s="1812"/>
      <c r="Y19" s="328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9"/>
      <c r="M20" s="1130"/>
      <c r="N20" s="1130"/>
      <c r="O20" s="1138"/>
      <c r="P20" s="3283"/>
      <c r="Q20" s="1809"/>
      <c r="R20" s="773"/>
      <c r="S20" s="774"/>
      <c r="T20" s="773"/>
      <c r="U20" s="774"/>
      <c r="V20" s="773"/>
      <c r="W20" s="774"/>
      <c r="X20" s="1812"/>
      <c r="Y20" s="3283"/>
      <c r="Z20" s="1813"/>
      <c r="AA20" s="1810">
        <v>1</v>
      </c>
      <c r="AB20" s="1810">
        <v>1</v>
      </c>
      <c r="AC20" s="1810">
        <v>1</v>
      </c>
    </row>
    <row r="21" spans="1:29" ht="15">
      <c r="A21" s="428"/>
      <c r="B21" s="451" t="s">
        <v>2705</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83"/>
      <c r="Q21" s="1809" t="str">
        <f>B21</f>
        <v>交通便捷度</v>
      </c>
      <c r="R21" s="773" t="s">
        <v>17</v>
      </c>
      <c r="S21" s="774">
        <f>F21</f>
        <v>100</v>
      </c>
      <c r="T21" s="773" t="s">
        <v>17</v>
      </c>
      <c r="U21" s="774">
        <f>H21</f>
        <v>100</v>
      </c>
      <c r="V21" s="773" t="s">
        <v>17</v>
      </c>
      <c r="W21" s="774">
        <f>J21</f>
        <v>100</v>
      </c>
      <c r="X21" s="1812"/>
      <c r="Y21" s="3283"/>
      <c r="Z21" s="1813" t="str">
        <f>Q21</f>
        <v>交通便捷度</v>
      </c>
      <c r="AA21" s="1810">
        <f t="shared" si="3"/>
        <v>1</v>
      </c>
      <c r="AB21" s="1810">
        <f t="shared" si="4"/>
        <v>1</v>
      </c>
      <c r="AC21" s="1810">
        <f t="shared" si="5"/>
        <v>1</v>
      </c>
    </row>
    <row r="22" spans="1:29" ht="15">
      <c r="A22" s="428"/>
      <c r="B22" s="1383"/>
      <c r="C22" s="447"/>
      <c r="D22" s="450"/>
      <c r="E22" s="2604"/>
      <c r="F22" s="448"/>
      <c r="G22" s="2604"/>
      <c r="H22" s="448"/>
      <c r="I22" s="2603"/>
      <c r="J22" s="448"/>
      <c r="K22" s="672"/>
      <c r="L22" s="1139"/>
      <c r="M22" s="1130"/>
      <c r="N22" s="1130"/>
      <c r="O22" s="1138"/>
      <c r="P22" s="3283"/>
      <c r="Q22" s="1809"/>
      <c r="R22" s="773"/>
      <c r="S22" s="774"/>
      <c r="T22" s="773"/>
      <c r="U22" s="774"/>
      <c r="V22" s="773"/>
      <c r="W22" s="774"/>
      <c r="X22" s="1812"/>
      <c r="Y22" s="3283"/>
      <c r="Z22" s="1813"/>
      <c r="AA22" s="1810">
        <v>1</v>
      </c>
      <c r="AB22" s="1810">
        <v>1</v>
      </c>
      <c r="AC22" s="1810">
        <v>1</v>
      </c>
    </row>
    <row r="23" spans="1:29" ht="28.8">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83"/>
      <c r="Q23" s="1809" t="str">
        <f t="shared" ref="Q23:Q37" si="8">B23</f>
        <v>区域土地利用方向</v>
      </c>
      <c r="R23" s="773" t="s">
        <v>17</v>
      </c>
      <c r="S23" s="774">
        <f>F23</f>
        <v>100</v>
      </c>
      <c r="T23" s="773" t="s">
        <v>17</v>
      </c>
      <c r="U23" s="774">
        <f>H23</f>
        <v>100</v>
      </c>
      <c r="V23" s="773" t="s">
        <v>17</v>
      </c>
      <c r="W23" s="774">
        <f>J23</f>
        <v>100</v>
      </c>
      <c r="X23" s="1812"/>
      <c r="Y23" s="328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11"/>
      <c r="L24" s="1139"/>
      <c r="M24" s="1130"/>
      <c r="N24" s="1130"/>
      <c r="O24" s="1138"/>
      <c r="P24" s="3283"/>
      <c r="Q24" s="1809"/>
      <c r="R24" s="773"/>
      <c r="S24" s="774"/>
      <c r="T24" s="773"/>
      <c r="U24" s="774"/>
      <c r="V24" s="773"/>
      <c r="W24" s="774"/>
      <c r="X24" s="1812"/>
      <c r="Y24" s="3283"/>
      <c r="Z24" s="1813"/>
      <c r="AA24" s="1810"/>
      <c r="AB24" s="1810"/>
      <c r="AC24" s="1810"/>
    </row>
    <row r="25" spans="1:29" ht="28.8">
      <c r="A25" s="404"/>
      <c r="B25" s="1383" t="s">
        <v>2745</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83"/>
      <c r="Q25" s="1809" t="str">
        <f t="shared" si="8"/>
        <v>自然及人文环境状况</v>
      </c>
      <c r="R25" s="773" t="s">
        <v>17</v>
      </c>
      <c r="S25" s="774">
        <f>F25</f>
        <v>100</v>
      </c>
      <c r="T25" s="773" t="s">
        <v>17</v>
      </c>
      <c r="U25" s="774">
        <f>H25</f>
        <v>100</v>
      </c>
      <c r="V25" s="773" t="s">
        <v>17</v>
      </c>
      <c r="W25" s="774">
        <f>J25</f>
        <v>100</v>
      </c>
      <c r="X25" s="1812"/>
      <c r="Y25" s="328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9"/>
      <c r="M26" s="1130"/>
      <c r="N26" s="1130"/>
      <c r="O26" s="1138"/>
      <c r="P26" s="3283"/>
      <c r="Q26" s="1809"/>
      <c r="R26" s="773"/>
      <c r="S26" s="774"/>
      <c r="T26" s="773"/>
      <c r="U26" s="774"/>
      <c r="V26" s="773"/>
      <c r="W26" s="774"/>
      <c r="X26" s="1812"/>
      <c r="Y26" s="3283"/>
      <c r="Z26" s="1813"/>
      <c r="AA26" s="1810">
        <v>1</v>
      </c>
      <c r="AB26" s="1810">
        <v>1</v>
      </c>
      <c r="AC26" s="1810">
        <v>1</v>
      </c>
    </row>
    <row r="27" spans="1:29" s="117" customFormat="1" ht="15">
      <c r="A27" s="649"/>
      <c r="B27" s="1383" t="s">
        <v>2650</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83"/>
      <c r="Q27" s="1794" t="str">
        <f t="shared" si="8"/>
        <v>公共配套设施</v>
      </c>
      <c r="R27" s="769" t="s">
        <v>17</v>
      </c>
      <c r="S27" s="770">
        <f>F27</f>
        <v>100</v>
      </c>
      <c r="T27" s="769" t="s">
        <v>17</v>
      </c>
      <c r="U27" s="770">
        <f>H27</f>
        <v>100</v>
      </c>
      <c r="V27" s="769" t="s">
        <v>17</v>
      </c>
      <c r="W27" s="770">
        <f>J27</f>
        <v>100</v>
      </c>
      <c r="X27" s="771"/>
      <c r="Y27" s="3283"/>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1"/>
      <c r="M28" s="1132"/>
      <c r="N28" s="1132"/>
      <c r="O28" s="1133"/>
      <c r="P28" s="3283"/>
      <c r="Q28" s="1794"/>
      <c r="R28" s="769"/>
      <c r="S28" s="770"/>
      <c r="T28" s="769"/>
      <c r="U28" s="770"/>
      <c r="V28" s="769"/>
      <c r="W28" s="770"/>
      <c r="X28" s="771"/>
      <c r="Y28" s="3283"/>
      <c r="Z28" s="55"/>
      <c r="AA28" s="1810">
        <v>1</v>
      </c>
      <c r="AB28" s="1810">
        <v>1</v>
      </c>
      <c r="AC28" s="1810">
        <v>1</v>
      </c>
    </row>
    <row r="29" spans="1:29" s="117" customFormat="1" ht="15">
      <c r="A29" s="649"/>
      <c r="B29" s="1383"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83"/>
      <c r="Q29" s="1794" t="str">
        <f t="shared" ref="Q29" si="9">B29</f>
        <v>基础设施水平</v>
      </c>
      <c r="R29" s="769" t="s">
        <v>17</v>
      </c>
      <c r="S29" s="770">
        <f>F29</f>
        <v>100</v>
      </c>
      <c r="T29" s="769" t="s">
        <v>17</v>
      </c>
      <c r="U29" s="770">
        <f>H29</f>
        <v>100</v>
      </c>
      <c r="V29" s="769" t="s">
        <v>17</v>
      </c>
      <c r="W29" s="770">
        <f>J29</f>
        <v>100</v>
      </c>
      <c r="X29" s="771"/>
      <c r="Y29" s="3283"/>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1"/>
      <c r="M30" s="1132"/>
      <c r="N30" s="1132"/>
      <c r="O30" s="1133"/>
      <c r="P30" s="3283"/>
      <c r="Q30" s="1794"/>
      <c r="R30" s="769"/>
      <c r="S30" s="770"/>
      <c r="T30" s="769"/>
      <c r="U30" s="770"/>
      <c r="V30" s="769"/>
      <c r="W30" s="770"/>
      <c r="X30" s="771"/>
      <c r="Y30" s="3283"/>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8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83"/>
      <c r="Z31" s="1813" t="str">
        <f t="shared" ref="Z31:Z45" si="13">Q31</f>
        <v>临街状况</v>
      </c>
      <c r="AA31" s="1810">
        <f t="shared" si="3"/>
        <v>1</v>
      </c>
      <c r="AB31" s="1810">
        <f t="shared" si="4"/>
        <v>1</v>
      </c>
      <c r="AC31" s="1810">
        <f t="shared" si="5"/>
        <v>1</v>
      </c>
    </row>
    <row r="32" spans="1:29" ht="28.8">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83"/>
      <c r="Q32" s="1809" t="str">
        <f t="shared" si="8"/>
        <v>毗邻道路的类型与等级</v>
      </c>
      <c r="R32" s="773" t="s">
        <v>17</v>
      </c>
      <c r="S32" s="774">
        <f t="shared" si="10"/>
        <v>100</v>
      </c>
      <c r="T32" s="773" t="s">
        <v>17</v>
      </c>
      <c r="U32" s="774">
        <f t="shared" si="11"/>
        <v>100</v>
      </c>
      <c r="V32" s="773" t="s">
        <v>17</v>
      </c>
      <c r="W32" s="774">
        <f t="shared" si="12"/>
        <v>100</v>
      </c>
      <c r="X32" s="1812"/>
      <c r="Y32" s="328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9"/>
      <c r="M33" s="1130"/>
      <c r="N33" s="1130"/>
      <c r="O33" s="1138"/>
      <c r="P33" s="3283"/>
      <c r="Q33" s="1809"/>
      <c r="R33" s="773"/>
      <c r="S33" s="774"/>
      <c r="T33" s="773"/>
      <c r="U33" s="774"/>
      <c r="V33" s="773"/>
      <c r="W33" s="774"/>
      <c r="X33" s="1812"/>
      <c r="Y33" s="3283"/>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83"/>
      <c r="Q34" s="1809" t="str">
        <f t="shared" si="8"/>
        <v>土地级别</v>
      </c>
      <c r="R34" s="773" t="s">
        <v>17</v>
      </c>
      <c r="S34" s="774">
        <f t="shared" si="10"/>
        <v>100</v>
      </c>
      <c r="T34" s="773" t="s">
        <v>17</v>
      </c>
      <c r="U34" s="774">
        <f t="shared" si="11"/>
        <v>100</v>
      </c>
      <c r="V34" s="773" t="s">
        <v>17</v>
      </c>
      <c r="W34" s="774">
        <f t="shared" si="12"/>
        <v>100</v>
      </c>
      <c r="X34" s="1812"/>
      <c r="Y34" s="328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83"/>
      <c r="Q35" s="1809">
        <f t="shared" si="8"/>
        <v>111</v>
      </c>
      <c r="R35" s="773" t="s">
        <v>17</v>
      </c>
      <c r="S35" s="774">
        <f t="shared" si="10"/>
        <v>100</v>
      </c>
      <c r="T35" s="773" t="s">
        <v>17</v>
      </c>
      <c r="U35" s="774">
        <f t="shared" si="11"/>
        <v>100</v>
      </c>
      <c r="V35" s="773" t="s">
        <v>17</v>
      </c>
      <c r="W35" s="774">
        <f t="shared" si="12"/>
        <v>100</v>
      </c>
      <c r="X35" s="1812"/>
      <c r="Y35" s="328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09" t="s">
        <v>2561</v>
      </c>
      <c r="Q36" s="1809">
        <f t="shared" si="8"/>
        <v>111</v>
      </c>
      <c r="R36" s="773" t="s">
        <v>17</v>
      </c>
      <c r="S36" s="774">
        <f t="shared" si="10"/>
        <v>100</v>
      </c>
      <c r="T36" s="773" t="s">
        <v>17</v>
      </c>
      <c r="U36" s="774">
        <f t="shared" si="11"/>
        <v>100</v>
      </c>
      <c r="V36" s="773" t="s">
        <v>17</v>
      </c>
      <c r="W36" s="774">
        <f t="shared" si="12"/>
        <v>100</v>
      </c>
      <c r="X36" s="1812"/>
      <c r="Y36" s="3287" t="s">
        <v>2561</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87"/>
      <c r="Q37" s="1809">
        <f t="shared" si="8"/>
        <v>111</v>
      </c>
      <c r="R37" s="776" t="s">
        <v>17</v>
      </c>
      <c r="S37" s="777">
        <f t="shared" si="10"/>
        <v>100</v>
      </c>
      <c r="T37" s="776" t="s">
        <v>17</v>
      </c>
      <c r="U37" s="777">
        <f t="shared" si="11"/>
        <v>100</v>
      </c>
      <c r="V37" s="776" t="s">
        <v>17</v>
      </c>
      <c r="W37" s="777">
        <f t="shared" si="12"/>
        <v>100</v>
      </c>
      <c r="X37" s="778"/>
      <c r="Y37" s="3287"/>
      <c r="Z37" s="779">
        <f t="shared" si="13"/>
        <v>111</v>
      </c>
      <c r="AA37" s="1810">
        <f t="shared" si="3"/>
        <v>1</v>
      </c>
      <c r="AB37" s="1810">
        <f t="shared" si="4"/>
        <v>1</v>
      </c>
      <c r="AC37" s="1810">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87"/>
      <c r="Q38" s="1809" t="str">
        <f>B38</f>
        <v>宗地面积</v>
      </c>
      <c r="R38" s="773" t="s">
        <v>17</v>
      </c>
      <c r="S38" s="774" t="e">
        <f t="shared" si="10"/>
        <v>#N/A</v>
      </c>
      <c r="T38" s="773" t="s">
        <v>17</v>
      </c>
      <c r="U38" s="774" t="e">
        <f t="shared" si="11"/>
        <v>#N/A</v>
      </c>
      <c r="V38" s="773" t="s">
        <v>17</v>
      </c>
      <c r="W38" s="774" t="e">
        <f t="shared" si="12"/>
        <v>#N/A</v>
      </c>
      <c r="X38" s="1812"/>
      <c r="Y38" s="3287"/>
      <c r="Z38" s="1813" t="str">
        <f t="shared" si="13"/>
        <v>宗地面积</v>
      </c>
      <c r="AA38" s="1810" t="e">
        <f t="shared" si="3"/>
        <v>#N/A</v>
      </c>
      <c r="AB38" s="1810" t="e">
        <f t="shared" si="4"/>
        <v>#N/A</v>
      </c>
      <c r="AC38" s="1810"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287"/>
      <c r="Q39" s="1809" t="str">
        <f t="shared" ref="Q39:Q45" si="14">B39</f>
        <v>宗地形状</v>
      </c>
      <c r="R39" s="773" t="s">
        <v>17</v>
      </c>
      <c r="S39" s="774">
        <f t="shared" si="10"/>
        <v>100</v>
      </c>
      <c r="T39" s="773" t="s">
        <v>17</v>
      </c>
      <c r="U39" s="774">
        <f t="shared" si="11"/>
        <v>100</v>
      </c>
      <c r="V39" s="773" t="s">
        <v>17</v>
      </c>
      <c r="W39" s="774">
        <f t="shared" si="12"/>
        <v>100</v>
      </c>
      <c r="X39" s="1812"/>
      <c r="Y39" s="3287"/>
      <c r="Z39" s="1813" t="str">
        <f t="shared" si="13"/>
        <v>宗地形状</v>
      </c>
      <c r="AA39" s="1810">
        <f t="shared" si="3"/>
        <v>1</v>
      </c>
      <c r="AB39" s="1810">
        <f t="shared" si="4"/>
        <v>1</v>
      </c>
      <c r="AC39" s="1810">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287"/>
      <c r="Q40" s="1809" t="str">
        <f t="shared" si="14"/>
        <v>临街宽度及深度</v>
      </c>
      <c r="R40" s="773" t="s">
        <v>17</v>
      </c>
      <c r="S40" s="774">
        <f t="shared" si="10"/>
        <v>100</v>
      </c>
      <c r="T40" s="773" t="s">
        <v>17</v>
      </c>
      <c r="U40" s="774">
        <f t="shared" si="11"/>
        <v>100</v>
      </c>
      <c r="V40" s="773" t="s">
        <v>17</v>
      </c>
      <c r="W40" s="774">
        <f t="shared" si="12"/>
        <v>100</v>
      </c>
      <c r="X40" s="1812"/>
      <c r="Y40" s="3287"/>
      <c r="Z40" s="1813" t="str">
        <f t="shared" si="13"/>
        <v>临街宽度及深度</v>
      </c>
      <c r="AA40" s="1810">
        <f t="shared" si="3"/>
        <v>1</v>
      </c>
      <c r="AB40" s="1810">
        <f t="shared" si="4"/>
        <v>1</v>
      </c>
      <c r="AC40" s="1810">
        <f t="shared" si="5"/>
        <v>1</v>
      </c>
    </row>
    <row r="41" spans="1:29" s="117" customFormat="1" ht="15">
      <c r="A41" s="473"/>
      <c r="B41" s="422" t="s">
        <v>2750</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287"/>
      <c r="Q41" s="1809" t="str">
        <f t="shared" si="14"/>
        <v>宗地开发程度</v>
      </c>
      <c r="R41" s="769" t="s">
        <v>17</v>
      </c>
      <c r="S41" s="770">
        <f t="shared" si="10"/>
        <v>100</v>
      </c>
      <c r="T41" s="769" t="s">
        <v>17</v>
      </c>
      <c r="U41" s="770">
        <f t="shared" si="11"/>
        <v>100</v>
      </c>
      <c r="V41" s="769" t="s">
        <v>17</v>
      </c>
      <c r="W41" s="770">
        <f t="shared" si="12"/>
        <v>100</v>
      </c>
      <c r="X41" s="771"/>
      <c r="Y41" s="3287"/>
      <c r="Z41" s="55" t="str">
        <f t="shared" si="13"/>
        <v>宗地开发程度</v>
      </c>
      <c r="AA41" s="772">
        <f t="shared" si="3"/>
        <v>1</v>
      </c>
      <c r="AB41" s="772">
        <f t="shared" si="4"/>
        <v>1</v>
      </c>
      <c r="AC41" s="772">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287" t="s">
        <v>2561</v>
      </c>
      <c r="Q42" s="1809" t="str">
        <f t="shared" si="14"/>
        <v>工程地质条件</v>
      </c>
      <c r="R42" s="773" t="s">
        <v>17</v>
      </c>
      <c r="S42" s="774">
        <f t="shared" si="10"/>
        <v>100</v>
      </c>
      <c r="T42" s="773" t="s">
        <v>17</v>
      </c>
      <c r="U42" s="774">
        <f t="shared" si="11"/>
        <v>100</v>
      </c>
      <c r="V42" s="773" t="s">
        <v>17</v>
      </c>
      <c r="W42" s="774">
        <f t="shared" si="12"/>
        <v>100</v>
      </c>
      <c r="X42" s="1812"/>
      <c r="Y42" s="3287"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87"/>
      <c r="Q43" s="1809">
        <f t="shared" si="14"/>
        <v>111</v>
      </c>
      <c r="R43" s="773" t="s">
        <v>17</v>
      </c>
      <c r="S43" s="774">
        <f t="shared" si="10"/>
        <v>100</v>
      </c>
      <c r="T43" s="773" t="s">
        <v>17</v>
      </c>
      <c r="U43" s="774">
        <f t="shared" si="11"/>
        <v>100</v>
      </c>
      <c r="V43" s="773" t="s">
        <v>17</v>
      </c>
      <c r="W43" s="774">
        <f t="shared" si="12"/>
        <v>100</v>
      </c>
      <c r="X43" s="1812"/>
      <c r="Y43" s="328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87"/>
      <c r="Q44" s="1809">
        <f t="shared" si="14"/>
        <v>111</v>
      </c>
      <c r="R44" s="773" t="s">
        <v>17</v>
      </c>
      <c r="S44" s="774">
        <f t="shared" si="10"/>
        <v>100</v>
      </c>
      <c r="T44" s="773" t="s">
        <v>17</v>
      </c>
      <c r="U44" s="774">
        <f t="shared" si="11"/>
        <v>100</v>
      </c>
      <c r="V44" s="773" t="s">
        <v>17</v>
      </c>
      <c r="W44" s="774">
        <f t="shared" si="12"/>
        <v>100</v>
      </c>
      <c r="X44" s="1812"/>
      <c r="Y44" s="3287"/>
      <c r="Z44" s="1813">
        <f t="shared" si="13"/>
        <v>111</v>
      </c>
      <c r="AA44" s="1810">
        <f t="shared" si="3"/>
        <v>1</v>
      </c>
      <c r="AB44" s="1810">
        <f t="shared" si="4"/>
        <v>1</v>
      </c>
      <c r="AC44" s="1810">
        <f t="shared" si="5"/>
        <v>1</v>
      </c>
    </row>
    <row r="45" spans="1:29" s="471" customFormat="1" ht="15.6"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87"/>
      <c r="Q45" s="1809">
        <f t="shared" si="14"/>
        <v>111</v>
      </c>
      <c r="R45" s="776" t="s">
        <v>17</v>
      </c>
      <c r="S45" s="777">
        <f t="shared" si="10"/>
        <v>100</v>
      </c>
      <c r="T45" s="776" t="s">
        <v>17</v>
      </c>
      <c r="U45" s="777">
        <f t="shared" si="11"/>
        <v>100</v>
      </c>
      <c r="V45" s="776" t="s">
        <v>17</v>
      </c>
      <c r="W45" s="777">
        <f t="shared" si="12"/>
        <v>100</v>
      </c>
      <c r="X45" s="778"/>
      <c r="Y45" s="3287"/>
      <c r="Z45" s="779">
        <f t="shared" si="13"/>
        <v>111</v>
      </c>
      <c r="AA45" s="1810">
        <f t="shared" si="3"/>
        <v>1</v>
      </c>
      <c r="AB45" s="1810">
        <f t="shared" si="4"/>
        <v>1</v>
      </c>
      <c r="AC45" s="1810">
        <f t="shared" si="5"/>
        <v>1</v>
      </c>
    </row>
    <row r="46" spans="1:29" ht="14.4">
      <c r="A46" s="479" t="s">
        <v>2716</v>
      </c>
      <c r="B46" s="2703" t="s">
        <v>2752</v>
      </c>
      <c r="C46" s="682" t="s">
        <v>1</v>
      </c>
      <c r="D46" s="481"/>
      <c r="E46" s="482"/>
      <c r="F46" s="483"/>
      <c r="G46" s="484"/>
      <c r="H46" s="485"/>
      <c r="I46" s="482"/>
      <c r="J46" s="485"/>
      <c r="K46" s="782"/>
      <c r="L46" s="1142"/>
      <c r="M46" s="1143"/>
      <c r="N46" s="1130"/>
      <c r="O46" s="1143"/>
      <c r="P46" s="3280" t="str">
        <f>A46</f>
        <v>成交单价</v>
      </c>
      <c r="Q46" s="3280"/>
      <c r="R46" s="3275">
        <f>E46</f>
        <v>0</v>
      </c>
      <c r="S46" s="3275"/>
      <c r="T46" s="3275">
        <f>G46</f>
        <v>0</v>
      </c>
      <c r="U46" s="3275"/>
      <c r="V46" s="3275">
        <f>I46</f>
        <v>0</v>
      </c>
      <c r="W46" s="3275"/>
      <c r="X46" s="758"/>
      <c r="Y46" s="780"/>
      <c r="Z46" s="758"/>
      <c r="AA46" s="758"/>
      <c r="AB46" s="758"/>
      <c r="AC46" s="758"/>
    </row>
    <row r="47" spans="1:29" ht="15" thickBot="1">
      <c r="A47" s="486" t="s">
        <v>2665</v>
      </c>
      <c r="B47" s="683"/>
      <c r="C47" s="490" t="e">
        <f>R48</f>
        <v>#DIV/0!</v>
      </c>
      <c r="D47" s="489"/>
      <c r="E47" s="490" t="e">
        <f>R47</f>
        <v>#DIV/0!</v>
      </c>
      <c r="F47" s="491"/>
      <c r="G47" s="488" t="e">
        <f>T47</f>
        <v>#DIV/0!</v>
      </c>
      <c r="H47" s="489"/>
      <c r="I47" s="490" t="e">
        <f>V47</f>
        <v>#DIV/0!</v>
      </c>
      <c r="J47" s="489"/>
      <c r="K47" s="783"/>
      <c r="L47" s="1142"/>
      <c r="M47" s="1143"/>
      <c r="N47" s="1143"/>
      <c r="O47" s="1143"/>
      <c r="P47" s="3280" t="str">
        <f>A47</f>
        <v>比较价值（元/平方米）</v>
      </c>
      <c r="Q47" s="3280"/>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 thickBot="1">
      <c r="A48" s="492" t="s">
        <v>2753</v>
      </c>
      <c r="B48" s="493"/>
      <c r="C48" s="494" t="e">
        <f>R48</f>
        <v>#DIV/0!</v>
      </c>
      <c r="D48" s="494"/>
      <c r="E48" s="494"/>
      <c r="F48" s="494"/>
      <c r="G48" s="494"/>
      <c r="H48" s="494"/>
      <c r="I48" s="494"/>
      <c r="J48" s="494"/>
      <c r="K48" s="784"/>
      <c r="L48" s="1142"/>
      <c r="M48" s="1143"/>
      <c r="N48" s="1143"/>
      <c r="O48" s="1143"/>
      <c r="P48" s="3277" t="str">
        <f>A48</f>
        <v>估价对象XX用房的比较价值（楼面单价，元/平方米）</v>
      </c>
      <c r="Q48" s="3278"/>
      <c r="R48" s="3311" t="e">
        <f>ROUND(AVERAGE(R47:V47),0)</f>
        <v>#DIV/0!</v>
      </c>
      <c r="S48" s="3311"/>
      <c r="T48" s="3311"/>
      <c r="U48" s="3311"/>
      <c r="V48" s="3311"/>
      <c r="W48" s="331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1"/>
      <c r="D54" s="759"/>
      <c r="E54" s="759"/>
      <c r="F54" s="759"/>
      <c r="G54" s="759"/>
      <c r="H54" s="759"/>
      <c r="I54" s="759"/>
      <c r="J54" s="759"/>
      <c r="K54" s="1147"/>
      <c r="L54" s="1148"/>
      <c r="M54" s="1144"/>
      <c r="N54" s="1144"/>
      <c r="O54" s="1144"/>
    </row>
    <row r="55" spans="1:15" ht="27" customHeight="1">
      <c r="A55" s="684" t="s">
        <v>2754</v>
      </c>
      <c r="B55" s="685" t="s">
        <v>2755</v>
      </c>
      <c r="C55" s="2704" t="s">
        <v>2756</v>
      </c>
      <c r="D55" s="2705" t="s">
        <v>2757</v>
      </c>
      <c r="E55" s="686" t="s">
        <v>2758</v>
      </c>
      <c r="F55" s="1106" t="s">
        <v>2759</v>
      </c>
      <c r="G55" s="3263" t="s">
        <v>2760</v>
      </c>
      <c r="H55" s="3312"/>
      <c r="I55" s="144" t="s">
        <v>2761</v>
      </c>
      <c r="J55" s="2706">
        <f>项目基本情况!F35</f>
        <v>0</v>
      </c>
      <c r="K55" s="2707" t="s">
        <v>2762</v>
      </c>
      <c r="L55" s="1105"/>
      <c r="M55" s="1143"/>
      <c r="N55" s="1143"/>
      <c r="O55" s="1143"/>
    </row>
    <row r="56" spans="1:15" s="692" customFormat="1">
      <c r="A56" s="688" t="s">
        <v>2763</v>
      </c>
      <c r="B56" s="689" t="e">
        <f>C48</f>
        <v>#DIV/0!</v>
      </c>
      <c r="C56" s="690">
        <v>1</v>
      </c>
      <c r="D56" s="1162">
        <v>1</v>
      </c>
      <c r="E56" s="690">
        <f>'数据-汇总表'!E8+'数据-汇总表'!E9</f>
        <v>1340.42</v>
      </c>
      <c r="F56" s="1102" t="e">
        <f t="shared" ref="F56:F65" si="15">ROUND(B56*E56/10000,0)</f>
        <v>#DIV/0!</v>
      </c>
      <c r="G56" s="3262"/>
      <c r="H56" s="3280"/>
      <c r="I56" s="1107">
        <v>1</v>
      </c>
      <c r="J56" s="1110">
        <v>1</v>
      </c>
      <c r="K56" s="1144"/>
      <c r="L56" s="940"/>
      <c r="M56" s="940"/>
      <c r="N56" s="940"/>
      <c r="O56" s="940"/>
    </row>
    <row r="57" spans="1:15" s="692" customFormat="1">
      <c r="A57" s="693" t="s">
        <v>2764</v>
      </c>
      <c r="B57" s="262" t="e">
        <f>ROUND($C$48*C57*D57,0)</f>
        <v>#DIV/0!</v>
      </c>
      <c r="C57" s="200">
        <f t="shared" ref="C57:C65" si="16">IF($C$55="北京市系数",I57,J57)</f>
        <v>0</v>
      </c>
      <c r="D57" s="1163">
        <v>0.25</v>
      </c>
      <c r="E57" s="694"/>
      <c r="F57" s="1102" t="e">
        <f t="shared" si="15"/>
        <v>#DIV/0!</v>
      </c>
      <c r="G57" s="3313" t="s">
        <v>2765</v>
      </c>
      <c r="H57" s="1103">
        <f>项目基本情况!B37</f>
        <v>0</v>
      </c>
      <c r="I57" s="1107">
        <f>SUMIF(修正!A45:A56,H57,修正!B45:B56)</f>
        <v>0</v>
      </c>
      <c r="J57" s="1111"/>
      <c r="K57" s="1143"/>
      <c r="L57" s="940"/>
      <c r="M57" s="940"/>
      <c r="N57" s="940"/>
      <c r="O57" s="940"/>
    </row>
    <row r="58" spans="1:15" s="692" customFormat="1">
      <c r="A58" s="693" t="s">
        <v>2766</v>
      </c>
      <c r="B58" s="262" t="e">
        <f t="shared" ref="B58:B65" si="17">ROUND($C$48*C58*D58,0)</f>
        <v>#DIV/0!</v>
      </c>
      <c r="C58" s="200">
        <f t="shared" si="16"/>
        <v>0</v>
      </c>
      <c r="D58" s="1163">
        <v>0.25</v>
      </c>
      <c r="E58" s="694"/>
      <c r="F58" s="1102" t="e">
        <f t="shared" si="15"/>
        <v>#DIV/0!</v>
      </c>
      <c r="G58" s="3313"/>
      <c r="H58" s="1103">
        <f>项目基本情况!B37</f>
        <v>0</v>
      </c>
      <c r="I58" s="1107">
        <f>SUMIF(修正!A45:A56,H58,修正!C45:C56)</f>
        <v>0</v>
      </c>
      <c r="J58" s="1111"/>
      <c r="K58" s="1144"/>
      <c r="L58" s="940"/>
      <c r="M58" s="940"/>
      <c r="N58" s="940"/>
      <c r="O58" s="940"/>
    </row>
    <row r="59" spans="1:15" s="692" customFormat="1">
      <c r="A59" s="693" t="s">
        <v>2767</v>
      </c>
      <c r="B59" s="262" t="e">
        <f t="shared" si="17"/>
        <v>#DIV/0!</v>
      </c>
      <c r="C59" s="200">
        <f t="shared" si="16"/>
        <v>0</v>
      </c>
      <c r="D59" s="1163">
        <v>0.25</v>
      </c>
      <c r="E59" s="694"/>
      <c r="F59" s="1102" t="e">
        <f t="shared" si="15"/>
        <v>#DIV/0!</v>
      </c>
      <c r="G59" s="3313"/>
      <c r="H59" s="1103">
        <f>项目基本情况!B37</f>
        <v>0</v>
      </c>
      <c r="I59" s="1107">
        <f>SUMIF(修正!A45:A56,H59,修正!D45:D56)</f>
        <v>0</v>
      </c>
      <c r="J59" s="1111"/>
      <c r="K59" s="1143"/>
      <c r="L59" s="940"/>
      <c r="M59" s="940"/>
      <c r="N59" s="940"/>
      <c r="O59" s="940"/>
    </row>
    <row r="60" spans="1:15" s="692" customFormat="1">
      <c r="A60" s="693" t="s">
        <v>2768</v>
      </c>
      <c r="B60" s="262" t="e">
        <f t="shared" si="17"/>
        <v>#DIV/0!</v>
      </c>
      <c r="C60" s="200">
        <f t="shared" si="16"/>
        <v>0</v>
      </c>
      <c r="D60" s="1163">
        <v>0.25</v>
      </c>
      <c r="E60" s="694"/>
      <c r="F60" s="1102" t="e">
        <f t="shared" si="15"/>
        <v>#DIV/0!</v>
      </c>
      <c r="G60" s="3313"/>
      <c r="H60" s="1103">
        <f>项目基本情况!B37</f>
        <v>0</v>
      </c>
      <c r="I60" s="1107">
        <f>SUMIF(修正!A45:A56,H60,修正!E45:E56)</f>
        <v>0</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08"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v>
      </c>
      <c r="D64" s="1163">
        <v>0.25</v>
      </c>
      <c r="E64" s="261">
        <f>'数据-汇总表'!E14</f>
        <v>0</v>
      </c>
      <c r="F64" s="1102" t="e">
        <f t="shared" si="15"/>
        <v>#DIV/0!</v>
      </c>
      <c r="G64" s="2708" t="s">
        <v>2765</v>
      </c>
      <c r="H64" s="1103">
        <f>项目基本情况!B37</f>
        <v>0</v>
      </c>
      <c r="I64" s="1107">
        <f>SUMIF(修正!A45:A56,H64,修正!H45:H56)</f>
        <v>0</v>
      </c>
      <c r="J64" s="1111"/>
      <c r="K64" s="1144"/>
      <c r="L64" s="940"/>
      <c r="M64" s="940"/>
      <c r="N64" s="940"/>
      <c r="O64" s="940"/>
    </row>
    <row r="65" spans="1:17" s="692" customFormat="1" ht="14.4" thickBot="1">
      <c r="A65" s="693" t="s">
        <v>2776</v>
      </c>
      <c r="B65" s="262" t="e">
        <f t="shared" si="17"/>
        <v>#DIV/0!</v>
      </c>
      <c r="C65" s="200">
        <f t="shared" si="16"/>
        <v>0</v>
      </c>
      <c r="D65" s="1163">
        <v>0.25</v>
      </c>
      <c r="E65" s="261">
        <f>'数据-汇总表'!E15</f>
        <v>0</v>
      </c>
      <c r="F65" s="1102" t="e">
        <f t="shared" si="15"/>
        <v>#DIV/0!</v>
      </c>
      <c r="G65" s="2709" t="s">
        <v>2770</v>
      </c>
      <c r="H65" s="1113">
        <f>项目基本情况!C37</f>
        <v>0</v>
      </c>
      <c r="I65" s="1109">
        <f>SUMIF(修正!A45:A56,H65,修正!H45:H56)</f>
        <v>0</v>
      </c>
      <c r="J65" s="1112"/>
      <c r="K65" s="1143"/>
      <c r="L65" s="940"/>
      <c r="M65" s="940"/>
      <c r="N65" s="940"/>
      <c r="O65" s="940"/>
    </row>
    <row r="66" spans="1:17" s="692" customFormat="1" thickBot="1">
      <c r="A66" s="695" t="s">
        <v>2777</v>
      </c>
      <c r="B66" s="696" t="s">
        <v>28</v>
      </c>
      <c r="C66" s="696" t="s">
        <v>29</v>
      </c>
      <c r="D66" s="696" t="s">
        <v>1026</v>
      </c>
      <c r="E66" s="696">
        <f>IF(B46="楼面地价",SUM(E56:E65),'数据-汇总表'!D3)</f>
        <v>1340.42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2.2" thickBot="1">
      <c r="A69" s="762" t="s">
        <v>2670</v>
      </c>
      <c r="B69" s="758"/>
      <c r="C69" s="763"/>
      <c r="D69" s="763"/>
      <c r="E69" s="763"/>
      <c r="F69" s="764"/>
      <c r="G69" s="764"/>
      <c r="H69" s="763"/>
      <c r="I69" s="763"/>
      <c r="J69" s="1158"/>
      <c r="K69" s="1159"/>
      <c r="L69" s="1160"/>
      <c r="M69" s="1158"/>
      <c r="N69" s="1158"/>
      <c r="O69" s="1158"/>
      <c r="P69" s="503"/>
      <c r="Q69" s="504"/>
    </row>
    <row r="70" spans="1:17" s="508" customFormat="1" ht="14.4">
      <c r="A70" s="2710" t="s">
        <v>2778</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1"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 thickBot="1">
      <c r="A72" s="515" t="s">
        <v>2581</v>
      </c>
      <c r="B72" s="516"/>
      <c r="C72" s="517"/>
      <c r="D72" s="518"/>
      <c r="E72" s="518"/>
      <c r="F72" s="518"/>
      <c r="G72" s="518"/>
      <c r="H72" s="518"/>
      <c r="I72" s="518"/>
      <c r="J72" s="518"/>
      <c r="K72" s="518"/>
      <c r="L72" s="518"/>
      <c r="M72" s="519"/>
      <c r="N72" s="518"/>
      <c r="O72" s="1161"/>
      <c r="P72" s="504"/>
      <c r="Q72" s="504"/>
    </row>
    <row r="73" spans="1:17" s="117" customFormat="1" ht="14.4">
      <c r="A73" s="521" t="s">
        <v>2546</v>
      </c>
      <c r="B73" s="510"/>
      <c r="C73" s="522" t="s">
        <v>2648</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2584</v>
      </c>
      <c r="B75" s="528" t="s">
        <v>2550</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2553</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2687</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2746</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2641</v>
      </c>
      <c r="B4" s="402"/>
      <c r="C4" s="3263" t="s">
        <v>2642</v>
      </c>
      <c r="D4" s="3264"/>
      <c r="E4" s="3265" t="s">
        <v>2643</v>
      </c>
      <c r="F4" s="3266"/>
      <c r="G4" s="3263" t="s">
        <v>2644</v>
      </c>
      <c r="H4" s="3264"/>
      <c r="I4" s="3263" t="s">
        <v>2645</v>
      </c>
      <c r="J4" s="3264"/>
      <c r="K4" s="610" t="s">
        <v>2646</v>
      </c>
      <c r="L4" s="1129"/>
      <c r="M4" s="1130"/>
      <c r="N4" s="1130"/>
      <c r="O4" s="1130"/>
      <c r="P4" s="3267" t="s">
        <v>2647</v>
      </c>
      <c r="Q4" s="3268"/>
      <c r="R4" s="3250" t="s">
        <v>2643</v>
      </c>
      <c r="S4" s="3251"/>
      <c r="T4" s="3250" t="s">
        <v>2644</v>
      </c>
      <c r="U4" s="3251"/>
      <c r="V4" s="3275" t="s">
        <v>2645</v>
      </c>
      <c r="W4" s="3275"/>
      <c r="X4" s="1812"/>
      <c r="Y4" s="3250" t="s">
        <v>2647</v>
      </c>
      <c r="Z4" s="3251"/>
      <c r="AA4" s="3245" t="s">
        <v>2643</v>
      </c>
      <c r="AB4" s="3246" t="s">
        <v>2644</v>
      </c>
      <c r="AC4" s="3245" t="s">
        <v>2645</v>
      </c>
    </row>
    <row r="5" spans="1:29">
      <c r="A5" s="404"/>
      <c r="B5" s="405"/>
      <c r="C5" s="3256" t="s">
        <v>2538</v>
      </c>
      <c r="D5" s="3257"/>
      <c r="E5" s="3254" t="s">
        <v>2539</v>
      </c>
      <c r="F5" s="3255"/>
      <c r="G5" s="3256" t="s">
        <v>2540</v>
      </c>
      <c r="H5" s="3257"/>
      <c r="I5" s="3256" t="s">
        <v>2541</v>
      </c>
      <c r="J5" s="3257"/>
      <c r="K5" s="610"/>
      <c r="L5" s="1129"/>
      <c r="M5" s="1130"/>
      <c r="N5" s="1130"/>
      <c r="O5" s="1130"/>
      <c r="P5" s="3269"/>
      <c r="Q5" s="3270"/>
      <c r="R5" s="3252"/>
      <c r="S5" s="3253"/>
      <c r="T5" s="3252"/>
      <c r="U5" s="3253"/>
      <c r="V5" s="3275"/>
      <c r="W5" s="3275"/>
      <c r="X5" s="1812"/>
      <c r="Y5" s="3252"/>
      <c r="Z5" s="3253"/>
      <c r="AA5" s="3246"/>
      <c r="AB5" s="3246"/>
      <c r="AC5" s="3246"/>
    </row>
    <row r="6" spans="1:29" ht="15" thickBot="1">
      <c r="A6" s="406"/>
      <c r="B6" s="407"/>
      <c r="C6" s="3314" t="s">
        <v>2793</v>
      </c>
      <c r="D6" s="3315"/>
      <c r="E6" s="3316" t="s">
        <v>2793</v>
      </c>
      <c r="F6" s="3317"/>
      <c r="G6" s="3314" t="s">
        <v>2793</v>
      </c>
      <c r="H6" s="3315"/>
      <c r="I6" s="3314" t="s">
        <v>2793</v>
      </c>
      <c r="J6" s="3315"/>
      <c r="K6" s="610" t="s">
        <v>2543</v>
      </c>
      <c r="L6" s="1129"/>
      <c r="M6" s="1130"/>
      <c r="N6" s="1130"/>
      <c r="O6" s="1130"/>
      <c r="P6" s="3271"/>
      <c r="Q6" s="3272"/>
      <c r="R6" s="3252"/>
      <c r="S6" s="3253"/>
      <c r="T6" s="3273"/>
      <c r="U6" s="3274"/>
      <c r="V6" s="3275"/>
      <c r="W6" s="3275"/>
      <c r="X6" s="1812"/>
      <c r="Y6" s="3273"/>
      <c r="Z6" s="3274"/>
      <c r="AA6" s="3247"/>
      <c r="AB6" s="3247"/>
      <c r="AC6" s="3247"/>
    </row>
    <row r="7" spans="1:29" s="117" customFormat="1" ht="15" thickBot="1">
      <c r="A7" s="408" t="s">
        <v>2544</v>
      </c>
      <c r="B7" s="409"/>
      <c r="C7" s="410">
        <f>'数据-取费表'!B2</f>
        <v>43734</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248" t="s">
        <v>2545</v>
      </c>
      <c r="Q7" s="3276"/>
      <c r="R7" s="769" t="s">
        <v>17</v>
      </c>
      <c r="S7" s="770">
        <f t="shared" ref="S7:S15" si="0">F7</f>
        <v>0</v>
      </c>
      <c r="T7" s="769" t="s">
        <v>17</v>
      </c>
      <c r="U7" s="770">
        <f t="shared" ref="U7:U15" si="1">H7</f>
        <v>0</v>
      </c>
      <c r="V7" s="769" t="s">
        <v>17</v>
      </c>
      <c r="W7" s="770">
        <f t="shared" ref="W7:W15" si="2">J7</f>
        <v>0</v>
      </c>
      <c r="X7" s="771"/>
      <c r="Y7" s="3248" t="s">
        <v>2545</v>
      </c>
      <c r="Z7" s="3249"/>
      <c r="AA7" s="772" t="e">
        <f>D7/F7</f>
        <v>#DIV/0!</v>
      </c>
      <c r="AB7" s="772" t="e">
        <f>D7/H7</f>
        <v>#DIV/0!</v>
      </c>
      <c r="AC7" s="772"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8" t="s">
        <v>2548</v>
      </c>
      <c r="Q8" s="3249"/>
      <c r="R8" s="769" t="s">
        <v>17</v>
      </c>
      <c r="S8" s="770">
        <f t="shared" si="0"/>
        <v>0</v>
      </c>
      <c r="T8" s="769" t="s">
        <v>17</v>
      </c>
      <c r="U8" s="770">
        <f t="shared" si="1"/>
        <v>0</v>
      </c>
      <c r="V8" s="769" t="s">
        <v>17</v>
      </c>
      <c r="W8" s="770">
        <f t="shared" si="2"/>
        <v>0</v>
      </c>
      <c r="X8" s="771"/>
      <c r="Y8" s="3248" t="s">
        <v>2548</v>
      </c>
      <c r="Z8" s="3249"/>
      <c r="AA8" s="772" t="e">
        <f t="shared" ref="AA8:AA40" si="3">D8/F8</f>
        <v>#DIV/0!</v>
      </c>
      <c r="AB8" s="772" t="e">
        <f t="shared" ref="AB8:AB40" si="4">D8/H8</f>
        <v>#DIV/0!</v>
      </c>
      <c r="AC8" s="772" t="e">
        <f t="shared" ref="AC8:AC40" si="5">D8/J8</f>
        <v>#DIV/0!</v>
      </c>
    </row>
    <row r="9" spans="1:29" s="117" customFormat="1" ht="14.4">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280" t="s">
        <v>2551</v>
      </c>
      <c r="Q9" s="1794" t="str">
        <f t="shared" ref="Q9:Q15" si="6">B9</f>
        <v>用途</v>
      </c>
      <c r="R9" s="769" t="s">
        <v>17</v>
      </c>
      <c r="S9" s="770">
        <f t="shared" si="0"/>
        <v>100</v>
      </c>
      <c r="T9" s="769" t="s">
        <v>17</v>
      </c>
      <c r="U9" s="770">
        <f t="shared" si="1"/>
        <v>100</v>
      </c>
      <c r="V9" s="769" t="s">
        <v>17</v>
      </c>
      <c r="W9" s="770">
        <f t="shared" si="2"/>
        <v>100</v>
      </c>
      <c r="X9" s="771"/>
      <c r="Y9" s="3096" t="s">
        <v>2552</v>
      </c>
      <c r="Z9" s="55" t="str">
        <f t="shared" ref="Z9:Z15" si="7">Q9</f>
        <v>用途</v>
      </c>
      <c r="AA9" s="772">
        <f t="shared" si="3"/>
        <v>1</v>
      </c>
      <c r="AB9" s="772">
        <f t="shared" si="4"/>
        <v>1</v>
      </c>
      <c r="AC9" s="772">
        <f t="shared" si="5"/>
        <v>1</v>
      </c>
    </row>
    <row r="10" spans="1:29" s="427" customFormat="1" ht="28.8">
      <c r="A10" s="421"/>
      <c r="B10" s="422" t="s">
        <v>2553</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280"/>
      <c r="Q10" s="1794" t="str">
        <f t="shared" si="6"/>
        <v>土地使用年限（年）</v>
      </c>
      <c r="R10" s="769" t="s">
        <v>17</v>
      </c>
      <c r="S10" s="770">
        <f t="shared" si="0"/>
        <v>109</v>
      </c>
      <c r="T10" s="769" t="s">
        <v>17</v>
      </c>
      <c r="U10" s="770">
        <f t="shared" si="1"/>
        <v>109</v>
      </c>
      <c r="V10" s="769" t="s">
        <v>17</v>
      </c>
      <c r="W10" s="770">
        <f t="shared" si="2"/>
        <v>109</v>
      </c>
      <c r="X10" s="771"/>
      <c r="Y10" s="3096"/>
      <c r="Z10" s="55" t="str">
        <f t="shared" si="7"/>
        <v>土地使用年限（年）</v>
      </c>
      <c r="AA10" s="772">
        <f t="shared" si="3"/>
        <v>0.91743119266055051</v>
      </c>
      <c r="AB10" s="772">
        <f t="shared" si="4"/>
        <v>0.91743119266055051</v>
      </c>
      <c r="AC10" s="772">
        <f t="shared" si="5"/>
        <v>0.91743119266055051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80"/>
      <c r="Q11" s="1794"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80"/>
      <c r="Q12" s="1794">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80"/>
      <c r="Q13" s="1794">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80"/>
      <c r="Q14" s="1794">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69">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82" t="s">
        <v>2556</v>
      </c>
      <c r="Q15" s="1809" t="str">
        <f t="shared" si="6"/>
        <v>产业集聚程度</v>
      </c>
      <c r="R15" s="773" t="s">
        <v>17</v>
      </c>
      <c r="S15" s="774">
        <f t="shared" si="0"/>
        <v>100</v>
      </c>
      <c r="T15" s="773" t="s">
        <v>17</v>
      </c>
      <c r="U15" s="774">
        <f t="shared" si="1"/>
        <v>100</v>
      </c>
      <c r="V15" s="773" t="s">
        <v>17</v>
      </c>
      <c r="W15" s="774">
        <f t="shared" si="2"/>
        <v>100</v>
      </c>
      <c r="X15" s="1812"/>
      <c r="Y15" s="3282"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283"/>
      <c r="Q16" s="1809"/>
      <c r="R16" s="773"/>
      <c r="S16" s="774"/>
      <c r="T16" s="773"/>
      <c r="U16" s="774"/>
      <c r="V16" s="773"/>
      <c r="W16" s="774"/>
      <c r="X16" s="1812"/>
      <c r="Y16" s="3283"/>
      <c r="Z16" s="1813"/>
      <c r="AA16" s="1810">
        <v>1</v>
      </c>
      <c r="AB16" s="1810">
        <v>1</v>
      </c>
      <c r="AC16" s="1810">
        <v>1</v>
      </c>
    </row>
    <row r="17" spans="1:29" ht="96.6">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83"/>
      <c r="Q17" s="1809" t="str">
        <f>B17</f>
        <v>交通便捷度</v>
      </c>
      <c r="R17" s="773" t="s">
        <v>17</v>
      </c>
      <c r="S17" s="774">
        <f>F17</f>
        <v>100</v>
      </c>
      <c r="T17" s="773" t="s">
        <v>17</v>
      </c>
      <c r="U17" s="774">
        <f>H17</f>
        <v>100</v>
      </c>
      <c r="V17" s="773" t="s">
        <v>17</v>
      </c>
      <c r="W17" s="774">
        <f>J17</f>
        <v>100</v>
      </c>
      <c r="X17" s="1812"/>
      <c r="Y17" s="328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283"/>
      <c r="Q18" s="1809"/>
      <c r="R18" s="773"/>
      <c r="S18" s="774"/>
      <c r="T18" s="773"/>
      <c r="U18" s="774"/>
      <c r="V18" s="773"/>
      <c r="W18" s="774"/>
      <c r="X18" s="1812"/>
      <c r="Y18" s="3283"/>
      <c r="Z18" s="1813"/>
      <c r="AA18" s="1810">
        <v>1</v>
      </c>
      <c r="AB18" s="1810">
        <v>1</v>
      </c>
      <c r="AC18" s="1810">
        <v>1</v>
      </c>
    </row>
    <row r="19" spans="1:29" ht="28.8">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83"/>
      <c r="Q19" s="1809" t="str">
        <f t="shared" ref="Q19:Q33" si="8">B19</f>
        <v>区域土地利用方向</v>
      </c>
      <c r="R19" s="773" t="s">
        <v>17</v>
      </c>
      <c r="S19" s="774">
        <f>F19</f>
        <v>100</v>
      </c>
      <c r="T19" s="773" t="s">
        <v>17</v>
      </c>
      <c r="U19" s="774">
        <f>H19</f>
        <v>100</v>
      </c>
      <c r="V19" s="773" t="s">
        <v>17</v>
      </c>
      <c r="W19" s="774">
        <f>J19</f>
        <v>100</v>
      </c>
      <c r="X19" s="1812"/>
      <c r="Y19" s="328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1"/>
      <c r="L20" s="1139"/>
      <c r="M20" s="1130"/>
      <c r="N20" s="1130"/>
      <c r="O20" s="1138"/>
      <c r="P20" s="3283"/>
      <c r="Q20" s="1809"/>
      <c r="R20" s="773"/>
      <c r="S20" s="774"/>
      <c r="T20" s="773"/>
      <c r="U20" s="774"/>
      <c r="V20" s="773"/>
      <c r="W20" s="774"/>
      <c r="X20" s="1812"/>
      <c r="Y20" s="3283"/>
      <c r="Z20" s="1813"/>
      <c r="AA20" s="1810"/>
      <c r="AB20" s="1810"/>
      <c r="AC20" s="1810"/>
    </row>
    <row r="21" spans="1:29" ht="82.8">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83"/>
      <c r="Q21" s="1809" t="str">
        <f t="shared" si="8"/>
        <v>环境状况</v>
      </c>
      <c r="R21" s="773" t="s">
        <v>17</v>
      </c>
      <c r="S21" s="774">
        <f>F21</f>
        <v>100</v>
      </c>
      <c r="T21" s="773" t="s">
        <v>17</v>
      </c>
      <c r="U21" s="774">
        <f>H21</f>
        <v>100</v>
      </c>
      <c r="V21" s="773" t="s">
        <v>17</v>
      </c>
      <c r="W21" s="774">
        <f>J21</f>
        <v>100</v>
      </c>
      <c r="X21" s="1812"/>
      <c r="Y21" s="328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283"/>
      <c r="Q22" s="1809"/>
      <c r="R22" s="773"/>
      <c r="S22" s="774"/>
      <c r="T22" s="773"/>
      <c r="U22" s="774"/>
      <c r="V22" s="773"/>
      <c r="W22" s="774"/>
      <c r="X22" s="1812"/>
      <c r="Y22" s="3283"/>
      <c r="Z22" s="1813"/>
      <c r="AA22" s="1810">
        <v>1</v>
      </c>
      <c r="AB22" s="1810">
        <v>1</v>
      </c>
      <c r="AC22" s="1810">
        <v>1</v>
      </c>
    </row>
    <row r="23" spans="1:29" s="117" customFormat="1" ht="41.4">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83"/>
      <c r="Q23" s="1794" t="str">
        <f t="shared" si="8"/>
        <v>公共配套设施</v>
      </c>
      <c r="R23" s="769" t="s">
        <v>17</v>
      </c>
      <c r="S23" s="770">
        <f>F23</f>
        <v>100</v>
      </c>
      <c r="T23" s="769" t="s">
        <v>17</v>
      </c>
      <c r="U23" s="770">
        <f>H23</f>
        <v>100</v>
      </c>
      <c r="V23" s="769" t="s">
        <v>17</v>
      </c>
      <c r="W23" s="770">
        <f>J23</f>
        <v>100</v>
      </c>
      <c r="X23" s="771"/>
      <c r="Y23" s="3283"/>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1"/>
      <c r="M24" s="1132"/>
      <c r="N24" s="1132"/>
      <c r="O24" s="1133"/>
      <c r="P24" s="3283"/>
      <c r="Q24" s="1794"/>
      <c r="R24" s="769"/>
      <c r="S24" s="770"/>
      <c r="T24" s="769"/>
      <c r="U24" s="770"/>
      <c r="V24" s="769"/>
      <c r="W24" s="770"/>
      <c r="X24" s="771"/>
      <c r="Y24" s="3283"/>
      <c r="Z24" s="55"/>
      <c r="AA24" s="772">
        <v>1</v>
      </c>
      <c r="AB24" s="772">
        <v>1</v>
      </c>
      <c r="AC24" s="772">
        <v>1</v>
      </c>
    </row>
    <row r="25" spans="1:29" s="117" customFormat="1" ht="41.4">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83"/>
      <c r="Q25" s="1794" t="str">
        <f t="shared" ref="Q25" si="9">B25</f>
        <v>基础设施水平</v>
      </c>
      <c r="R25" s="769" t="s">
        <v>17</v>
      </c>
      <c r="S25" s="770">
        <f>F25</f>
        <v>100</v>
      </c>
      <c r="T25" s="769" t="s">
        <v>17</v>
      </c>
      <c r="U25" s="770">
        <f>H25</f>
        <v>100</v>
      </c>
      <c r="V25" s="769" t="s">
        <v>17</v>
      </c>
      <c r="W25" s="770">
        <f>J25</f>
        <v>100</v>
      </c>
      <c r="X25" s="771"/>
      <c r="Y25" s="3283"/>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1"/>
      <c r="M26" s="1132"/>
      <c r="N26" s="1132"/>
      <c r="O26" s="1133"/>
      <c r="P26" s="3283"/>
      <c r="Q26" s="1794"/>
      <c r="R26" s="769"/>
      <c r="S26" s="770"/>
      <c r="T26" s="769"/>
      <c r="U26" s="770"/>
      <c r="V26" s="769"/>
      <c r="W26" s="770"/>
      <c r="X26" s="771"/>
      <c r="Y26" s="3283"/>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8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83"/>
      <c r="Z27" s="1813" t="str">
        <f t="shared" ref="Z27:Z40" si="13">Q27</f>
        <v>临街状况</v>
      </c>
      <c r="AA27" s="1810">
        <f t="shared" si="3"/>
        <v>1</v>
      </c>
      <c r="AB27" s="1810">
        <f t="shared" si="4"/>
        <v>1</v>
      </c>
      <c r="AC27" s="1810">
        <f t="shared" si="5"/>
        <v>1</v>
      </c>
    </row>
    <row r="28" spans="1:29" ht="28.8">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83"/>
      <c r="Q28" s="1809" t="str">
        <f t="shared" si="8"/>
        <v>毗邻道路的类型与等级</v>
      </c>
      <c r="R28" s="773" t="s">
        <v>17</v>
      </c>
      <c r="S28" s="774">
        <f t="shared" si="10"/>
        <v>100</v>
      </c>
      <c r="T28" s="773" t="s">
        <v>17</v>
      </c>
      <c r="U28" s="774">
        <f t="shared" si="11"/>
        <v>100</v>
      </c>
      <c r="V28" s="773" t="s">
        <v>17</v>
      </c>
      <c r="W28" s="774">
        <f t="shared" si="12"/>
        <v>100</v>
      </c>
      <c r="X28" s="1812"/>
      <c r="Y28" s="328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283"/>
      <c r="Q29" s="1809"/>
      <c r="R29" s="773"/>
      <c r="S29" s="774"/>
      <c r="T29" s="773"/>
      <c r="U29" s="774"/>
      <c r="V29" s="773"/>
      <c r="W29" s="774"/>
      <c r="X29" s="1812"/>
      <c r="Y29" s="3283"/>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83"/>
      <c r="Q30" s="1809" t="str">
        <f t="shared" si="8"/>
        <v>土地级别</v>
      </c>
      <c r="R30" s="773" t="s">
        <v>17</v>
      </c>
      <c r="S30" s="774">
        <f t="shared" si="10"/>
        <v>100</v>
      </c>
      <c r="T30" s="773" t="s">
        <v>17</v>
      </c>
      <c r="U30" s="774">
        <f t="shared" si="11"/>
        <v>100</v>
      </c>
      <c r="V30" s="773" t="s">
        <v>17</v>
      </c>
      <c r="W30" s="774">
        <f t="shared" si="12"/>
        <v>100</v>
      </c>
      <c r="X30" s="1812"/>
      <c r="Y30" s="3283"/>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83"/>
      <c r="Q31" s="1809">
        <f t="shared" si="8"/>
        <v>111</v>
      </c>
      <c r="R31" s="773" t="s">
        <v>17</v>
      </c>
      <c r="S31" s="774">
        <f t="shared" si="10"/>
        <v>100</v>
      </c>
      <c r="T31" s="773" t="s">
        <v>17</v>
      </c>
      <c r="U31" s="774">
        <f t="shared" si="11"/>
        <v>100</v>
      </c>
      <c r="V31" s="773" t="s">
        <v>17</v>
      </c>
      <c r="W31" s="774">
        <f t="shared" si="12"/>
        <v>100</v>
      </c>
      <c r="X31" s="1812"/>
      <c r="Y31" s="3283"/>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09" t="s">
        <v>2561</v>
      </c>
      <c r="Q32" s="1809">
        <f t="shared" si="8"/>
        <v>111</v>
      </c>
      <c r="R32" s="773" t="s">
        <v>17</v>
      </c>
      <c r="S32" s="774">
        <f t="shared" si="10"/>
        <v>100</v>
      </c>
      <c r="T32" s="773" t="s">
        <v>17</v>
      </c>
      <c r="U32" s="774">
        <f t="shared" si="11"/>
        <v>100</v>
      </c>
      <c r="V32" s="773" t="s">
        <v>17</v>
      </c>
      <c r="W32" s="774">
        <f t="shared" si="12"/>
        <v>100</v>
      </c>
      <c r="X32" s="1812"/>
      <c r="Y32" s="3287" t="s">
        <v>2561</v>
      </c>
      <c r="Z32" s="1813">
        <f t="shared" si="13"/>
        <v>111</v>
      </c>
      <c r="AA32" s="1810">
        <f t="shared" si="3"/>
        <v>1</v>
      </c>
      <c r="AB32" s="1810">
        <f t="shared" si="4"/>
        <v>1</v>
      </c>
      <c r="AC32" s="1810">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87"/>
      <c r="Q33" s="1809">
        <f t="shared" si="8"/>
        <v>111</v>
      </c>
      <c r="R33" s="776" t="s">
        <v>17</v>
      </c>
      <c r="S33" s="777">
        <f t="shared" si="10"/>
        <v>100</v>
      </c>
      <c r="T33" s="776" t="s">
        <v>17</v>
      </c>
      <c r="U33" s="777">
        <f t="shared" si="11"/>
        <v>100</v>
      </c>
      <c r="V33" s="776" t="s">
        <v>17</v>
      </c>
      <c r="W33" s="777">
        <f t="shared" si="12"/>
        <v>100</v>
      </c>
      <c r="X33" s="778"/>
      <c r="Y33" s="3287"/>
      <c r="Z33" s="779">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87"/>
      <c r="Q34" s="1809" t="str">
        <f>B34</f>
        <v>宗地面积</v>
      </c>
      <c r="R34" s="773" t="s">
        <v>17</v>
      </c>
      <c r="S34" s="774" t="e">
        <f t="shared" si="10"/>
        <v>#N/A</v>
      </c>
      <c r="T34" s="773" t="s">
        <v>17</v>
      </c>
      <c r="U34" s="774" t="e">
        <f t="shared" si="11"/>
        <v>#N/A</v>
      </c>
      <c r="V34" s="773" t="s">
        <v>17</v>
      </c>
      <c r="W34" s="774" t="e">
        <f t="shared" si="12"/>
        <v>#N/A</v>
      </c>
      <c r="X34" s="1812"/>
      <c r="Y34" s="3287"/>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287"/>
      <c r="Q35" s="1809" t="str">
        <f t="shared" ref="Q35:Q40" si="14">B35</f>
        <v>宗地形状</v>
      </c>
      <c r="R35" s="773" t="s">
        <v>17</v>
      </c>
      <c r="S35" s="774">
        <f t="shared" si="10"/>
        <v>100</v>
      </c>
      <c r="T35" s="773" t="s">
        <v>17</v>
      </c>
      <c r="U35" s="774">
        <f t="shared" si="11"/>
        <v>100</v>
      </c>
      <c r="V35" s="773" t="s">
        <v>17</v>
      </c>
      <c r="W35" s="774">
        <f t="shared" si="12"/>
        <v>100</v>
      </c>
      <c r="X35" s="1812"/>
      <c r="Y35" s="3287"/>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287"/>
      <c r="Q36" s="1809" t="str">
        <f t="shared" si="14"/>
        <v>宗地开发程度</v>
      </c>
      <c r="R36" s="769" t="s">
        <v>17</v>
      </c>
      <c r="S36" s="770">
        <f t="shared" si="10"/>
        <v>100</v>
      </c>
      <c r="T36" s="769" t="s">
        <v>17</v>
      </c>
      <c r="U36" s="770">
        <f t="shared" si="11"/>
        <v>100</v>
      </c>
      <c r="V36" s="769" t="s">
        <v>17</v>
      </c>
      <c r="W36" s="770">
        <f t="shared" si="12"/>
        <v>100</v>
      </c>
      <c r="X36" s="771"/>
      <c r="Y36" s="3287"/>
      <c r="Z36" s="55" t="str">
        <f t="shared" si="13"/>
        <v>宗地开发程度</v>
      </c>
      <c r="AA36" s="772">
        <f t="shared" si="3"/>
        <v>1</v>
      </c>
      <c r="AB36" s="772">
        <f t="shared" si="4"/>
        <v>1</v>
      </c>
      <c r="AC36" s="772">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287" t="s">
        <v>2561</v>
      </c>
      <c r="Q37" s="1809" t="str">
        <f t="shared" si="14"/>
        <v>工程地质条件</v>
      </c>
      <c r="R37" s="773" t="s">
        <v>17</v>
      </c>
      <c r="S37" s="774">
        <f t="shared" si="10"/>
        <v>100</v>
      </c>
      <c r="T37" s="773" t="s">
        <v>17</v>
      </c>
      <c r="U37" s="774">
        <f t="shared" si="11"/>
        <v>100</v>
      </c>
      <c r="V37" s="773" t="s">
        <v>17</v>
      </c>
      <c r="W37" s="774">
        <f t="shared" si="12"/>
        <v>100</v>
      </c>
      <c r="X37" s="1812"/>
      <c r="Y37" s="3287"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87"/>
      <c r="Q38" s="1809">
        <f t="shared" si="14"/>
        <v>111</v>
      </c>
      <c r="R38" s="773" t="s">
        <v>17</v>
      </c>
      <c r="S38" s="774">
        <f t="shared" si="10"/>
        <v>100</v>
      </c>
      <c r="T38" s="773" t="s">
        <v>17</v>
      </c>
      <c r="U38" s="774">
        <f t="shared" si="11"/>
        <v>100</v>
      </c>
      <c r="V38" s="773" t="s">
        <v>17</v>
      </c>
      <c r="W38" s="774">
        <f t="shared" si="12"/>
        <v>100</v>
      </c>
      <c r="X38" s="1812"/>
      <c r="Y38" s="328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87"/>
      <c r="Q39" s="1809">
        <f t="shared" si="14"/>
        <v>111</v>
      </c>
      <c r="R39" s="773" t="s">
        <v>17</v>
      </c>
      <c r="S39" s="774">
        <f t="shared" si="10"/>
        <v>100</v>
      </c>
      <c r="T39" s="773" t="s">
        <v>17</v>
      </c>
      <c r="U39" s="774">
        <f t="shared" si="11"/>
        <v>100</v>
      </c>
      <c r="V39" s="773" t="s">
        <v>17</v>
      </c>
      <c r="W39" s="774">
        <f t="shared" si="12"/>
        <v>100</v>
      </c>
      <c r="X39" s="1812"/>
      <c r="Y39" s="3287"/>
      <c r="Z39" s="1813">
        <f t="shared" si="13"/>
        <v>111</v>
      </c>
      <c r="AA39" s="1810">
        <f t="shared" si="3"/>
        <v>1</v>
      </c>
      <c r="AB39" s="1810">
        <f t="shared" si="4"/>
        <v>1</v>
      </c>
      <c r="AC39" s="1810">
        <f t="shared" si="5"/>
        <v>1</v>
      </c>
    </row>
    <row r="40" spans="1:29" s="471" customFormat="1" ht="15.6"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87"/>
      <c r="Q40" s="1809">
        <f t="shared" si="14"/>
        <v>111</v>
      </c>
      <c r="R40" s="776" t="s">
        <v>17</v>
      </c>
      <c r="S40" s="777">
        <f t="shared" si="10"/>
        <v>100</v>
      </c>
      <c r="T40" s="776" t="s">
        <v>17</v>
      </c>
      <c r="U40" s="777">
        <f t="shared" si="11"/>
        <v>100</v>
      </c>
      <c r="V40" s="776" t="s">
        <v>17</v>
      </c>
      <c r="W40" s="777">
        <f t="shared" si="12"/>
        <v>100</v>
      </c>
      <c r="X40" s="778"/>
      <c r="Y40" s="3287"/>
      <c r="Z40" s="779">
        <f t="shared" si="13"/>
        <v>111</v>
      </c>
      <c r="AA40" s="1810">
        <f t="shared" si="3"/>
        <v>1</v>
      </c>
      <c r="AB40" s="1810">
        <f t="shared" si="4"/>
        <v>1</v>
      </c>
      <c r="AC40" s="1810">
        <f t="shared" si="5"/>
        <v>1</v>
      </c>
    </row>
    <row r="41" spans="1:29" ht="14.4">
      <c r="A41" s="479" t="s">
        <v>2716</v>
      </c>
      <c r="B41" s="2703" t="s">
        <v>2796</v>
      </c>
      <c r="C41" s="682" t="s">
        <v>1</v>
      </c>
      <c r="D41" s="481"/>
      <c r="E41" s="482"/>
      <c r="F41" s="483"/>
      <c r="G41" s="484"/>
      <c r="H41" s="485"/>
      <c r="I41" s="482"/>
      <c r="J41" s="485"/>
      <c r="K41" s="782"/>
      <c r="L41" s="1142"/>
      <c r="M41" s="1130"/>
      <c r="N41" s="1130"/>
      <c r="O41" s="1143"/>
      <c r="P41" s="3280" t="str">
        <f>A41</f>
        <v>成交单价</v>
      </c>
      <c r="Q41" s="3280"/>
      <c r="R41" s="3275">
        <f>E41</f>
        <v>0</v>
      </c>
      <c r="S41" s="3275"/>
      <c r="T41" s="3275">
        <f>G41</f>
        <v>0</v>
      </c>
      <c r="U41" s="3275"/>
      <c r="V41" s="3275">
        <f>I41</f>
        <v>0</v>
      </c>
      <c r="W41" s="3275"/>
      <c r="X41" s="758"/>
      <c r="Y41" s="780"/>
      <c r="Z41" s="758"/>
      <c r="AA41" s="758"/>
      <c r="AB41" s="758"/>
      <c r="AC41" s="758"/>
    </row>
    <row r="42" spans="1:29" ht="15" thickBot="1">
      <c r="A42" s="486" t="s">
        <v>2665</v>
      </c>
      <c r="B42" s="683"/>
      <c r="C42" s="490" t="e">
        <f>R43</f>
        <v>#DIV/0!</v>
      </c>
      <c r="D42" s="489"/>
      <c r="E42" s="490" t="e">
        <f>R42</f>
        <v>#DIV/0!</v>
      </c>
      <c r="F42" s="491"/>
      <c r="G42" s="488" t="e">
        <f>T42</f>
        <v>#DIV/0!</v>
      </c>
      <c r="H42" s="489"/>
      <c r="I42" s="490" t="e">
        <f>V42</f>
        <v>#DIV/0!</v>
      </c>
      <c r="J42" s="489"/>
      <c r="K42" s="783"/>
      <c r="L42" s="1142"/>
      <c r="M42" s="1130"/>
      <c r="N42" s="1130"/>
      <c r="O42" s="1143"/>
      <c r="P42" s="3280" t="str">
        <f>A42</f>
        <v>比较价值（元/平方米）</v>
      </c>
      <c r="Q42" s="3280"/>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 thickBot="1">
      <c r="A43" s="492" t="s">
        <v>2666</v>
      </c>
      <c r="B43" s="493"/>
      <c r="C43" s="494" t="e">
        <f>R43</f>
        <v>#DIV/0!</v>
      </c>
      <c r="D43" s="494"/>
      <c r="E43" s="494"/>
      <c r="F43" s="494"/>
      <c r="G43" s="494"/>
      <c r="H43" s="494"/>
      <c r="I43" s="494"/>
      <c r="J43" s="494"/>
      <c r="K43" s="784"/>
      <c r="L43" s="1142"/>
      <c r="M43" s="1130"/>
      <c r="N43" s="1130"/>
      <c r="O43" s="1143"/>
      <c r="P43" s="3277" t="str">
        <f>A43</f>
        <v>估价对象XX用房的比较价值（楼面单价，元/平方米）</v>
      </c>
      <c r="Q43" s="3278"/>
      <c r="R43" s="3311" t="e">
        <f>ROUND(AVERAGE(R42:V42),0)</f>
        <v>#DIV/0!</v>
      </c>
      <c r="S43" s="3311"/>
      <c r="T43" s="3311"/>
      <c r="U43" s="3311"/>
      <c r="V43" s="3311"/>
      <c r="W43" s="331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1"/>
      <c r="D49" s="759"/>
      <c r="E49" s="759"/>
      <c r="F49" s="759"/>
      <c r="G49" s="759"/>
      <c r="H49" s="759"/>
      <c r="I49" s="759"/>
      <c r="J49" s="759"/>
      <c r="K49" s="1147"/>
      <c r="L49" s="1148"/>
      <c r="M49" s="1144"/>
      <c r="N49" s="1144"/>
      <c r="O49" s="1144"/>
    </row>
    <row r="50" spans="1:17" ht="28.8">
      <c r="A50" s="684" t="s">
        <v>2754</v>
      </c>
      <c r="B50" s="685" t="s">
        <v>2755</v>
      </c>
      <c r="C50" s="2704" t="s">
        <v>2756</v>
      </c>
      <c r="D50" s="2705" t="s">
        <v>2757</v>
      </c>
      <c r="E50" s="686" t="s">
        <v>2758</v>
      </c>
      <c r="F50" s="687" t="s">
        <v>2759</v>
      </c>
      <c r="G50" s="3263" t="s">
        <v>2760</v>
      </c>
      <c r="H50" s="3312"/>
      <c r="I50" s="1813" t="s">
        <v>2797</v>
      </c>
      <c r="J50" s="1813">
        <f>项目基本情况!F35</f>
        <v>0</v>
      </c>
      <c r="K50" s="2707" t="s">
        <v>2762</v>
      </c>
      <c r="L50" s="1105"/>
      <c r="M50" s="1143"/>
      <c r="N50" s="1143"/>
      <c r="O50" s="1143"/>
    </row>
    <row r="51" spans="1:17" s="692" customFormat="1">
      <c r="A51" s="688" t="s">
        <v>2763</v>
      </c>
      <c r="B51" s="689" t="e">
        <f>C43</f>
        <v>#DIV/0!</v>
      </c>
      <c r="C51" s="690">
        <v>1</v>
      </c>
      <c r="D51" s="1162">
        <v>1</v>
      </c>
      <c r="E51" s="690">
        <f>'数据-汇总表'!E8+'数据-汇总表'!E9</f>
        <v>1340.42</v>
      </c>
      <c r="F51" s="691" t="e">
        <f t="shared" ref="F51:F60" si="15">ROUND(B51*E51/10000,0)</f>
        <v>#DIV/0!</v>
      </c>
      <c r="G51" s="3262"/>
      <c r="H51" s="3280"/>
      <c r="I51" s="941">
        <v>1</v>
      </c>
      <c r="J51" s="941">
        <v>1</v>
      </c>
      <c r="K51" s="1144"/>
      <c r="L51" s="940"/>
      <c r="M51" s="940"/>
      <c r="N51" s="940"/>
      <c r="O51" s="940"/>
    </row>
    <row r="52" spans="1:17" s="692" customFormat="1">
      <c r="A52" s="693" t="s">
        <v>2764</v>
      </c>
      <c r="B52" s="262" t="e">
        <f>ROUND($C$43*C52*D52,0)</f>
        <v>#DIV/0!</v>
      </c>
      <c r="C52" s="200">
        <f t="shared" ref="C52:C60" si="16">IF($C$50="北京市系数",I52,J52)</f>
        <v>0</v>
      </c>
      <c r="D52" s="1163">
        <v>0.25</v>
      </c>
      <c r="E52" s="694"/>
      <c r="F52" s="691" t="e">
        <f t="shared" si="15"/>
        <v>#DIV/0!</v>
      </c>
      <c r="G52" s="3313" t="s">
        <v>2765</v>
      </c>
      <c r="H52" s="1103">
        <f>项目基本情况!B37</f>
        <v>0</v>
      </c>
      <c r="I52" s="941">
        <f>SUMIF(修正!A45:A56,H52,修正!B45:B56)</f>
        <v>0</v>
      </c>
      <c r="J52" s="942"/>
      <c r="K52" s="1143"/>
      <c r="L52" s="940"/>
      <c r="M52" s="940"/>
      <c r="N52" s="940"/>
      <c r="O52" s="940"/>
    </row>
    <row r="53" spans="1:17" s="692" customFormat="1">
      <c r="A53" s="693" t="s">
        <v>2766</v>
      </c>
      <c r="B53" s="262" t="e">
        <f t="shared" ref="B53:B60" si="17">ROUND($C$43*C53*D53,0)</f>
        <v>#DIV/0!</v>
      </c>
      <c r="C53" s="200">
        <f t="shared" si="16"/>
        <v>0</v>
      </c>
      <c r="D53" s="1163">
        <v>0.25</v>
      </c>
      <c r="E53" s="694"/>
      <c r="F53" s="691" t="e">
        <f t="shared" si="15"/>
        <v>#DIV/0!</v>
      </c>
      <c r="G53" s="3313"/>
      <c r="H53" s="1103">
        <f>项目基本情况!B37</f>
        <v>0</v>
      </c>
      <c r="I53" s="941">
        <f>SUMIF(修正!A45:A56,H53,修正!C45:C56)</f>
        <v>0</v>
      </c>
      <c r="J53" s="942"/>
      <c r="K53" s="1144"/>
      <c r="L53" s="940"/>
      <c r="M53" s="940"/>
      <c r="N53" s="940"/>
      <c r="O53" s="940"/>
    </row>
    <row r="54" spans="1:17" s="692" customFormat="1">
      <c r="A54" s="693" t="s">
        <v>2767</v>
      </c>
      <c r="B54" s="262" t="e">
        <f t="shared" si="17"/>
        <v>#DIV/0!</v>
      </c>
      <c r="C54" s="200">
        <f t="shared" si="16"/>
        <v>0</v>
      </c>
      <c r="D54" s="1163">
        <v>0.25</v>
      </c>
      <c r="E54" s="694"/>
      <c r="F54" s="691" t="e">
        <f t="shared" si="15"/>
        <v>#DIV/0!</v>
      </c>
      <c r="G54" s="3313"/>
      <c r="H54" s="1103">
        <f>项目基本情况!B37</f>
        <v>0</v>
      </c>
      <c r="I54" s="941">
        <f>SUMIF(修正!A45:A56,H54,修正!D45:D56)</f>
        <v>0</v>
      </c>
      <c r="J54" s="942"/>
      <c r="K54" s="1143"/>
      <c r="L54" s="940"/>
      <c r="M54" s="940"/>
      <c r="N54" s="940"/>
      <c r="O54" s="940"/>
    </row>
    <row r="55" spans="1:17" s="692" customFormat="1">
      <c r="A55" s="693" t="s">
        <v>2768</v>
      </c>
      <c r="B55" s="262" t="e">
        <f t="shared" si="17"/>
        <v>#DIV/0!</v>
      </c>
      <c r="C55" s="200">
        <f t="shared" si="16"/>
        <v>0</v>
      </c>
      <c r="D55" s="1163">
        <v>0.25</v>
      </c>
      <c r="E55" s="694"/>
      <c r="F55" s="691" t="e">
        <f t="shared" si="15"/>
        <v>#DIV/0!</v>
      </c>
      <c r="G55" s="3313"/>
      <c r="H55" s="1103">
        <f>项目基本情况!B37</f>
        <v>0</v>
      </c>
      <c r="I55" s="941">
        <f>SUMIF(修正!A45:A56,H55,修正!E45:E56)</f>
        <v>0</v>
      </c>
      <c r="J55" s="942"/>
      <c r="K55" s="1144"/>
      <c r="L55" s="940"/>
      <c r="M55" s="940"/>
      <c r="N55" s="940"/>
      <c r="O55" s="940"/>
    </row>
    <row r="56" spans="1:17" s="692" customFormat="1">
      <c r="A56" s="693" t="s">
        <v>2769</v>
      </c>
      <c r="B56" s="262" t="e">
        <f t="shared" si="17"/>
        <v>#DIV/0!</v>
      </c>
      <c r="C56" s="200">
        <f t="shared" si="16"/>
        <v>0</v>
      </c>
      <c r="D56" s="1163">
        <v>0.25</v>
      </c>
      <c r="E56" s="261">
        <f>'数据-汇总表'!E11</f>
        <v>0</v>
      </c>
      <c r="F56" s="691" t="e">
        <f t="shared" si="15"/>
        <v>#DIV/0!</v>
      </c>
      <c r="G56" s="2708" t="s">
        <v>2770</v>
      </c>
      <c r="H56" s="1103">
        <f>项目基本情况!C37</f>
        <v>0</v>
      </c>
      <c r="I56" s="941">
        <f>SUMIF(修正!A45:A56,H56,修正!F45:F56)</f>
        <v>0</v>
      </c>
      <c r="J56" s="942"/>
      <c r="K56" s="1143"/>
      <c r="L56" s="940"/>
      <c r="M56" s="940"/>
      <c r="N56" s="940"/>
      <c r="O56" s="940"/>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t="e">
        <f t="shared" si="17"/>
        <v>#DIV/0!</v>
      </c>
      <c r="C59" s="200">
        <f t="shared" si="16"/>
        <v>0</v>
      </c>
      <c r="D59" s="1163">
        <v>0.25</v>
      </c>
      <c r="E59" s="261">
        <f>'数据-汇总表'!E14</f>
        <v>0</v>
      </c>
      <c r="F59" s="691" t="e">
        <f t="shared" si="15"/>
        <v>#DIV/0!</v>
      </c>
      <c r="G59" s="2708" t="s">
        <v>2765</v>
      </c>
      <c r="H59" s="1103">
        <f>项目基本情况!B37</f>
        <v>0</v>
      </c>
      <c r="I59" s="941">
        <f>SUMIF(修正!A45:A56,H59,修正!H45:H56)</f>
        <v>0</v>
      </c>
      <c r="J59" s="942"/>
      <c r="K59" s="1144"/>
      <c r="L59" s="940"/>
      <c r="M59" s="940"/>
      <c r="N59" s="940"/>
      <c r="O59" s="940"/>
    </row>
    <row r="60" spans="1:17" s="692" customFormat="1" ht="14.4" thickBot="1">
      <c r="A60" s="693" t="s">
        <v>2776</v>
      </c>
      <c r="B60" s="262" t="e">
        <f t="shared" si="17"/>
        <v>#DIV/0!</v>
      </c>
      <c r="C60" s="200">
        <f t="shared" si="16"/>
        <v>0</v>
      </c>
      <c r="D60" s="1163">
        <v>0.25</v>
      </c>
      <c r="E60" s="261">
        <f>'数据-汇总表'!E15</f>
        <v>0</v>
      </c>
      <c r="F60" s="691" t="e">
        <f t="shared" si="15"/>
        <v>#DIV/0!</v>
      </c>
      <c r="G60" s="2709" t="s">
        <v>2770</v>
      </c>
      <c r="H60" s="1113">
        <f>项目基本情况!C37</f>
        <v>0</v>
      </c>
      <c r="I60" s="941">
        <f>SUMIF(修正!A45:A56,H60,修正!H45:H56)</f>
        <v>0</v>
      </c>
      <c r="J60" s="942"/>
      <c r="K60" s="1143"/>
      <c r="L60" s="940"/>
      <c r="M60" s="940"/>
      <c r="N60" s="940"/>
      <c r="O60" s="940"/>
    </row>
    <row r="61" spans="1:17" s="692" customFormat="1" ht="14.4" thickBot="1">
      <c r="A61" s="695" t="s">
        <v>2777</v>
      </c>
      <c r="B61" s="696" t="s">
        <v>28</v>
      </c>
      <c r="C61" s="696" t="s">
        <v>29</v>
      </c>
      <c r="D61" s="696" t="s">
        <v>1026</v>
      </c>
      <c r="E61" s="696">
        <f>IF(B41="楼面地价",SUM(E51:E60),'数据-汇总表'!D3)</f>
        <v>4009</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2.2" thickBot="1">
      <c r="A64" s="762" t="s">
        <v>2670</v>
      </c>
      <c r="B64" s="758"/>
      <c r="C64" s="763"/>
      <c r="D64" s="763"/>
      <c r="E64" s="763"/>
      <c r="F64" s="764"/>
      <c r="G64" s="764"/>
      <c r="H64" s="763"/>
      <c r="I64" s="763"/>
      <c r="J64" s="763"/>
      <c r="K64" s="765"/>
      <c r="L64" s="766"/>
      <c r="M64" s="763"/>
      <c r="N64" s="763"/>
      <c r="O64" s="1158"/>
      <c r="P64" s="503"/>
      <c r="Q64" s="504"/>
    </row>
    <row r="65" spans="1:17" s="508" customFormat="1" ht="14.4">
      <c r="A65" s="2710" t="s">
        <v>2778</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5" t="s">
        <v>2798</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2584</v>
      </c>
      <c r="B70" s="528" t="s">
        <v>2550</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2553</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2687</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2746</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1" customWidth="1"/>
    <col min="33" max="36" width="9.33203125" style="2787" customWidth="1"/>
    <col min="37" max="38" width="9.33203125" style="2719" customWidth="1"/>
    <col min="39" max="16384" width="12" style="2719"/>
  </cols>
  <sheetData>
    <row r="1" spans="1:36" ht="31.2">
      <c r="A1" s="240" t="s">
        <v>2800</v>
      </c>
      <c r="B1" s="241"/>
      <c r="C1" s="245" t="s">
        <v>2801</v>
      </c>
      <c r="D1" s="388">
        <f>SUM(D29:D30,D33:D39)</f>
        <v>0</v>
      </c>
      <c r="E1" s="2716"/>
      <c r="F1" s="2716"/>
      <c r="G1" s="2716"/>
      <c r="H1" s="2716"/>
      <c r="I1" s="2716"/>
      <c r="J1" s="2716"/>
      <c r="K1" s="1369"/>
      <c r="L1" s="2717" t="s">
        <v>2802</v>
      </c>
      <c r="M1" s="1079">
        <f>SUMPRODUCT((区片价!B5:B9=I2)*(区片价!C3:F3=E2)*(区片价!C5:F9))</f>
        <v>0</v>
      </c>
      <c r="N1" s="1082">
        <f>SUMPRODUCT((因素修正幅度!B5:B9=I2)*(因素修正幅度!C3:F3=E2)*(因素修正幅度!C5:F9))</f>
        <v>0</v>
      </c>
      <c r="O1" s="2718"/>
      <c r="P1" s="2718"/>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69"/>
      <c r="L2" s="2725"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20" t="s">
        <v>2815</v>
      </c>
      <c r="D3" s="2721" t="s">
        <v>2816</v>
      </c>
      <c r="E3" s="2726"/>
      <c r="F3" s="2727" t="s">
        <v>2817</v>
      </c>
      <c r="G3" s="915">
        <f>IF(F3="宗地容积率",'数据-汇总表'!I4,IF(F3="估价对象容积率",'数据-汇总表'!I6,'数据-汇总表'!I7))</f>
        <v>0.33</v>
      </c>
      <c r="H3" s="198" t="s">
        <v>2818</v>
      </c>
      <c r="I3" s="943"/>
      <c r="J3" s="2724" t="s">
        <v>2819</v>
      </c>
      <c r="K3" s="1369"/>
      <c r="L3" s="2725"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34"/>
      <c r="B4" s="3335"/>
      <c r="C4" s="3335"/>
      <c r="D4" s="3336"/>
      <c r="E4" s="3336"/>
      <c r="F4" s="3336"/>
      <c r="G4" s="3336"/>
      <c r="H4" s="3336"/>
      <c r="I4" s="3336"/>
      <c r="J4" s="3337"/>
      <c r="K4" s="1369"/>
      <c r="L4" s="2725"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2822</v>
      </c>
      <c r="C5" s="916" t="e">
        <f>ROUND(IF(E2="商业",C6*C7+C16,(IF(E2="住宅",C6*C12+C16,C6+C16))),0)</f>
        <v>#DIV/0!</v>
      </c>
      <c r="D5" s="1786" t="e">
        <f>ROUND(C6+C16,0)</f>
        <v>#DIV/0!</v>
      </c>
      <c r="E5" s="1786"/>
      <c r="F5" s="2730"/>
      <c r="G5" s="2731"/>
      <c r="H5" s="2731"/>
      <c r="I5" s="2731"/>
      <c r="J5" s="2732"/>
      <c r="K5" s="2733"/>
      <c r="L5" s="2725"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6" thickBot="1">
      <c r="A6" s="2738" t="s">
        <v>2824</v>
      </c>
      <c r="B6" s="2739" t="s">
        <v>2825</v>
      </c>
      <c r="C6" s="917">
        <f>SUMIF(L1:L12,G2,M1:M12)</f>
        <v>0</v>
      </c>
      <c r="D6" s="2740" t="s">
        <v>2826</v>
      </c>
      <c r="E6" s="2741"/>
      <c r="F6" s="2741"/>
      <c r="G6" s="2742"/>
      <c r="H6" s="2742"/>
      <c r="I6" s="2742"/>
      <c r="J6" s="2743"/>
      <c r="K6" s="1841"/>
      <c r="L6" s="2725"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18" t="str">
        <f>IF(E2="商业",IF(C8="不临58条商业街","",2),"")</f>
        <v/>
      </c>
      <c r="B7" s="2744" t="s">
        <v>2828</v>
      </c>
      <c r="C7" s="918" t="e">
        <f>IF(C8="不临58条商业街",1,ROUND(1+(1.6*E8+1.2*E9+0.8*E10+0.4*E11)*C9,4))</f>
        <v>#DIV/0!</v>
      </c>
      <c r="D7" s="2745" t="s">
        <v>2829</v>
      </c>
      <c r="E7" s="944"/>
      <c r="F7" s="2746"/>
      <c r="G7" s="2747"/>
      <c r="H7" s="2747"/>
      <c r="I7" s="2747"/>
      <c r="J7" s="2748"/>
      <c r="K7" s="1841"/>
      <c r="L7" s="2725"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0.33</v>
      </c>
      <c r="AA7" s="1605"/>
      <c r="AB7" s="1605"/>
      <c r="AC7" s="1606"/>
      <c r="AD7" s="1607"/>
      <c r="AE7" s="1607"/>
      <c r="AF7" s="1607"/>
      <c r="AG7" s="1607"/>
      <c r="AH7" s="1607"/>
      <c r="AI7" s="1607"/>
      <c r="AJ7" s="1608"/>
    </row>
    <row r="8" spans="1:36" ht="15">
      <c r="A8" s="3338"/>
      <c r="B8" s="198" t="s">
        <v>2833</v>
      </c>
      <c r="C8" s="2749"/>
      <c r="D8" s="919" t="s">
        <v>139</v>
      </c>
      <c r="E8" s="920" t="e">
        <f>ROUND(C11/E7,4)</f>
        <v>#DIV/0!</v>
      </c>
      <c r="F8" s="2750" t="s">
        <v>2834</v>
      </c>
      <c r="G8" s="2751"/>
      <c r="H8" s="2751"/>
      <c r="I8" s="2751"/>
      <c r="J8" s="2752"/>
      <c r="K8" s="1369"/>
      <c r="L8" s="2725"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31" t="s">
        <v>2836</v>
      </c>
      <c r="X8" s="3332"/>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38"/>
      <c r="B9" s="198" t="s">
        <v>2849</v>
      </c>
      <c r="C9" s="921">
        <f>SUMIF(修正!C59:C119,C8,修正!E59:E119)</f>
        <v>0</v>
      </c>
      <c r="D9" s="200" t="s">
        <v>140</v>
      </c>
      <c r="E9" s="200" t="e">
        <f>ROUND(C11/E7,4)</f>
        <v>#DIV/0!</v>
      </c>
      <c r="F9" s="2750" t="s">
        <v>2850</v>
      </c>
      <c r="G9" s="2751"/>
      <c r="H9" s="2751"/>
      <c r="I9" s="2751"/>
      <c r="J9" s="2752"/>
      <c r="K9" s="1369"/>
      <c r="L9" s="2725"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33"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8"/>
      <c r="B10" s="198" t="s">
        <v>2854</v>
      </c>
      <c r="C10" s="200">
        <f>SUMIF(修正!C59:C119,C8,修正!F59:F119)</f>
        <v>0</v>
      </c>
      <c r="D10" s="200" t="s">
        <v>141</v>
      </c>
      <c r="E10" s="200" t="e">
        <f>ROUND(C11/E7,4)</f>
        <v>#DIV/0!</v>
      </c>
      <c r="F10" s="2750" t="s">
        <v>2855</v>
      </c>
      <c r="G10" s="2751"/>
      <c r="H10" s="2751"/>
      <c r="I10" s="2751"/>
      <c r="J10" s="2752"/>
      <c r="K10" s="1369"/>
      <c r="L10" s="2725"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3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38"/>
      <c r="B11" s="2753" t="s">
        <v>2857</v>
      </c>
      <c r="C11" s="922">
        <f>C10/4</f>
        <v>0</v>
      </c>
      <c r="D11" s="922" t="s">
        <v>142</v>
      </c>
      <c r="E11" s="922" t="e">
        <f>ROUND(C11/E7,4)</f>
        <v>#DIV/0!</v>
      </c>
      <c r="F11" s="2754" t="s">
        <v>2858</v>
      </c>
      <c r="G11" s="2755"/>
      <c r="H11" s="2755"/>
      <c r="I11" s="2755"/>
      <c r="J11" s="2756"/>
      <c r="K11" s="1369"/>
      <c r="L11" s="2725"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33" t="s">
        <v>2860</v>
      </c>
      <c r="X11" s="1613" t="s">
        <v>2861</v>
      </c>
      <c r="Y11" s="1614">
        <f>$G$3</f>
        <v>0.33</v>
      </c>
      <c r="Z11" s="1614">
        <f t="shared" ref="Z11:AJ11" si="3">$G$3</f>
        <v>0.33</v>
      </c>
      <c r="AA11" s="1614">
        <f t="shared" si="3"/>
        <v>0.33</v>
      </c>
      <c r="AB11" s="1614">
        <f t="shared" si="3"/>
        <v>0.33</v>
      </c>
      <c r="AC11" s="1614">
        <f t="shared" si="3"/>
        <v>0.33</v>
      </c>
      <c r="AD11" s="1614">
        <f t="shared" si="3"/>
        <v>0.33</v>
      </c>
      <c r="AE11" s="1614">
        <f t="shared" si="3"/>
        <v>0.33</v>
      </c>
      <c r="AF11" s="1614">
        <f t="shared" si="3"/>
        <v>0.33</v>
      </c>
      <c r="AG11" s="1614">
        <f t="shared" si="3"/>
        <v>0.33</v>
      </c>
      <c r="AH11" s="1614">
        <f t="shared" si="3"/>
        <v>0.33</v>
      </c>
      <c r="AI11" s="1614">
        <f t="shared" si="3"/>
        <v>0.33</v>
      </c>
      <c r="AJ11" s="1614">
        <f t="shared" si="3"/>
        <v>0.33</v>
      </c>
    </row>
    <row r="12" spans="1:36" ht="25.8" thickBot="1">
      <c r="A12" s="3318" t="s">
        <v>2862</v>
      </c>
      <c r="B12" s="2757" t="s">
        <v>2863</v>
      </c>
      <c r="C12" s="918">
        <f>ROUND(C15*D15*E15*F15*G15*H15*I15*J15,4)</f>
        <v>1</v>
      </c>
      <c r="D12" s="2758" t="s">
        <v>2864</v>
      </c>
      <c r="E12" s="2759"/>
      <c r="F12" s="2759"/>
      <c r="G12" s="2760"/>
      <c r="H12" s="2760"/>
      <c r="I12" s="2760"/>
      <c r="J12" s="2761"/>
      <c r="K12" s="1369"/>
      <c r="L12" s="2762"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33"/>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9"/>
      <c r="B13" s="2763" t="s">
        <v>2867</v>
      </c>
      <c r="C13" s="2764" t="s">
        <v>2868</v>
      </c>
      <c r="D13" s="1807" t="s">
        <v>2869</v>
      </c>
      <c r="E13" s="1807" t="s">
        <v>2870</v>
      </c>
      <c r="F13" s="30" t="s">
        <v>2871</v>
      </c>
      <c r="G13" s="2765" t="s">
        <v>2872</v>
      </c>
      <c r="H13" s="2765" t="s">
        <v>2872</v>
      </c>
      <c r="I13" s="2765" t="s">
        <v>2872</v>
      </c>
      <c r="J13" s="2766" t="s">
        <v>2872</v>
      </c>
      <c r="K13" s="1369"/>
      <c r="L13" s="1369"/>
      <c r="M13" s="1369"/>
      <c r="N13" s="1369"/>
      <c r="O13" s="1369"/>
      <c r="P13" s="1369"/>
      <c r="Q13" s="1369"/>
      <c r="R13" s="1601">
        <v>12</v>
      </c>
      <c r="S13" s="1602"/>
      <c r="T13" s="1601" t="e">
        <f t="shared" si="0"/>
        <v>#DIV/0!</v>
      </c>
      <c r="U13" s="1602"/>
      <c r="V13" s="1601" t="e">
        <f t="shared" si="1"/>
        <v>#DIV/0!</v>
      </c>
      <c r="W13" s="3333"/>
      <c r="X13" s="1615"/>
      <c r="Y13" s="1612">
        <f>(-0.163*(Y12^2)-0.59*Y12+7617)*(10^(-4))/Y11</f>
        <v>2.3081818181818181</v>
      </c>
      <c r="Z13" s="1612">
        <f t="shared" ref="Z13:AJ13" si="5">(-0.163*(Z12^2)-0.59*Z12+7617)*(10^(-4))/Z11</f>
        <v>2.3081818181818181</v>
      </c>
      <c r="AA13" s="1612">
        <f t="shared" si="5"/>
        <v>2.3081818181818181</v>
      </c>
      <c r="AB13" s="1612">
        <f t="shared" si="5"/>
        <v>2.3081818181818181</v>
      </c>
      <c r="AC13" s="1612">
        <f t="shared" si="5"/>
        <v>2.3081818181818181</v>
      </c>
      <c r="AD13" s="1612">
        <f t="shared" si="5"/>
        <v>2.3081818181818181</v>
      </c>
      <c r="AE13" s="1612">
        <f t="shared" si="5"/>
        <v>2.3081818181818181</v>
      </c>
      <c r="AF13" s="1612">
        <f t="shared" si="5"/>
        <v>2.3081818181818181</v>
      </c>
      <c r="AG13" s="1612">
        <f t="shared" si="5"/>
        <v>2.3081818181818181</v>
      </c>
      <c r="AH13" s="1612">
        <f t="shared" si="5"/>
        <v>2.3081818181818181</v>
      </c>
      <c r="AI13" s="1612">
        <f t="shared" si="5"/>
        <v>2.3081818181818181</v>
      </c>
      <c r="AJ13" s="1612">
        <f t="shared" si="5"/>
        <v>2.3081818181818181</v>
      </c>
    </row>
    <row r="14" spans="1:36" ht="15">
      <c r="A14" s="3339"/>
      <c r="B14" s="2767"/>
      <c r="C14" s="2768"/>
      <c r="D14" s="2769"/>
      <c r="E14" s="2769"/>
      <c r="F14" s="2770"/>
      <c r="G14" s="2771" t="s">
        <v>2873</v>
      </c>
      <c r="H14" s="2772"/>
      <c r="I14" s="2773"/>
      <c r="J14" s="2774"/>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40"/>
      <c r="B15" s="2775" t="s">
        <v>2874</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18" t="s">
        <v>2879</v>
      </c>
      <c r="B16" s="2744" t="s">
        <v>2880</v>
      </c>
      <c r="C16" s="2931" t="e">
        <f>ROUND(IF(F17="与级别开发程度一致",0,(G17-E17)/C17),0)</f>
        <v>#DIV/0!</v>
      </c>
      <c r="D16" s="3329" t="s">
        <v>2884</v>
      </c>
      <c r="E16" s="3330"/>
      <c r="F16" s="3329" t="s">
        <v>2881</v>
      </c>
      <c r="G16" s="3330"/>
      <c r="H16" s="2778"/>
      <c r="I16" s="2778"/>
      <c r="J16" s="2935"/>
      <c r="K16" s="2778"/>
      <c r="L16" s="2778"/>
      <c r="M16" s="2778"/>
      <c r="N16" s="2778"/>
      <c r="O16" s="2779"/>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19"/>
      <c r="B17" s="2942" t="s">
        <v>2883</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 thickBot="1">
      <c r="A18" s="2936" t="s">
        <v>808</v>
      </c>
      <c r="B18" s="2937" t="s">
        <v>2886</v>
      </c>
      <c r="C18" s="2938">
        <f>SUMIF(修正!C18:C39,E3,修正!E18:E39)</f>
        <v>0</v>
      </c>
      <c r="D18" s="2939"/>
      <c r="E18" s="2940"/>
      <c r="F18" s="2940"/>
      <c r="G18" s="2940"/>
      <c r="H18" s="2940"/>
      <c r="I18" s="2940"/>
      <c r="J18" s="2941"/>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4" thickBot="1">
      <c r="A19" s="2783" t="s">
        <v>809</v>
      </c>
      <c r="B19" s="2784" t="s">
        <v>2887</v>
      </c>
      <c r="C19" s="923" t="e">
        <f>ROUND(IF(H19="按公示增长率计算",SUMPRODUCT((地价!A3:A27=YEAR(G19)&amp;"-"&amp;ROUNDUP(MONTH(G19)/3,0))*(地价!X2:AB2=E2)*(地价!X3:AB27)),IF(H19="地价指数",M20/M19,(1+I19)^O19)),4)</f>
        <v>#VALUE!</v>
      </c>
      <c r="D19" s="2788" t="s">
        <v>2888</v>
      </c>
      <c r="E19" s="924">
        <v>41640</v>
      </c>
      <c r="F19" s="2788" t="s">
        <v>2889</v>
      </c>
      <c r="G19" s="925">
        <f>'数据-取费表'!B2</f>
        <v>43734</v>
      </c>
      <c r="H19" s="2789"/>
      <c r="I19" s="926" t="str">
        <f>IF(H19="季度增幅（自定义）",SUMIF(N21:N24,E2,O21:O24),"")</f>
        <v/>
      </c>
      <c r="J19" s="2786"/>
      <c r="K19" s="1376"/>
      <c r="L19" s="2790" t="s">
        <v>2890</v>
      </c>
      <c r="M19" s="1733">
        <f>ROUND(SUMIF(地价!B2:F2,E2,地价!B27:F27),0)</f>
        <v>0</v>
      </c>
      <c r="N19" s="2791" t="s">
        <v>2891</v>
      </c>
      <c r="O19" s="927">
        <f>ROUNDDOWN(DATEDIF(E19,G19,"M")/3,0)</f>
        <v>22</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9.4" thickBot="1">
      <c r="A20" s="2795" t="s">
        <v>810</v>
      </c>
      <c r="B20" s="2796" t="s">
        <v>2892</v>
      </c>
      <c r="C20" s="928" t="e">
        <f>ROUND(POWER(1+G20,J20-I20)*(POWER(1+G20,I20)-1)/(POWER(1+G20,J20)-1),4)</f>
        <v>#DIV/0!</v>
      </c>
      <c r="D20" s="2797" t="s">
        <v>2893</v>
      </c>
      <c r="E20" s="1767">
        <f ca="1">存贷款利率!D4/100</f>
        <v>4.3499999999999997E-2</v>
      </c>
      <c r="F20" s="2797" t="s">
        <v>2885</v>
      </c>
      <c r="G20" s="933">
        <f>SUMIF(M26:P26,E2,M28:P28)</f>
        <v>0</v>
      </c>
      <c r="H20" s="2797" t="s">
        <v>2894</v>
      </c>
      <c r="I20" s="934" t="e">
        <f>SUMIF('数据-取费表'!C6:C15,E2,'数据-取费表'!F6:F15)/COUNTIF('数据-取费表'!C6:C15,E2)</f>
        <v>#DIV/0!</v>
      </c>
      <c r="J20" s="935">
        <f>IF(E2="住宅",70,IF(E2="商业",40,50))</f>
        <v>50</v>
      </c>
      <c r="K20" s="1376"/>
      <c r="L20" s="2798" t="s">
        <v>2895</v>
      </c>
      <c r="M20" s="1734">
        <f>ROUND(SUMPRODUCT((地价!A4:A27=YEAR(G19)&amp;"-"&amp;ROUNDUP(MONTH(G19)/3,0))*(地价!B2:F2=E2)*(地价!B4:F27)),0)</f>
        <v>0</v>
      </c>
      <c r="N20" s="2799" t="s">
        <v>2896</v>
      </c>
      <c r="O20" s="2800" t="s">
        <v>2897</v>
      </c>
      <c r="P20" s="2801" t="s">
        <v>2898</v>
      </c>
      <c r="R20" s="1375"/>
      <c r="S20" s="1375"/>
      <c r="T20" s="1370"/>
      <c r="U20" s="1370"/>
      <c r="V20" s="1370"/>
      <c r="W20" s="1369"/>
      <c r="X20" s="1369"/>
      <c r="Y20" s="1369"/>
      <c r="Z20" s="1376"/>
      <c r="AA20" s="1377"/>
      <c r="AB20" s="1377"/>
      <c r="AC20" s="1377"/>
      <c r="AD20" s="1377"/>
      <c r="AE20" s="1377"/>
      <c r="AF20" s="1377"/>
    </row>
    <row r="21" spans="1:37" s="2737" customFormat="1" ht="14.4">
      <c r="A21" s="2802" t="s">
        <v>811</v>
      </c>
      <c r="B21" s="2803" t="s">
        <v>2899</v>
      </c>
      <c r="C21" s="936">
        <f>IF(B21="容积率修正",IF(G3&lt;=10,D22,J22),C23)</f>
        <v>0</v>
      </c>
      <c r="D21" s="2804"/>
      <c r="E21" s="2804"/>
      <c r="F21" s="2804"/>
      <c r="G21" s="2804"/>
      <c r="H21" s="2804"/>
      <c r="I21" s="2804"/>
      <c r="J21" s="2805"/>
      <c r="K21" s="1376"/>
      <c r="N21" s="2806" t="s">
        <v>2900</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7" customFormat="1" ht="14.4">
      <c r="A22" s="2663" t="s">
        <v>2901</v>
      </c>
      <c r="B22" s="2807" t="s">
        <v>2902</v>
      </c>
      <c r="C22" s="1809" t="s">
        <v>2903</v>
      </c>
      <c r="D22" s="1809">
        <f>IF(E22=G22,F22,IF(G3&lt;=10,ROUND(F22+(H22-F22)*(G3-E22)/(G22-E22),4),"——"))</f>
        <v>0</v>
      </c>
      <c r="E22" s="915">
        <f>ROUNDDOWN(G3,1)</f>
        <v>0.3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6" t="s">
        <v>2904</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3" t="s">
        <v>2905</v>
      </c>
      <c r="B23" s="2808" t="s">
        <v>2906</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2907</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7"/>
    </row>
    <row r="24" spans="1:37" s="2737" customFormat="1" ht="15" thickBot="1">
      <c r="A24" s="2795" t="s">
        <v>812</v>
      </c>
      <c r="B24" s="2784" t="s">
        <v>2908</v>
      </c>
      <c r="C24" s="923">
        <f>SUMIF(A45:A88,E2,B45:B88)</f>
        <v>0</v>
      </c>
      <c r="D24" s="2785"/>
      <c r="E24" s="2814"/>
      <c r="F24" s="2814"/>
      <c r="G24" s="2814"/>
      <c r="H24" s="2814"/>
      <c r="I24" s="2814"/>
      <c r="J24" s="2815"/>
      <c r="K24" s="1376"/>
      <c r="N24" s="2816" t="s">
        <v>2909</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2910</v>
      </c>
      <c r="C25" s="929"/>
      <c r="D25" s="2747"/>
      <c r="E25" s="2747"/>
      <c r="F25" s="2818"/>
      <c r="G25" s="2747"/>
      <c r="H25" s="2747"/>
      <c r="I25" s="2747"/>
      <c r="J25" s="2748"/>
      <c r="K25" s="1369"/>
      <c r="N25" s="2819" t="s">
        <v>2911</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0"/>
      <c r="B26" s="2807" t="s">
        <v>2912</v>
      </c>
      <c r="C26" s="206" t="e">
        <f>E29+SUM(E33:E39)</f>
        <v>#DIV/0!</v>
      </c>
      <c r="D26" s="2821"/>
      <c r="E26" s="2772"/>
      <c r="F26" s="2822"/>
      <c r="G26" s="2772"/>
      <c r="H26" s="2772"/>
      <c r="I26" s="2772"/>
      <c r="J26" s="2823"/>
      <c r="K26" s="1369"/>
      <c r="L26" s="2776" t="s">
        <v>2810</v>
      </c>
      <c r="M26" s="919" t="s">
        <v>2875</v>
      </c>
      <c r="N26" s="919" t="s">
        <v>2876</v>
      </c>
      <c r="O26" s="919" t="s">
        <v>2877</v>
      </c>
      <c r="P26" s="2777" t="s">
        <v>2878</v>
      </c>
      <c r="R26" s="1375"/>
      <c r="S26" s="1375"/>
      <c r="T26" s="1370"/>
      <c r="U26" s="1370"/>
      <c r="V26" s="1370"/>
      <c r="W26" s="1369"/>
      <c r="X26" s="1369"/>
      <c r="Y26" s="1369"/>
      <c r="Z26" s="1376"/>
      <c r="AA26" s="1377"/>
      <c r="AB26" s="1377"/>
      <c r="AC26" s="1377"/>
      <c r="AD26" s="1377"/>
    </row>
    <row r="27" spans="1:37" ht="15" thickBot="1">
      <c r="A27" s="2820"/>
      <c r="B27" s="2824" t="s">
        <v>2913</v>
      </c>
      <c r="C27" s="930" t="e">
        <f>E30+SUM(I33:I39)</f>
        <v>#DIV/0!</v>
      </c>
      <c r="D27" s="2825"/>
      <c r="E27" s="2826"/>
      <c r="F27" s="2827"/>
      <c r="G27" s="2826"/>
      <c r="H27" s="2826"/>
      <c r="I27" s="2826"/>
      <c r="J27" s="2828"/>
      <c r="K27" s="1369"/>
      <c r="L27" s="2780" t="s">
        <v>2882</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9"/>
      <c r="B28" s="2830" t="s">
        <v>2914</v>
      </c>
      <c r="C28" s="2831" t="s">
        <v>2915</v>
      </c>
      <c r="D28" s="2831" t="s">
        <v>2916</v>
      </c>
      <c r="E28" s="2832" t="s">
        <v>2917</v>
      </c>
      <c r="F28" s="2833"/>
      <c r="G28" s="2760"/>
      <c r="H28" s="2760"/>
      <c r="I28" s="2760"/>
      <c r="J28" s="2761"/>
      <c r="K28" s="1369"/>
      <c r="L28" s="2781" t="s">
        <v>2885</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2918</v>
      </c>
      <c r="C29" s="206" t="e">
        <f>ROUND(C5*C18*C19*C20*C21*C24,0)</f>
        <v>#DIV/0!</v>
      </c>
      <c r="D29" s="2836"/>
      <c r="E29" s="941" t="e">
        <f>ROUND(C29*D29/10000,0)</f>
        <v>#DIV/0!</v>
      </c>
      <c r="F29" s="2837" t="s">
        <v>2919</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8" thickBot="1">
      <c r="A30" s="2840"/>
      <c r="B30" s="2841" t="s">
        <v>2920</v>
      </c>
      <c r="C30" s="229" t="e">
        <f>ROUND(IF(E2="工业",C29*M39,C29*M38),0)</f>
        <v>#DIV/0!</v>
      </c>
      <c r="D30" s="2842"/>
      <c r="E30" s="941" t="e">
        <f>ROUND(C30*D30/10000,0)</f>
        <v>#DIV/0!</v>
      </c>
      <c r="F30" s="2843" t="s">
        <v>2921</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3.8">
      <c r="A31" s="2846"/>
      <c r="B31" s="2847" t="s">
        <v>2922</v>
      </c>
      <c r="C31" s="2848" t="s">
        <v>2923</v>
      </c>
      <c r="D31" s="2760"/>
      <c r="E31" s="2848"/>
      <c r="F31" s="2848"/>
      <c r="G31" s="2758" t="s">
        <v>2924</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36">
      <c r="A32" s="2834"/>
      <c r="B32" s="2850"/>
      <c r="C32" s="501" t="s">
        <v>2915</v>
      </c>
      <c r="D32" s="498" t="s">
        <v>2916</v>
      </c>
      <c r="E32" s="498" t="s">
        <v>2917</v>
      </c>
      <c r="F32" s="388" t="s">
        <v>2925</v>
      </c>
      <c r="G32" s="2851" t="s">
        <v>2915</v>
      </c>
      <c r="H32" s="2851" t="s">
        <v>2916</v>
      </c>
      <c r="I32" s="2851"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326"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27"/>
      <c r="B34" s="2764"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7"/>
      <c r="B35" s="2764"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9"/>
      <c r="L35" s="1369"/>
      <c r="M35" s="1369"/>
      <c r="N35" s="1369"/>
      <c r="O35" s="1369"/>
      <c r="P35" s="1369"/>
      <c r="Q35" s="1369"/>
      <c r="R35" s="1369"/>
      <c r="S35" s="1369"/>
      <c r="T35" s="1369"/>
      <c r="U35" s="1369"/>
      <c r="V35" s="1369"/>
      <c r="W35" s="1369"/>
      <c r="X35" s="1369"/>
      <c r="Y35" s="1369"/>
      <c r="Z35" s="1370"/>
    </row>
    <row r="36" spans="1:37" ht="13.8" thickBot="1">
      <c r="A36" s="3328"/>
      <c r="B36" s="2764"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9"/>
      <c r="L37" s="2855" t="s">
        <v>2932</v>
      </c>
      <c r="M37" s="2856"/>
      <c r="N37" s="1369"/>
      <c r="O37" s="1369"/>
      <c r="P37" s="1369"/>
      <c r="Q37" s="1369"/>
      <c r="R37" s="1369"/>
      <c r="S37" s="1369"/>
      <c r="T37" s="1369"/>
      <c r="U37" s="1369"/>
      <c r="V37" s="1369"/>
      <c r="W37" s="1369"/>
      <c r="X37" s="1369"/>
      <c r="Y37" s="1369"/>
      <c r="Z37" s="1370"/>
    </row>
    <row r="38" spans="1:37">
      <c r="A38" s="2854"/>
      <c r="B38" s="2764"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9"/>
      <c r="L38" s="1886" t="s">
        <v>2934</v>
      </c>
      <c r="M38" s="2857">
        <v>0.25</v>
      </c>
      <c r="N38" s="1369"/>
      <c r="O38" s="1369"/>
      <c r="P38" s="1369"/>
      <c r="Q38" s="1369"/>
      <c r="R38" s="1369"/>
      <c r="S38" s="1369"/>
      <c r="T38" s="1369"/>
      <c r="U38" s="1369"/>
      <c r="V38" s="1369"/>
      <c r="W38" s="1369"/>
      <c r="X38" s="1369"/>
      <c r="Y38" s="1369"/>
      <c r="Z38" s="1370"/>
    </row>
    <row r="39" spans="1:37" ht="13.8" thickBot="1">
      <c r="A39" s="2840"/>
      <c r="B39" s="2858" t="s">
        <v>2935</v>
      </c>
      <c r="C39" s="229" t="e">
        <f>ROUND(D5*C19*C41*C24*F39,0)</f>
        <v>#DIV/0!</v>
      </c>
      <c r="D39" s="2842"/>
      <c r="E39" s="229" t="e">
        <f t="shared" si="7"/>
        <v>#DIV/0!</v>
      </c>
      <c r="F39" s="931">
        <f>SUMIF(修正!A45:A56,G2,修正!H45:H56)</f>
        <v>0</v>
      </c>
      <c r="G39" s="229" t="e">
        <f>ROUND(IF(E2="工业",C39*$M$39,C39*$M$38),0)</f>
        <v>#DIV/0!</v>
      </c>
      <c r="H39" s="229">
        <f t="shared" si="8"/>
        <v>0</v>
      </c>
      <c r="I39" s="229" t="e">
        <f t="shared" si="9"/>
        <v>#DIV/0!</v>
      </c>
      <c r="J39" s="2859"/>
      <c r="K39" s="1369"/>
      <c r="L39" s="2860" t="s">
        <v>2878</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3044</v>
      </c>
      <c r="C41" s="388" t="e">
        <f>ROUND(POWER(1+E41,H41-G41)*(POWER(1+E41,G41)-1)/(POWER(1+E41,H41)-1),4)</f>
        <v>#DIV/0!</v>
      </c>
      <c r="D41" s="200" t="s">
        <v>2885</v>
      </c>
      <c r="E41" s="2928">
        <f>G20</f>
        <v>0</v>
      </c>
      <c r="F41" s="200" t="s">
        <v>2894</v>
      </c>
      <c r="G41" s="218"/>
      <c r="H41" s="200">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2936</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4.4">
      <c r="A46" s="2865" t="s">
        <v>2937</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5.2">
      <c r="A47" s="2869" t="s">
        <v>2938</v>
      </c>
      <c r="B47" s="1808" t="s">
        <v>2939</v>
      </c>
      <c r="C47" s="1808" t="s">
        <v>2940</v>
      </c>
      <c r="D47" s="1808" t="s">
        <v>2941</v>
      </c>
      <c r="E47" s="818" t="s">
        <v>2942</v>
      </c>
      <c r="F47" s="2870" t="s">
        <v>2943</v>
      </c>
      <c r="G47" s="1808" t="s">
        <v>754</v>
      </c>
      <c r="H47" s="2871" t="s">
        <v>2944</v>
      </c>
      <c r="I47" s="1808" t="s">
        <v>2945</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25.2">
      <c r="A48" s="2869" t="s">
        <v>2946</v>
      </c>
      <c r="B48" s="2872" t="str">
        <f>估价对象房地状况!C4</f>
        <v>一般</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9" t="s">
        <v>2947</v>
      </c>
      <c r="B49" s="2873" t="str">
        <f>估价对象房地状况!C18</f>
        <v>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2948</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9" t="s">
        <v>2949</v>
      </c>
      <c r="B51" s="2874" t="s">
        <v>2950</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2951</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9" t="s">
        <v>2952</v>
      </c>
      <c r="B53" s="2875" t="s">
        <v>2953</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6" t="s">
        <v>2954</v>
      </c>
      <c r="B54" s="1724" t="str">
        <f>估价对象房地状况!C21</f>
        <v>较好</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6" t="s">
        <v>2955</v>
      </c>
      <c r="B55" s="2873" t="str">
        <f>估价对象房地状况!C22</f>
        <v>七通</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7" t="s">
        <v>2956</v>
      </c>
      <c r="B56" s="2878" t="str">
        <f>估价对象房地状况!C20</f>
        <v>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5" t="s">
        <v>2957</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9" t="s">
        <v>2938</v>
      </c>
      <c r="B58" s="1808"/>
      <c r="C58" s="1808" t="s">
        <v>2940</v>
      </c>
      <c r="D58" s="1808" t="s">
        <v>2941</v>
      </c>
      <c r="E58" s="818" t="s">
        <v>2942</v>
      </c>
      <c r="F58" s="2870" t="s">
        <v>2958</v>
      </c>
      <c r="G58" s="1808" t="s">
        <v>754</v>
      </c>
      <c r="H58" s="2871" t="s">
        <v>2944</v>
      </c>
      <c r="I58" s="1808" t="s">
        <v>2945</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24">
      <c r="A59" s="2869" t="s">
        <v>2959</v>
      </c>
      <c r="B59" s="2872">
        <f>估价对象房地状况!C17</f>
        <v>0</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24">
      <c r="A60" s="2869" t="s">
        <v>2947</v>
      </c>
      <c r="B60" s="2873" t="str">
        <f>估价对象房地状况!C18</f>
        <v>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2948</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9" t="s">
        <v>2949</v>
      </c>
      <c r="B62" s="2874" t="s">
        <v>2950</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2951</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9" t="s">
        <v>2952</v>
      </c>
      <c r="B64" s="2875" t="s">
        <v>2953</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69" t="s">
        <v>2954</v>
      </c>
      <c r="B65" s="1724" t="str">
        <f>估价对象房地状况!C21</f>
        <v>较好</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69" t="s">
        <v>2955</v>
      </c>
      <c r="B66" s="1724" t="str">
        <f>估价对象房地状况!C22</f>
        <v>七通</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6.6" thickBot="1">
      <c r="A67" s="2877" t="s">
        <v>2956</v>
      </c>
      <c r="B67" s="2879" t="str">
        <f>估价对象房地状况!C20</f>
        <v>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5" t="s">
        <v>2960</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9" t="s">
        <v>2938</v>
      </c>
      <c r="B69" s="1808"/>
      <c r="C69" s="1808" t="s">
        <v>2940</v>
      </c>
      <c r="D69" s="1808" t="s">
        <v>2941</v>
      </c>
      <c r="E69" s="818" t="s">
        <v>2942</v>
      </c>
      <c r="F69" s="2870" t="s">
        <v>2958</v>
      </c>
      <c r="G69" s="1808" t="s">
        <v>754</v>
      </c>
      <c r="H69" s="2871" t="s">
        <v>2944</v>
      </c>
      <c r="I69" s="1808" t="s">
        <v>2945</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24">
      <c r="A70" s="2869" t="s">
        <v>2961</v>
      </c>
      <c r="B70" s="2872">
        <f>估价对象房地状况!C15</f>
        <v>0</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24">
      <c r="A71" s="2869" t="s">
        <v>2947</v>
      </c>
      <c r="B71" s="2873" t="str">
        <f>估价对象房地状况!C18</f>
        <v>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2948</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9" t="s">
        <v>2962</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69" t="s">
        <v>2954</v>
      </c>
      <c r="B74" s="1724" t="str">
        <f>估价对象房地状况!C21</f>
        <v>较好</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69" t="s">
        <v>2955</v>
      </c>
      <c r="B75" s="1724" t="str">
        <f>估价对象房地状况!C22</f>
        <v>七通</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36">
      <c r="A76" s="2869" t="s">
        <v>2952</v>
      </c>
      <c r="B76" s="2875" t="s">
        <v>2953</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6">
      <c r="A77" s="2869" t="s">
        <v>2956</v>
      </c>
      <c r="B77" s="2872" t="str">
        <f>估价对象房地状况!C20</f>
        <v>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36.6" thickBot="1">
      <c r="A78" s="2877" t="s">
        <v>2963</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4.4">
      <c r="A79" s="2865" t="s">
        <v>2964</v>
      </c>
      <c r="B79" s="2866">
        <f>1+E81</f>
        <v>1</v>
      </c>
      <c r="C79" s="813"/>
      <c r="D79" s="813"/>
      <c r="E79" s="814"/>
      <c r="F79" s="2868"/>
      <c r="G79" s="6"/>
      <c r="H79" s="6"/>
      <c r="I79" s="6"/>
      <c r="J79" s="7"/>
      <c r="K79" s="7"/>
      <c r="L79" s="7"/>
      <c r="M79" s="7"/>
      <c r="N79" s="7"/>
      <c r="Z79" s="2719"/>
      <c r="AA79" s="2787"/>
      <c r="AG79" s="1371"/>
      <c r="AK79" s="2787"/>
    </row>
    <row r="80" spans="1:37" ht="25.2">
      <c r="A80" s="2869" t="s">
        <v>2938</v>
      </c>
      <c r="B80" s="1808"/>
      <c r="C80" s="1808" t="s">
        <v>2940</v>
      </c>
      <c r="D80" s="1808" t="s">
        <v>2941</v>
      </c>
      <c r="E80" s="818" t="s">
        <v>2942</v>
      </c>
      <c r="F80" s="2870" t="s">
        <v>2958</v>
      </c>
      <c r="G80" s="1808" t="s">
        <v>754</v>
      </c>
      <c r="H80" s="2871" t="s">
        <v>2944</v>
      </c>
      <c r="I80" s="1808" t="s">
        <v>2945</v>
      </c>
      <c r="J80" s="603" t="s">
        <v>2593</v>
      </c>
      <c r="K80" s="603" t="s">
        <v>2594</v>
      </c>
      <c r="L80" s="603" t="s">
        <v>2595</v>
      </c>
      <c r="M80" s="603" t="s">
        <v>2596</v>
      </c>
      <c r="N80" s="603" t="s">
        <v>2597</v>
      </c>
      <c r="Z80" s="2719"/>
      <c r="AA80" s="2787"/>
      <c r="AG80" s="1371"/>
      <c r="AK80" s="2787"/>
    </row>
    <row r="81" spans="1:37" ht="39.6">
      <c r="A81" s="2869" t="s">
        <v>2965</v>
      </c>
      <c r="B81" s="2873" t="str">
        <f>估价对象房地状况!G15</f>
        <v>估价对象位于XX开发区，园区建设成熟度XX，产业集聚程度XX</v>
      </c>
      <c r="C81" s="2769"/>
      <c r="D81" s="1285">
        <f t="shared" ref="D81:D88" si="25">SUMIF($J$80:$N$80,C81,J81:N81)</f>
        <v>0</v>
      </c>
      <c r="E81" s="820">
        <f>ROUND(SUM(D81:D88),4)</f>
        <v>0</v>
      </c>
      <c r="F81" s="2500"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9"/>
      <c r="AA81" s="2787"/>
      <c r="AG81" s="1371"/>
      <c r="AK81" s="2787"/>
    </row>
    <row r="82" spans="1:37" ht="66">
      <c r="A82" s="2869" t="s">
        <v>2947</v>
      </c>
      <c r="B82" s="2873" t="str">
        <f>估价对象房地状况!G16</f>
        <v>估价对象周边道路状况、公共交通通达情况、停车便捷程度，综合评价交通便捷度较好</v>
      </c>
      <c r="C82" s="2769"/>
      <c r="D82" s="1285">
        <f t="shared" si="25"/>
        <v>0</v>
      </c>
      <c r="E82" s="825"/>
      <c r="F82" s="2500"/>
      <c r="G82" s="1283"/>
      <c r="H82" s="1287" t="str">
        <f t="shared" si="26"/>
        <v>——</v>
      </c>
      <c r="I82" s="819">
        <v>0.33</v>
      </c>
      <c r="J82" s="1284">
        <f t="shared" si="27"/>
        <v>0</v>
      </c>
      <c r="K82" s="1284">
        <f t="shared" si="28"/>
        <v>0</v>
      </c>
      <c r="L82" s="1284">
        <v>0</v>
      </c>
      <c r="M82" s="1284">
        <f t="shared" si="29"/>
        <v>0</v>
      </c>
      <c r="N82" s="1284">
        <f t="shared" si="29"/>
        <v>0</v>
      </c>
      <c r="Z82" s="2719"/>
      <c r="AA82" s="2787"/>
      <c r="AG82" s="1371"/>
      <c r="AK82" s="2787"/>
    </row>
    <row r="83" spans="1:37" ht="24">
      <c r="A83" s="2869" t="s">
        <v>2948</v>
      </c>
      <c r="B83" s="2873">
        <f>估价对象房地状况!G17</f>
        <v>0</v>
      </c>
      <c r="C83" s="2769"/>
      <c r="D83" s="1285">
        <f t="shared" si="25"/>
        <v>0</v>
      </c>
      <c r="E83" s="825"/>
      <c r="F83" s="2500"/>
      <c r="G83" s="1283"/>
      <c r="H83" s="1287" t="str">
        <f t="shared" si="26"/>
        <v>——</v>
      </c>
      <c r="I83" s="819">
        <v>0.05</v>
      </c>
      <c r="J83" s="1284">
        <f t="shared" si="27"/>
        <v>0</v>
      </c>
      <c r="K83" s="1284">
        <f t="shared" si="28"/>
        <v>0</v>
      </c>
      <c r="L83" s="1284">
        <v>0</v>
      </c>
      <c r="M83" s="1284">
        <f t="shared" si="29"/>
        <v>0</v>
      </c>
      <c r="N83" s="1284">
        <f t="shared" si="29"/>
        <v>0</v>
      </c>
      <c r="Z83" s="2719"/>
      <c r="AA83" s="2787"/>
      <c r="AG83" s="1371"/>
      <c r="AK83" s="2787"/>
    </row>
    <row r="84" spans="1:37" ht="13.8">
      <c r="A84" s="2869" t="s">
        <v>2962</v>
      </c>
      <c r="B84" s="2873">
        <f>估价对象房地状况!G22</f>
        <v>0</v>
      </c>
      <c r="C84" s="2769"/>
      <c r="D84" s="1285">
        <f t="shared" si="25"/>
        <v>0</v>
      </c>
      <c r="E84" s="825"/>
      <c r="F84" s="2500"/>
      <c r="G84" s="1283"/>
      <c r="H84" s="1287" t="str">
        <f t="shared" si="26"/>
        <v>——</v>
      </c>
      <c r="I84" s="819">
        <v>0.04</v>
      </c>
      <c r="J84" s="1284">
        <f t="shared" si="27"/>
        <v>0</v>
      </c>
      <c r="K84" s="1284">
        <f t="shared" si="28"/>
        <v>0</v>
      </c>
      <c r="L84" s="1284">
        <v>0</v>
      </c>
      <c r="M84" s="1284">
        <f t="shared" si="29"/>
        <v>0</v>
      </c>
      <c r="N84" s="1284">
        <f t="shared" si="29"/>
        <v>0</v>
      </c>
      <c r="Z84" s="2719"/>
      <c r="AA84" s="2787"/>
      <c r="AG84" s="1371"/>
      <c r="AK84" s="2787"/>
    </row>
    <row r="85" spans="1:37" ht="26.4">
      <c r="A85" s="2869" t="s">
        <v>2954</v>
      </c>
      <c r="B85" s="1724" t="str">
        <f>估价对象房地状况!G19</f>
        <v>估价对象所在区域公共配套设施齐备情况</v>
      </c>
      <c r="C85" s="2769"/>
      <c r="D85" s="1285">
        <f t="shared" si="25"/>
        <v>0</v>
      </c>
      <c r="E85" s="825"/>
      <c r="F85" s="2500"/>
      <c r="G85" s="1283"/>
      <c r="H85" s="1287" t="str">
        <f t="shared" si="26"/>
        <v>——</v>
      </c>
      <c r="I85" s="819">
        <v>0.06</v>
      </c>
      <c r="J85" s="1284">
        <f t="shared" si="27"/>
        <v>0</v>
      </c>
      <c r="K85" s="1284">
        <f t="shared" si="28"/>
        <v>0</v>
      </c>
      <c r="L85" s="1284">
        <v>0</v>
      </c>
      <c r="M85" s="1284">
        <f t="shared" si="29"/>
        <v>0</v>
      </c>
      <c r="N85" s="1284">
        <f t="shared" si="29"/>
        <v>0</v>
      </c>
      <c r="Z85" s="2719"/>
      <c r="AA85" s="2787"/>
      <c r="AG85" s="1371"/>
      <c r="AK85" s="2787"/>
    </row>
    <row r="86" spans="1:37" ht="26.4">
      <c r="A86" s="2869" t="s">
        <v>2955</v>
      </c>
      <c r="B86" s="1724" t="str">
        <f>估价对象房地状况!G20</f>
        <v>估价对象所在区域基础设施水平</v>
      </c>
      <c r="C86" s="2769"/>
      <c r="D86" s="1285">
        <f t="shared" si="25"/>
        <v>0</v>
      </c>
      <c r="E86" s="825"/>
      <c r="F86" s="2500"/>
      <c r="G86" s="1283"/>
      <c r="H86" s="1287" t="str">
        <f t="shared" si="26"/>
        <v>——</v>
      </c>
      <c r="I86" s="819">
        <v>0.15</v>
      </c>
      <c r="J86" s="1284">
        <f t="shared" si="27"/>
        <v>0</v>
      </c>
      <c r="K86" s="1284">
        <f t="shared" si="28"/>
        <v>0</v>
      </c>
      <c r="L86" s="1284">
        <v>0</v>
      </c>
      <c r="M86" s="1284">
        <f t="shared" si="29"/>
        <v>0</v>
      </c>
      <c r="N86" s="1284">
        <f t="shared" si="29"/>
        <v>0</v>
      </c>
      <c r="Z86" s="2719"/>
      <c r="AA86" s="2787"/>
      <c r="AG86" s="1371"/>
      <c r="AK86" s="2787"/>
    </row>
    <row r="87" spans="1:37" ht="36">
      <c r="A87" s="2869" t="s">
        <v>2952</v>
      </c>
      <c r="B87" s="2875" t="s">
        <v>2966</v>
      </c>
      <c r="C87" s="2769"/>
      <c r="D87" s="1285">
        <f t="shared" si="25"/>
        <v>0</v>
      </c>
      <c r="E87" s="825"/>
      <c r="F87" s="2500"/>
      <c r="G87" s="1283"/>
      <c r="H87" s="1287" t="str">
        <f t="shared" si="26"/>
        <v>——</v>
      </c>
      <c r="I87" s="819">
        <v>0.05</v>
      </c>
      <c r="J87" s="1284">
        <f t="shared" si="27"/>
        <v>0</v>
      </c>
      <c r="K87" s="1284">
        <f t="shared" si="28"/>
        <v>0</v>
      </c>
      <c r="L87" s="1284">
        <v>0</v>
      </c>
      <c r="M87" s="1284">
        <f t="shared" si="29"/>
        <v>0</v>
      </c>
      <c r="N87" s="1284">
        <f t="shared" si="29"/>
        <v>0</v>
      </c>
      <c r="Z87" s="2719"/>
      <c r="AA87" s="2787"/>
      <c r="AG87" s="1371"/>
      <c r="AK87" s="2787"/>
    </row>
    <row r="88" spans="1:37" ht="53.4" thickBot="1">
      <c r="A88" s="2877" t="s">
        <v>2967</v>
      </c>
      <c r="B88" s="2882" t="str">
        <f>估价对象房地状况!G18</f>
        <v>该园区内是否有污染型企业，绿化情况，卫生条件，整体环境状况判断</v>
      </c>
      <c r="C88" s="2769"/>
      <c r="D88" s="1285">
        <f t="shared" si="25"/>
        <v>0</v>
      </c>
      <c r="E88" s="826"/>
      <c r="F88" s="2500"/>
      <c r="G88" s="1283"/>
      <c r="H88" s="1287" t="str">
        <f t="shared" si="26"/>
        <v>——</v>
      </c>
      <c r="I88" s="823">
        <v>0.06</v>
      </c>
      <c r="J88" s="1284">
        <f t="shared" si="27"/>
        <v>0</v>
      </c>
      <c r="K88" s="1284">
        <f t="shared" si="28"/>
        <v>0</v>
      </c>
      <c r="L88" s="1284">
        <v>0</v>
      </c>
      <c r="M88" s="1284">
        <f t="shared" si="29"/>
        <v>0</v>
      </c>
      <c r="N88" s="1284">
        <f t="shared" si="29"/>
        <v>0</v>
      </c>
      <c r="Z88" s="2719"/>
      <c r="AA88" s="2787"/>
      <c r="AG88" s="1371"/>
      <c r="AK88" s="2787"/>
    </row>
    <row r="90" spans="1:37">
      <c r="A90" s="3320" t="s">
        <v>2968</v>
      </c>
      <c r="B90" s="3320"/>
      <c r="C90" s="3320"/>
      <c r="D90" s="3320"/>
      <c r="E90" s="3320"/>
      <c r="F90" s="3320"/>
      <c r="G90" s="3320"/>
      <c r="H90" s="3320"/>
      <c r="I90" s="3320"/>
      <c r="J90" s="3320"/>
      <c r="K90" s="2883"/>
      <c r="L90" s="2883"/>
      <c r="M90" s="2883"/>
      <c r="N90" s="2883"/>
    </row>
    <row r="91" spans="1:37">
      <c r="A91" s="3322" t="s">
        <v>2969</v>
      </c>
      <c r="B91" s="3322" t="s">
        <v>2970</v>
      </c>
      <c r="C91" s="2837" t="s">
        <v>2971</v>
      </c>
      <c r="D91" s="2838"/>
      <c r="E91" s="2838"/>
      <c r="F91" s="2838"/>
      <c r="G91" s="2838"/>
      <c r="H91" s="2838"/>
      <c r="I91" s="2838"/>
      <c r="J91" s="2884"/>
      <c r="K91" s="2885"/>
      <c r="L91" s="2885"/>
      <c r="M91" s="2885"/>
      <c r="N91" s="2885"/>
    </row>
    <row r="92" spans="1:37">
      <c r="A92" s="3322"/>
      <c r="B92" s="3322"/>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23"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4"/>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3" t="s">
        <v>2973</v>
      </c>
      <c r="B101" s="2890" t="s">
        <v>2974</v>
      </c>
      <c r="C101" s="2891">
        <f>$G$3</f>
        <v>0.33</v>
      </c>
      <c r="D101" s="2891">
        <f t="shared" ref="D101:N101" si="31">$G$3</f>
        <v>0.33</v>
      </c>
      <c r="E101" s="2891">
        <f t="shared" si="31"/>
        <v>0.33</v>
      </c>
      <c r="F101" s="2891">
        <f t="shared" si="31"/>
        <v>0.33</v>
      </c>
      <c r="G101" s="2891">
        <f t="shared" si="31"/>
        <v>0.33</v>
      </c>
      <c r="H101" s="2891">
        <f t="shared" si="31"/>
        <v>0.33</v>
      </c>
      <c r="I101" s="2891">
        <f t="shared" si="31"/>
        <v>0.33</v>
      </c>
      <c r="J101" s="2891">
        <f t="shared" si="31"/>
        <v>0.33</v>
      </c>
      <c r="K101" s="2891">
        <f t="shared" si="31"/>
        <v>0.33</v>
      </c>
      <c r="L101" s="2891">
        <f t="shared" si="31"/>
        <v>0.33</v>
      </c>
      <c r="M101" s="2891">
        <f t="shared" si="31"/>
        <v>0.33</v>
      </c>
      <c r="N101" s="2891">
        <f t="shared" si="31"/>
        <v>0.33</v>
      </c>
    </row>
    <row r="102" spans="1:14">
      <c r="A102" s="3324"/>
      <c r="B102" s="2886">
        <v>1</v>
      </c>
      <c r="C102" s="2887">
        <f>1.9362/C101</f>
        <v>5.8672727272727272</v>
      </c>
      <c r="D102" s="2887">
        <f>1.9362/D101</f>
        <v>5.8672727272727272</v>
      </c>
      <c r="E102" s="2887">
        <f>1.8629/E101</f>
        <v>5.6451515151515146</v>
      </c>
      <c r="F102" s="2887">
        <f>1.8629/F101</f>
        <v>5.6451515151515146</v>
      </c>
      <c r="G102" s="2887">
        <f>1.8629/G101</f>
        <v>5.6451515151515146</v>
      </c>
      <c r="H102" s="2887">
        <f>1.8629/H101</f>
        <v>5.6451515151515146</v>
      </c>
      <c r="I102" s="2887">
        <f>1.8629/I101</f>
        <v>5.6451515151515146</v>
      </c>
      <c r="J102" s="2887">
        <f>1.942/J101</f>
        <v>5.8848484848484848</v>
      </c>
      <c r="K102" s="2887">
        <f>1.942/K101</f>
        <v>5.8848484848484848</v>
      </c>
      <c r="L102" s="2887">
        <f>1.942/L101</f>
        <v>5.8848484848484848</v>
      </c>
      <c r="M102" s="2887">
        <f>1.942/M101</f>
        <v>5.8848484848484848</v>
      </c>
      <c r="N102" s="2887">
        <f>1.942/N101</f>
        <v>5.8848484848484848</v>
      </c>
    </row>
    <row r="103" spans="1:14">
      <c r="A103" s="3324"/>
      <c r="B103" s="2886">
        <v>2</v>
      </c>
      <c r="C103" s="2887">
        <f>1.4198/C101</f>
        <v>4.3024242424242418</v>
      </c>
      <c r="D103" s="2887">
        <f>1.4198/D101</f>
        <v>4.3024242424242418</v>
      </c>
      <c r="E103" s="2887">
        <f>1.3372/E101</f>
        <v>4.0521212121212118</v>
      </c>
      <c r="F103" s="2887">
        <f>1.3372/F101</f>
        <v>4.0521212121212118</v>
      </c>
      <c r="G103" s="2887">
        <f>1.3372/G101</f>
        <v>4.0521212121212118</v>
      </c>
      <c r="H103" s="2887">
        <f>1.3372/H101</f>
        <v>4.0521212121212118</v>
      </c>
      <c r="I103" s="2887">
        <f>1.3372/I101</f>
        <v>4.0521212121212118</v>
      </c>
      <c r="J103" s="2887">
        <f>1.2799/J101</f>
        <v>3.8784848484848484</v>
      </c>
      <c r="K103" s="2887">
        <f>1.2799/K101</f>
        <v>3.8784848484848484</v>
      </c>
      <c r="L103" s="2887">
        <f>1.2799/L101</f>
        <v>3.8784848484848484</v>
      </c>
      <c r="M103" s="2887">
        <f>1.2799/M101</f>
        <v>3.8784848484848484</v>
      </c>
      <c r="N103" s="2887">
        <f>1.2799/N101</f>
        <v>3.8784848484848484</v>
      </c>
    </row>
    <row r="104" spans="1:14">
      <c r="A104" s="3324"/>
      <c r="B104" s="2886">
        <v>3</v>
      </c>
      <c r="C104" s="2887">
        <f>1.1594/C101</f>
        <v>3.5133333333333332</v>
      </c>
      <c r="D104" s="2887">
        <f>1.1594/D101</f>
        <v>3.5133333333333332</v>
      </c>
      <c r="E104" s="2887">
        <f>1.0788/E101</f>
        <v>3.269090909090909</v>
      </c>
      <c r="F104" s="2887">
        <f>1.0788/F101</f>
        <v>3.269090909090909</v>
      </c>
      <c r="G104" s="2887">
        <f>1.0788/G101</f>
        <v>3.269090909090909</v>
      </c>
      <c r="H104" s="2887">
        <f>1.0788/H101</f>
        <v>3.269090909090909</v>
      </c>
      <c r="I104" s="2887">
        <f>1.0788/I101</f>
        <v>3.269090909090909</v>
      </c>
      <c r="J104" s="2887">
        <f>1.0072/J101</f>
        <v>3.0521212121212122</v>
      </c>
      <c r="K104" s="2887">
        <f>1.0072/K101</f>
        <v>3.0521212121212122</v>
      </c>
      <c r="L104" s="2887">
        <f>1.0072/L101</f>
        <v>3.0521212121212122</v>
      </c>
      <c r="M104" s="2887">
        <f>1.0072/M101</f>
        <v>3.0521212121212122</v>
      </c>
      <c r="N104" s="2887">
        <f>1.0072/N101</f>
        <v>3.0521212121212122</v>
      </c>
    </row>
    <row r="105" spans="1:14">
      <c r="A105" s="3324"/>
      <c r="B105" s="2886">
        <v>4</v>
      </c>
      <c r="C105" s="2887">
        <f>0.9622/C101</f>
        <v>2.915757575757576</v>
      </c>
      <c r="D105" s="2887">
        <f>0.9622/D101</f>
        <v>2.915757575757576</v>
      </c>
      <c r="E105" s="2887">
        <f>0.8656/E101</f>
        <v>2.623030303030303</v>
      </c>
      <c r="F105" s="2887">
        <f>0.8656/F101</f>
        <v>2.623030303030303</v>
      </c>
      <c r="G105" s="2887">
        <f>0.8656/G101</f>
        <v>2.623030303030303</v>
      </c>
      <c r="H105" s="2887">
        <f>0.8656/H101</f>
        <v>2.623030303030303</v>
      </c>
      <c r="I105" s="2887">
        <f>0.8656/I101</f>
        <v>2.623030303030303</v>
      </c>
      <c r="J105" s="2887">
        <f>0.7525/J101</f>
        <v>2.2803030303030298</v>
      </c>
      <c r="K105" s="2887">
        <f>0.7525/K101</f>
        <v>2.2803030303030298</v>
      </c>
      <c r="L105" s="2887">
        <f>0.7525/L101</f>
        <v>2.2803030303030298</v>
      </c>
      <c r="M105" s="2887">
        <f>0.7525/M101</f>
        <v>2.2803030303030298</v>
      </c>
      <c r="N105" s="2887">
        <f>0.7525/N101</f>
        <v>2.2803030303030298</v>
      </c>
    </row>
    <row r="106" spans="1:14">
      <c r="A106" s="3324"/>
      <c r="B106" s="2886">
        <v>5</v>
      </c>
      <c r="C106" s="2887">
        <f>0.8417/C101</f>
        <v>2.5506060606060603</v>
      </c>
      <c r="D106" s="2887">
        <f>0.8417/D101</f>
        <v>2.5506060606060603</v>
      </c>
      <c r="E106" s="2887">
        <f>0.7371/E101</f>
        <v>2.2336363636363634</v>
      </c>
      <c r="F106" s="2887">
        <f>0.7371/F101</f>
        <v>2.2336363636363634</v>
      </c>
      <c r="G106" s="2887">
        <f>0.7371/G101</f>
        <v>2.2336363636363634</v>
      </c>
      <c r="H106" s="2887">
        <f>0.7371/H101</f>
        <v>2.2336363636363634</v>
      </c>
      <c r="I106" s="2887">
        <f>0.7371/I101</f>
        <v>2.2336363636363634</v>
      </c>
      <c r="J106" s="2887">
        <f>0.5659/J101</f>
        <v>1.7148484848484846</v>
      </c>
      <c r="K106" s="2887">
        <f>0.5659/K101</f>
        <v>1.7148484848484846</v>
      </c>
      <c r="L106" s="2887">
        <f>0.5659/L101</f>
        <v>1.7148484848484846</v>
      </c>
      <c r="M106" s="2887">
        <f>0.5659/M101</f>
        <v>1.7148484848484846</v>
      </c>
      <c r="N106" s="2887">
        <f>0.5659/N101</f>
        <v>1.7148484848484846</v>
      </c>
    </row>
    <row r="107" spans="1:14">
      <c r="A107" s="3324"/>
      <c r="B107" s="2886">
        <v>6</v>
      </c>
      <c r="C107" s="2887">
        <f>0.7608/C101</f>
        <v>2.3054545454545456</v>
      </c>
      <c r="D107" s="2887">
        <f>0.7608/D101</f>
        <v>2.3054545454545456</v>
      </c>
      <c r="E107" s="2887">
        <f>0.6482/E101</f>
        <v>1.9642424242424241</v>
      </c>
      <c r="F107" s="2887">
        <f>0.6482/F101</f>
        <v>1.9642424242424241</v>
      </c>
      <c r="G107" s="2887">
        <f>0.6482/G101</f>
        <v>1.9642424242424241</v>
      </c>
      <c r="H107" s="2887">
        <f>0.6482/H101</f>
        <v>1.9642424242424241</v>
      </c>
      <c r="I107" s="2887">
        <f>0.6482/I101</f>
        <v>1.9642424242424241</v>
      </c>
      <c r="J107" s="2887">
        <f>0.4525/J101</f>
        <v>1.3712121212121211</v>
      </c>
      <c r="K107" s="2887">
        <f>0.4525/K101</f>
        <v>1.3712121212121211</v>
      </c>
      <c r="L107" s="2887">
        <f>0.4525/L101</f>
        <v>1.3712121212121211</v>
      </c>
      <c r="M107" s="2887">
        <f>0.4525/M101</f>
        <v>1.3712121212121211</v>
      </c>
      <c r="N107" s="2887">
        <f>0.4525/N101</f>
        <v>1.3712121212121211</v>
      </c>
    </row>
    <row r="108" spans="1:14">
      <c r="A108" s="3324"/>
      <c r="B108" s="3150"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5"/>
      <c r="B109" s="3151"/>
      <c r="C109" s="2889">
        <f>(-0.163*(C108^2)-0.59*C108+7617)*(10^(-4))/C101</f>
        <v>2.3081818181818181</v>
      </c>
      <c r="D109" s="2889">
        <f>(-0.163*(D108^2)-0.59*D108+7617)*(10^(-4))/D101</f>
        <v>2.3081818181818181</v>
      </c>
      <c r="E109" s="2889">
        <f>(-0.161*(E108^2)-7.509*E108+6533)*(10^(-4))/E101</f>
        <v>1.9796969696969695</v>
      </c>
      <c r="F109" s="2889">
        <f>(-0.161*(F108^2)-7.509*F108+6533)*(10^(-4))/F101</f>
        <v>1.9796969696969695</v>
      </c>
      <c r="G109" s="2889">
        <f>(-0.161*(G108^2)-7.509*G108+6533)*(10^(-4))/G101</f>
        <v>1.9796969696969695</v>
      </c>
      <c r="H109" s="2889">
        <f>(-0.161*(H108^2)-7.509*H108+6533)*(10^(-4))/H101</f>
        <v>1.9796969696969695</v>
      </c>
      <c r="I109" s="2889">
        <f>(-0.161*(I108^2)-7.509*I108+6533)*(10^(-4))/I101</f>
        <v>1.9796969696969695</v>
      </c>
      <c r="J109" s="2889">
        <f>(-0.214*(J108^2)-21.991*J108+4665)*(10^(-4))/J101</f>
        <v>1.4136363636363636</v>
      </c>
      <c r="K109" s="2889">
        <f>(-0.214*(K108^2)-21.991*K108+4665)*(10^(-4))/K101</f>
        <v>1.4136363636363636</v>
      </c>
      <c r="L109" s="2889">
        <f>(-0.214*(L108^2)-21.991*L108+4665)*(10^(-4))/L101</f>
        <v>1.4136363636363636</v>
      </c>
      <c r="M109" s="2889">
        <f>(-0.214*(M108^2)-21.991*M108+4665)*(10^(-4))/M101</f>
        <v>1.4136363636363636</v>
      </c>
      <c r="N109" s="2889">
        <f>(-0.214*(N108^2)-21.991*N108+4665)*(10^(-4))/N101</f>
        <v>1.4136363636363636</v>
      </c>
    </row>
    <row r="110" spans="1:14">
      <c r="A110" s="3321" t="s">
        <v>2976</v>
      </c>
      <c r="B110" s="3321"/>
      <c r="C110" s="3321"/>
      <c r="D110" s="3321"/>
      <c r="E110" s="3321"/>
      <c r="F110" s="3321"/>
      <c r="G110" s="3321"/>
      <c r="H110" s="3321"/>
      <c r="I110" s="3321"/>
      <c r="J110" s="3321"/>
      <c r="K110" s="2892"/>
      <c r="L110" s="2892"/>
      <c r="M110" s="2892"/>
      <c r="N110" s="2892"/>
    </row>
    <row r="112" spans="1:14" ht="13.8" thickBot="1"/>
    <row r="113" spans="1:13" ht="25.8" thickBot="1">
      <c r="A113" s="902" t="s">
        <v>2977</v>
      </c>
      <c r="B113" s="1286">
        <f>G3</f>
        <v>0.33</v>
      </c>
      <c r="C113" s="903" t="s">
        <v>2978</v>
      </c>
      <c r="D113" s="904">
        <f>SUMPRODUCT((A115:A118=F113)*(B114:M114=H113)*B115:M118)</f>
        <v>0</v>
      </c>
      <c r="E113" s="2723" t="s">
        <v>2810</v>
      </c>
      <c r="F113" s="2894">
        <f>E2</f>
        <v>0</v>
      </c>
      <c r="G113" s="2723" t="s">
        <v>2811</v>
      </c>
      <c r="H113" s="2894">
        <f>G2</f>
        <v>0</v>
      </c>
      <c r="I113" s="2723"/>
      <c r="J113" s="2895"/>
      <c r="K113" s="2895"/>
      <c r="L113" s="2895"/>
      <c r="M113" s="2895"/>
    </row>
    <row r="114" spans="1:13">
      <c r="A114" s="907"/>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8" t="s">
        <v>2875</v>
      </c>
      <c r="B115" s="909">
        <f>ROUND(0.9335-0.0094*B113,4)</f>
        <v>0.9304</v>
      </c>
      <c r="C115" s="909">
        <f>B115</f>
        <v>0.9304</v>
      </c>
      <c r="D115" s="909">
        <f>ROUND(0.8331-0.0109*B113,4)</f>
        <v>0.82950000000000002</v>
      </c>
      <c r="E115" s="909">
        <f>D115</f>
        <v>0.82950000000000002</v>
      </c>
      <c r="F115" s="909">
        <f>E115</f>
        <v>0.82950000000000002</v>
      </c>
      <c r="G115" s="909">
        <f>F115</f>
        <v>0.82950000000000002</v>
      </c>
      <c r="H115" s="909">
        <f>G115</f>
        <v>0.82950000000000002</v>
      </c>
      <c r="I115" s="909">
        <f>ROUND(0.689-0.0155*B113,4)</f>
        <v>0.68389999999999995</v>
      </c>
      <c r="J115" s="909">
        <f t="shared" ref="J115:M118" si="33">I115</f>
        <v>0.68389999999999995</v>
      </c>
      <c r="K115" s="909">
        <f t="shared" si="33"/>
        <v>0.68389999999999995</v>
      </c>
      <c r="L115" s="909">
        <f t="shared" si="33"/>
        <v>0.68389999999999995</v>
      </c>
      <c r="M115" s="910">
        <f t="shared" si="33"/>
        <v>0.68389999999999995</v>
      </c>
    </row>
    <row r="116" spans="1:13">
      <c r="A116" s="908" t="s">
        <v>2876</v>
      </c>
      <c r="B116" s="909">
        <f>ROUND(0.949-0.012*B113,4)</f>
        <v>0.94499999999999995</v>
      </c>
      <c r="C116" s="909">
        <f>B116</f>
        <v>0.94499999999999995</v>
      </c>
      <c r="D116" s="909">
        <f>ROUND(0.8567-0.013*B113,4)</f>
        <v>0.85240000000000005</v>
      </c>
      <c r="E116" s="909">
        <f t="shared" ref="E116:H117" si="34">D116</f>
        <v>0.85240000000000005</v>
      </c>
      <c r="F116" s="909">
        <f t="shared" si="34"/>
        <v>0.85240000000000005</v>
      </c>
      <c r="G116" s="909">
        <f t="shared" si="34"/>
        <v>0.85240000000000005</v>
      </c>
      <c r="H116" s="909">
        <f t="shared" si="34"/>
        <v>0.85240000000000005</v>
      </c>
      <c r="I116" s="909">
        <f>ROUND(0.7694-0.014*B113,4)</f>
        <v>0.76480000000000004</v>
      </c>
      <c r="J116" s="909">
        <f t="shared" si="33"/>
        <v>0.76480000000000004</v>
      </c>
      <c r="K116" s="909">
        <f t="shared" si="33"/>
        <v>0.76480000000000004</v>
      </c>
      <c r="L116" s="909">
        <f t="shared" si="33"/>
        <v>0.76480000000000004</v>
      </c>
      <c r="M116" s="910">
        <f t="shared" si="33"/>
        <v>0.76480000000000004</v>
      </c>
    </row>
    <row r="117" spans="1:13">
      <c r="A117" s="908" t="s">
        <v>2877</v>
      </c>
      <c r="B117" s="909">
        <f>ROUND(0.8808-0.006*B113,4)</f>
        <v>0.87880000000000003</v>
      </c>
      <c r="C117" s="909">
        <f>B117</f>
        <v>0.87880000000000003</v>
      </c>
      <c r="D117" s="909">
        <f>ROUND(0.8748-0.008*B113,4)</f>
        <v>0.87219999999999998</v>
      </c>
      <c r="E117" s="909">
        <f t="shared" si="34"/>
        <v>0.87219999999999998</v>
      </c>
      <c r="F117" s="909">
        <f t="shared" si="34"/>
        <v>0.87219999999999998</v>
      </c>
      <c r="G117" s="909">
        <f t="shared" si="34"/>
        <v>0.87219999999999998</v>
      </c>
      <c r="H117" s="909">
        <f t="shared" si="34"/>
        <v>0.87219999999999998</v>
      </c>
      <c r="I117" s="909">
        <f>ROUND(0.7412-0.0095*B113,4)</f>
        <v>0.73809999999999998</v>
      </c>
      <c r="J117" s="909">
        <f t="shared" si="33"/>
        <v>0.73809999999999998</v>
      </c>
      <c r="K117" s="909">
        <f t="shared" si="33"/>
        <v>0.73809999999999998</v>
      </c>
      <c r="L117" s="909">
        <f t="shared" si="33"/>
        <v>0.73809999999999998</v>
      </c>
      <c r="M117" s="910">
        <f t="shared" si="33"/>
        <v>0.73809999999999998</v>
      </c>
    </row>
    <row r="118" spans="1:13" ht="13.8" thickBot="1">
      <c r="A118" s="714" t="s">
        <v>2878</v>
      </c>
      <c r="B118" s="911">
        <f>ROUND(0.7275-0.01*B113,4)</f>
        <v>0.72419999999999995</v>
      </c>
      <c r="C118" s="911">
        <f>B118</f>
        <v>0.72419999999999995</v>
      </c>
      <c r="D118" s="911">
        <f>ROUND(0.7043-0.012*B113,4)</f>
        <v>0.70030000000000003</v>
      </c>
      <c r="E118" s="911">
        <f>D118</f>
        <v>0.70030000000000003</v>
      </c>
      <c r="F118" s="911">
        <f>E118</f>
        <v>0.70030000000000003</v>
      </c>
      <c r="G118" s="911">
        <f>ROUND(0.6299-0.0122*B113,4)</f>
        <v>0.62590000000000001</v>
      </c>
      <c r="H118" s="911">
        <f>G118</f>
        <v>0.62590000000000001</v>
      </c>
      <c r="I118" s="911">
        <f>ROUND(0.5667-0.0136*B113,4)</f>
        <v>0.56220000000000003</v>
      </c>
      <c r="J118" s="911">
        <f t="shared" si="33"/>
        <v>0.56220000000000003</v>
      </c>
      <c r="K118" s="911">
        <f t="shared" si="33"/>
        <v>0.56220000000000003</v>
      </c>
      <c r="L118" s="911">
        <f t="shared" si="33"/>
        <v>0.56220000000000003</v>
      </c>
      <c r="M118" s="912">
        <f t="shared" si="33"/>
        <v>0.56220000000000003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7.399999999999999">
      <c r="A3" s="3036" t="str">
        <f>IF(项目基本情况!B9="房地产市场价值","估价结果一览表（市场价值不需“结果表-1”）","估价结果一览表")</f>
        <v>估价结果一览表</v>
      </c>
      <c r="B3" s="3036"/>
      <c r="C3" s="3036"/>
      <c r="D3" s="3036"/>
      <c r="E3" s="3036"/>
    </row>
    <row r="4" spans="1:5" ht="18" thickBot="1">
      <c r="A4" s="1959"/>
      <c r="B4" s="3034" t="s">
        <v>1624</v>
      </c>
      <c r="C4" s="3034"/>
      <c r="D4" s="3034"/>
      <c r="E4" s="1959"/>
    </row>
    <row r="5" spans="1:5" ht="16.2" thickTop="1">
      <c r="A5" s="1957"/>
      <c r="B5" s="3032" t="s">
        <v>1616</v>
      </c>
      <c r="C5" s="1960" t="s">
        <v>1617</v>
      </c>
      <c r="D5" s="1039">
        <f ca="1">结果表!H101</f>
        <v>4573</v>
      </c>
      <c r="E5" s="1957"/>
    </row>
    <row r="6" spans="1:5" ht="15.6">
      <c r="A6" s="1957"/>
      <c r="B6" s="3032"/>
      <c r="C6" s="1960" t="s">
        <v>1618</v>
      </c>
      <c r="D6" s="1039" t="str">
        <f ca="1">NUMBERSTRING(INT(D5*10000),2)&amp;"元整"</f>
        <v>肆仟伍佰柒拾叁万元整</v>
      </c>
      <c r="E6" s="1957"/>
    </row>
    <row r="7" spans="1:5" ht="15.6">
      <c r="A7" s="1957"/>
      <c r="B7" s="3037"/>
      <c r="C7" s="1961" t="s">
        <v>1619</v>
      </c>
      <c r="D7" s="1040">
        <f ca="1">结果表!H102</f>
        <v>34116</v>
      </c>
      <c r="E7" s="1957"/>
    </row>
    <row r="8" spans="1:5" ht="15.6">
      <c r="A8" s="1957"/>
      <c r="B8" s="3038" t="str">
        <f>结果表!E103</f>
        <v>2.估价师知悉的法定优先受偿款</v>
      </c>
      <c r="C8" s="1962" t="s">
        <v>1620</v>
      </c>
      <c r="D8" s="1040">
        <f>结果表!H103</f>
        <v>0</v>
      </c>
      <c r="E8" s="1957"/>
    </row>
    <row r="9" spans="1:5" ht="15.6">
      <c r="A9" s="1957"/>
      <c r="B9" s="3040"/>
      <c r="C9" s="1960" t="s">
        <v>1618</v>
      </c>
      <c r="D9" s="1039" t="str">
        <f>NUMBERSTRING(INT(D8*10000),2)&amp;"元整"</f>
        <v>零元整</v>
      </c>
      <c r="E9" s="1957"/>
    </row>
    <row r="10" spans="1:5" ht="15.6">
      <c r="A10" s="1957"/>
      <c r="B10" s="1963" t="s">
        <v>1623</v>
      </c>
      <c r="C10" s="1964" t="s">
        <v>1621</v>
      </c>
      <c r="D10" s="1041">
        <f>结果表!H104</f>
        <v>0</v>
      </c>
      <c r="E10" s="1957"/>
    </row>
    <row r="11" spans="1:5" ht="15.6">
      <c r="A11" s="1957"/>
      <c r="B11" s="1963" t="s">
        <v>1625</v>
      </c>
      <c r="C11" s="1964" t="s">
        <v>1626</v>
      </c>
      <c r="D11" s="1041">
        <f>结果表!H105</f>
        <v>0</v>
      </c>
      <c r="E11" s="1957"/>
    </row>
    <row r="12" spans="1:5" ht="15.6">
      <c r="A12" s="1957"/>
      <c r="B12" s="1963" t="s">
        <v>1627</v>
      </c>
      <c r="C12" s="1964" t="s">
        <v>1626</v>
      </c>
      <c r="D12" s="1041">
        <f>结果表!H106</f>
        <v>0</v>
      </c>
      <c r="E12" s="1957"/>
    </row>
    <row r="13" spans="1:5" ht="15.6">
      <c r="A13" s="1957"/>
      <c r="B13" s="3031" t="str">
        <f>结果表!E107</f>
        <v>3.房地产抵押价值</v>
      </c>
      <c r="C13" s="1965" t="s">
        <v>1617</v>
      </c>
      <c r="D13" s="1042">
        <f ca="1">结果表!H107</f>
        <v>4573</v>
      </c>
      <c r="E13" s="1957"/>
    </row>
    <row r="14" spans="1:5" ht="15.6">
      <c r="A14" s="1957"/>
      <c r="B14" s="3032"/>
      <c r="C14" s="1960" t="s">
        <v>1618</v>
      </c>
      <c r="D14" s="1039" t="str">
        <f ca="1">NUMBERSTRING(INT(D13*10000),2)&amp;"元整"</f>
        <v>肆仟伍佰柒拾叁万元整</v>
      </c>
      <c r="E14" s="1957"/>
    </row>
    <row r="15" spans="1:5" ht="15.6">
      <c r="A15" s="1957"/>
      <c r="B15" s="3037"/>
      <c r="C15" s="1961" t="s">
        <v>1628</v>
      </c>
      <c r="D15" s="1051">
        <f ca="1">结果表!H108</f>
        <v>10450</v>
      </c>
      <c r="E15" s="1957"/>
    </row>
    <row r="16" spans="1:5" ht="15.6">
      <c r="A16" s="1957"/>
      <c r="B16" s="3038" t="str">
        <f>结果表!E109</f>
        <v>——</v>
      </c>
      <c r="C16" s="1965" t="s">
        <v>1629</v>
      </c>
      <c r="D16" s="1966" t="str">
        <f>结果表!H109</f>
        <v>——</v>
      </c>
      <c r="E16" s="1957"/>
    </row>
    <row r="17" spans="1:5" ht="15.6">
      <c r="A17" s="1957"/>
      <c r="B17" s="3039"/>
      <c r="C17" s="1960" t="s">
        <v>1630</v>
      </c>
      <c r="D17" s="1039" t="e">
        <f>NUMBERSTRING(INT(D16*10000),2)&amp;"元整"</f>
        <v>#VALUE!</v>
      </c>
      <c r="E17" s="1957"/>
    </row>
    <row r="18" spans="1:5" ht="15.6">
      <c r="A18" s="1957"/>
      <c r="B18" s="3040"/>
      <c r="C18" s="1961" t="s">
        <v>1619</v>
      </c>
      <c r="D18" s="1051" t="str">
        <f>结果表!H110</f>
        <v>——</v>
      </c>
      <c r="E18" s="1957"/>
    </row>
    <row r="19" spans="1:5" ht="15.6">
      <c r="A19" s="1957"/>
      <c r="B19" s="3031" t="str">
        <f>结果表!E111</f>
        <v>——</v>
      </c>
      <c r="C19" s="1965" t="s">
        <v>1617</v>
      </c>
      <c r="D19" s="1040" t="str">
        <f>结果表!H111</f>
        <v>——</v>
      </c>
      <c r="E19" s="1957"/>
    </row>
    <row r="20" spans="1:5" ht="15.6">
      <c r="A20" s="1957"/>
      <c r="B20" s="3032"/>
      <c r="C20" s="1960" t="s">
        <v>1630</v>
      </c>
      <c r="D20" s="1039" t="e">
        <f>NUMBERSTRING(INT(D19*10000),2)&amp;"元整"</f>
        <v>#VALUE!</v>
      </c>
      <c r="E20" s="1957"/>
    </row>
    <row r="21" spans="1:5" ht="16.2" thickBot="1">
      <c r="A21" s="1957"/>
      <c r="B21" s="3033"/>
      <c r="C21" s="1967" t="s">
        <v>1628</v>
      </c>
      <c r="D21" s="1052"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1" t="s">
        <v>183</v>
      </c>
      <c r="B18" s="881" t="s">
        <v>560</v>
      </c>
      <c r="C18" s="882" t="s">
        <v>561</v>
      </c>
      <c r="D18" s="883"/>
      <c r="E18" s="881">
        <v>1</v>
      </c>
      <c r="F18" s="884" t="s">
        <v>562</v>
      </c>
      <c r="G18" s="885"/>
      <c r="H18" s="877"/>
      <c r="I18" s="877"/>
    </row>
    <row r="19" spans="1:9" s="886" customFormat="1" ht="19.5" customHeight="1">
      <c r="A19" s="3341"/>
      <c r="B19" s="3341" t="s">
        <v>563</v>
      </c>
      <c r="C19" s="882" t="s">
        <v>564</v>
      </c>
      <c r="D19" s="883"/>
      <c r="E19" s="881">
        <v>0.9</v>
      </c>
      <c r="F19" s="884" t="s">
        <v>565</v>
      </c>
      <c r="G19" s="885"/>
      <c r="H19" s="877"/>
      <c r="I19" s="877"/>
    </row>
    <row r="20" spans="1:9" s="886" customFormat="1" ht="19.5" customHeight="1">
      <c r="A20" s="3341"/>
      <c r="B20" s="3341"/>
      <c r="C20" s="882" t="s">
        <v>566</v>
      </c>
      <c r="D20" s="883"/>
      <c r="E20" s="881">
        <v>1.1000000000000001</v>
      </c>
      <c r="F20" s="884" t="s">
        <v>567</v>
      </c>
      <c r="G20" s="885"/>
      <c r="H20" s="877"/>
      <c r="I20" s="877"/>
    </row>
    <row r="21" spans="1:9" s="886" customFormat="1" ht="19.5" customHeight="1">
      <c r="A21" s="3341"/>
      <c r="B21" s="3341"/>
      <c r="C21" s="882" t="s">
        <v>568</v>
      </c>
      <c r="D21" s="883"/>
      <c r="E21" s="881">
        <v>0.8</v>
      </c>
      <c r="F21" s="884" t="s">
        <v>569</v>
      </c>
      <c r="G21" s="885"/>
      <c r="H21" s="877"/>
      <c r="I21" s="877"/>
    </row>
    <row r="22" spans="1:9" s="886" customFormat="1" ht="19.5" customHeight="1">
      <c r="A22" s="3341"/>
      <c r="B22" s="3341"/>
      <c r="C22" s="882" t="s">
        <v>570</v>
      </c>
      <c r="D22" s="883"/>
      <c r="E22" s="881">
        <v>0.5</v>
      </c>
      <c r="F22" s="884"/>
      <c r="G22" s="885"/>
      <c r="H22" s="877"/>
      <c r="I22" s="877"/>
    </row>
    <row r="23" spans="1:9" s="886" customFormat="1" ht="19.5" customHeight="1">
      <c r="A23" s="3341" t="s">
        <v>184</v>
      </c>
      <c r="B23" s="881" t="s">
        <v>560</v>
      </c>
      <c r="C23" s="882" t="s">
        <v>571</v>
      </c>
      <c r="D23" s="883"/>
      <c r="E23" s="881">
        <v>1</v>
      </c>
      <c r="F23" s="884" t="s">
        <v>572</v>
      </c>
      <c r="G23" s="885"/>
      <c r="H23" s="877"/>
      <c r="I23" s="877"/>
    </row>
    <row r="24" spans="1:9" s="886" customFormat="1" ht="19.5" customHeight="1">
      <c r="A24" s="3341"/>
      <c r="B24" s="3341" t="s">
        <v>563</v>
      </c>
      <c r="C24" s="882" t="s">
        <v>573</v>
      </c>
      <c r="D24" s="883"/>
      <c r="E24" s="881">
        <v>0.5</v>
      </c>
      <c r="F24" s="884"/>
      <c r="G24" s="885"/>
      <c r="H24" s="877"/>
      <c r="I24" s="877"/>
    </row>
    <row r="25" spans="1:9" s="886" customFormat="1" ht="19.5" customHeight="1">
      <c r="A25" s="3341"/>
      <c r="B25" s="3341"/>
      <c r="C25" s="882" t="s">
        <v>574</v>
      </c>
      <c r="D25" s="883"/>
      <c r="E25" s="881">
        <v>1.1000000000000001</v>
      </c>
      <c r="F25" s="884"/>
      <c r="G25" s="885"/>
      <c r="H25" s="877"/>
      <c r="I25" s="877"/>
    </row>
    <row r="26" spans="1:9" s="886" customFormat="1" ht="19.5" customHeight="1">
      <c r="A26" s="3341"/>
      <c r="B26" s="3341"/>
      <c r="C26" s="882" t="s">
        <v>575</v>
      </c>
      <c r="D26" s="883"/>
      <c r="E26" s="881">
        <v>1.1000000000000001</v>
      </c>
      <c r="F26" s="884"/>
      <c r="G26" s="885"/>
      <c r="H26" s="877"/>
      <c r="I26" s="877"/>
    </row>
    <row r="27" spans="1:9" s="886" customFormat="1" ht="19.5" customHeight="1">
      <c r="A27" s="3341"/>
      <c r="B27" s="3341"/>
      <c r="C27" s="882" t="s">
        <v>576</v>
      </c>
      <c r="D27" s="883"/>
      <c r="E27" s="881">
        <v>0.9</v>
      </c>
      <c r="F27" s="884" t="s">
        <v>577</v>
      </c>
      <c r="G27" s="885"/>
      <c r="H27" s="877"/>
      <c r="I27" s="877"/>
    </row>
    <row r="28" spans="1:9" s="886" customFormat="1" ht="19.5" customHeight="1">
      <c r="A28" s="3341"/>
      <c r="B28" s="3341"/>
      <c r="C28" s="882" t="s">
        <v>578</v>
      </c>
      <c r="D28" s="883"/>
      <c r="E28" s="881">
        <v>0.9</v>
      </c>
      <c r="F28" s="884" t="s">
        <v>579</v>
      </c>
      <c r="G28" s="885"/>
      <c r="H28" s="877"/>
      <c r="I28" s="877"/>
    </row>
    <row r="29" spans="1:9" s="886" customFormat="1" ht="19.5" customHeight="1">
      <c r="A29" s="3341"/>
      <c r="B29" s="3341"/>
      <c r="C29" s="882" t="s">
        <v>580</v>
      </c>
      <c r="D29" s="883"/>
      <c r="E29" s="881">
        <v>0.9</v>
      </c>
      <c r="F29" s="884" t="s">
        <v>581</v>
      </c>
      <c r="G29" s="885"/>
      <c r="H29" s="877"/>
      <c r="I29" s="877"/>
    </row>
    <row r="30" spans="1:9" s="886" customFormat="1" ht="19.5" customHeight="1">
      <c r="A30" s="3341"/>
      <c r="B30" s="3341"/>
      <c r="C30" s="882" t="s">
        <v>582</v>
      </c>
      <c r="D30" s="883"/>
      <c r="E30" s="881">
        <v>0.9</v>
      </c>
      <c r="F30" s="884" t="s">
        <v>583</v>
      </c>
      <c r="G30" s="885"/>
      <c r="H30" s="877"/>
      <c r="I30" s="877"/>
    </row>
    <row r="31" spans="1:9" s="886" customFormat="1" ht="19.5" customHeight="1">
      <c r="A31" s="3341"/>
      <c r="B31" s="3341"/>
      <c r="C31" s="882" t="s">
        <v>584</v>
      </c>
      <c r="D31" s="883"/>
      <c r="E31" s="881">
        <v>0.8</v>
      </c>
      <c r="F31" s="884" t="s">
        <v>585</v>
      </c>
      <c r="G31" s="885"/>
      <c r="H31" s="877"/>
      <c r="I31" s="877"/>
    </row>
    <row r="32" spans="1:9" s="886" customFormat="1" ht="19.5" customHeight="1">
      <c r="A32" s="3341"/>
      <c r="B32" s="3341"/>
      <c r="C32" s="882" t="s">
        <v>586</v>
      </c>
      <c r="D32" s="883"/>
      <c r="E32" s="881">
        <v>0.8</v>
      </c>
      <c r="F32" s="884" t="s">
        <v>587</v>
      </c>
      <c r="G32" s="885"/>
      <c r="H32" s="877"/>
      <c r="I32" s="877"/>
    </row>
    <row r="33" spans="1:9" s="886" customFormat="1" ht="19.5" customHeight="1">
      <c r="A33" s="3341" t="s">
        <v>185</v>
      </c>
      <c r="B33" s="881" t="s">
        <v>560</v>
      </c>
      <c r="C33" s="882" t="s">
        <v>588</v>
      </c>
      <c r="D33" s="883"/>
      <c r="E33" s="881">
        <v>1</v>
      </c>
      <c r="F33" s="884" t="s">
        <v>589</v>
      </c>
      <c r="G33" s="885"/>
      <c r="H33" s="877"/>
      <c r="I33" s="877"/>
    </row>
    <row r="34" spans="1:9" s="886" customFormat="1" ht="19.5" customHeight="1">
      <c r="A34" s="3341"/>
      <c r="B34" s="881" t="s">
        <v>563</v>
      </c>
      <c r="C34" s="882" t="s">
        <v>590</v>
      </c>
      <c r="D34" s="883"/>
      <c r="E34" s="881">
        <v>1.5</v>
      </c>
      <c r="F34" s="884" t="s">
        <v>591</v>
      </c>
      <c r="G34" s="885"/>
      <c r="H34" s="877"/>
      <c r="I34" s="877"/>
    </row>
    <row r="35" spans="1:9" s="886" customFormat="1" ht="19.5" customHeight="1">
      <c r="A35" s="3341" t="s">
        <v>186</v>
      </c>
      <c r="B35" s="881" t="s">
        <v>560</v>
      </c>
      <c r="C35" s="882" t="s">
        <v>592</v>
      </c>
      <c r="D35" s="883"/>
      <c r="E35" s="881">
        <v>1</v>
      </c>
      <c r="F35" s="884" t="s">
        <v>593</v>
      </c>
      <c r="G35" s="885"/>
      <c r="H35" s="877"/>
      <c r="I35" s="877"/>
    </row>
    <row r="36" spans="1:9" s="886" customFormat="1" ht="19.5" customHeight="1">
      <c r="A36" s="3341"/>
      <c r="B36" s="3341" t="s">
        <v>563</v>
      </c>
      <c r="C36" s="882" t="s">
        <v>594</v>
      </c>
      <c r="D36" s="883"/>
      <c r="E36" s="881">
        <v>1</v>
      </c>
      <c r="F36" s="884" t="s">
        <v>595</v>
      </c>
      <c r="G36" s="885"/>
      <c r="H36" s="877"/>
      <c r="I36" s="877"/>
    </row>
    <row r="37" spans="1:9" s="886" customFormat="1" ht="19.5" customHeight="1">
      <c r="A37" s="3341"/>
      <c r="B37" s="3341"/>
      <c r="C37" s="882" t="s">
        <v>596</v>
      </c>
      <c r="D37" s="883"/>
      <c r="E37" s="881">
        <v>1.5</v>
      </c>
      <c r="F37" s="884" t="s">
        <v>597</v>
      </c>
      <c r="G37" s="885"/>
      <c r="H37" s="877"/>
      <c r="I37" s="877"/>
    </row>
    <row r="38" spans="1:9" s="886" customFormat="1" ht="19.5" customHeight="1">
      <c r="A38" s="3341"/>
      <c r="B38" s="3341"/>
      <c r="C38" s="882" t="s">
        <v>598</v>
      </c>
      <c r="D38" s="883"/>
      <c r="E38" s="881">
        <v>1</v>
      </c>
      <c r="F38" s="884" t="s">
        <v>599</v>
      </c>
      <c r="G38" s="885"/>
      <c r="H38" s="877"/>
      <c r="I38" s="877"/>
    </row>
    <row r="39" spans="1:9" s="886" customFormat="1" ht="19.5" customHeight="1">
      <c r="A39" s="3341"/>
      <c r="B39" s="334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41" t="s">
        <v>614</v>
      </c>
      <c r="C61" s="817" t="s">
        <v>615</v>
      </c>
      <c r="D61" s="817" t="s">
        <v>616</v>
      </c>
      <c r="E61" s="894">
        <v>0.5</v>
      </c>
      <c r="F61" s="881">
        <v>80</v>
      </c>
    </row>
    <row r="62" spans="1:8" s="877" customFormat="1" ht="36">
      <c r="A62" s="881">
        <v>2</v>
      </c>
      <c r="B62" s="3341"/>
      <c r="C62" s="817" t="s">
        <v>617</v>
      </c>
      <c r="D62" s="817" t="s">
        <v>618</v>
      </c>
      <c r="E62" s="894">
        <v>0.5</v>
      </c>
      <c r="F62" s="881">
        <v>80</v>
      </c>
    </row>
    <row r="63" spans="1:8" s="877" customFormat="1" ht="48">
      <c r="A63" s="881">
        <v>3</v>
      </c>
      <c r="B63" s="3341"/>
      <c r="C63" s="817" t="s">
        <v>619</v>
      </c>
      <c r="D63" s="817" t="s">
        <v>620</v>
      </c>
      <c r="E63" s="894">
        <v>0.5</v>
      </c>
      <c r="F63" s="881">
        <v>80</v>
      </c>
    </row>
    <row r="64" spans="1:8" s="877" customFormat="1" ht="48">
      <c r="A64" s="881">
        <v>4</v>
      </c>
      <c r="B64" s="3341"/>
      <c r="C64" s="817" t="s">
        <v>621</v>
      </c>
      <c r="D64" s="817" t="s">
        <v>622</v>
      </c>
      <c r="E64" s="894">
        <v>0.4</v>
      </c>
      <c r="F64" s="881">
        <v>60</v>
      </c>
    </row>
    <row r="65" spans="1:6" s="877" customFormat="1" ht="48">
      <c r="A65" s="881">
        <v>5</v>
      </c>
      <c r="B65" s="3341"/>
      <c r="C65" s="817" t="s">
        <v>623</v>
      </c>
      <c r="D65" s="817" t="s">
        <v>624</v>
      </c>
      <c r="E65" s="894">
        <v>0.2</v>
      </c>
      <c r="F65" s="881">
        <v>30</v>
      </c>
    </row>
    <row r="66" spans="1:6" s="877" customFormat="1" ht="48">
      <c r="A66" s="881">
        <v>6</v>
      </c>
      <c r="B66" s="3341"/>
      <c r="C66" s="817" t="s">
        <v>625</v>
      </c>
      <c r="D66" s="817" t="s">
        <v>626</v>
      </c>
      <c r="E66" s="894">
        <v>0.3</v>
      </c>
      <c r="F66" s="881">
        <v>50</v>
      </c>
    </row>
    <row r="67" spans="1:6" s="877" customFormat="1" ht="48">
      <c r="A67" s="881">
        <v>7</v>
      </c>
      <c r="B67" s="3341"/>
      <c r="C67" s="817" t="s">
        <v>627</v>
      </c>
      <c r="D67" s="817" t="s">
        <v>628</v>
      </c>
      <c r="E67" s="894">
        <v>0.2</v>
      </c>
      <c r="F67" s="881">
        <v>30</v>
      </c>
    </row>
    <row r="68" spans="1:6" s="877" customFormat="1" ht="48">
      <c r="A68" s="881">
        <v>8</v>
      </c>
      <c r="B68" s="3341"/>
      <c r="C68" s="817" t="s">
        <v>629</v>
      </c>
      <c r="D68" s="817" t="s">
        <v>630</v>
      </c>
      <c r="E68" s="894">
        <v>0.2</v>
      </c>
      <c r="F68" s="881">
        <v>30</v>
      </c>
    </row>
    <row r="69" spans="1:6" s="877" customFormat="1" ht="48">
      <c r="A69" s="881">
        <v>9</v>
      </c>
      <c r="B69" s="3341"/>
      <c r="C69" s="817" t="s">
        <v>631</v>
      </c>
      <c r="D69" s="817" t="s">
        <v>632</v>
      </c>
      <c r="E69" s="894">
        <v>0.2</v>
      </c>
      <c r="F69" s="881">
        <v>30</v>
      </c>
    </row>
    <row r="70" spans="1:6" s="877" customFormat="1" ht="60">
      <c r="A70" s="881">
        <v>10</v>
      </c>
      <c r="B70" s="3341"/>
      <c r="C70" s="817" t="s">
        <v>633</v>
      </c>
      <c r="D70" s="817" t="s">
        <v>634</v>
      </c>
      <c r="E70" s="894">
        <v>0.2</v>
      </c>
      <c r="F70" s="881">
        <v>30</v>
      </c>
    </row>
    <row r="71" spans="1:6" s="877" customFormat="1" ht="60">
      <c r="A71" s="881">
        <v>11</v>
      </c>
      <c r="B71" s="3341"/>
      <c r="C71" s="817" t="s">
        <v>635</v>
      </c>
      <c r="D71" s="817" t="s">
        <v>636</v>
      </c>
      <c r="E71" s="894">
        <v>0.2</v>
      </c>
      <c r="F71" s="881">
        <v>30</v>
      </c>
    </row>
    <row r="72" spans="1:6" s="877" customFormat="1" ht="36">
      <c r="A72" s="881">
        <v>12</v>
      </c>
      <c r="B72" s="3341"/>
      <c r="C72" s="817" t="s">
        <v>637</v>
      </c>
      <c r="D72" s="817" t="s">
        <v>638</v>
      </c>
      <c r="E72" s="894">
        <v>0.5</v>
      </c>
      <c r="F72" s="881">
        <v>80</v>
      </c>
    </row>
    <row r="73" spans="1:6" s="877" customFormat="1" ht="36">
      <c r="A73" s="881">
        <v>13</v>
      </c>
      <c r="B73" s="3341"/>
      <c r="C73" s="817" t="s">
        <v>639</v>
      </c>
      <c r="D73" s="817" t="s">
        <v>640</v>
      </c>
      <c r="E73" s="894">
        <v>0.4</v>
      </c>
      <c r="F73" s="881">
        <v>60</v>
      </c>
    </row>
    <row r="74" spans="1:6" s="877" customFormat="1" ht="36">
      <c r="A74" s="881">
        <v>14</v>
      </c>
      <c r="B74" s="3341"/>
      <c r="C74" s="817" t="s">
        <v>641</v>
      </c>
      <c r="D74" s="817" t="s">
        <v>642</v>
      </c>
      <c r="E74" s="894">
        <v>0.2</v>
      </c>
      <c r="F74" s="881">
        <v>30</v>
      </c>
    </row>
    <row r="75" spans="1:6" s="877" customFormat="1" ht="36">
      <c r="A75" s="881">
        <v>15</v>
      </c>
      <c r="B75" s="3341"/>
      <c r="C75" s="817" t="s">
        <v>643</v>
      </c>
      <c r="D75" s="817" t="s">
        <v>644</v>
      </c>
      <c r="E75" s="894">
        <v>0.2</v>
      </c>
      <c r="F75" s="881">
        <v>30</v>
      </c>
    </row>
    <row r="76" spans="1:6" s="877" customFormat="1" ht="36">
      <c r="A76" s="881">
        <v>16</v>
      </c>
      <c r="B76" s="3341" t="s">
        <v>645</v>
      </c>
      <c r="C76" s="817" t="s">
        <v>646</v>
      </c>
      <c r="D76" s="817" t="s">
        <v>647</v>
      </c>
      <c r="E76" s="894">
        <v>0.5</v>
      </c>
      <c r="F76" s="881">
        <v>80</v>
      </c>
    </row>
    <row r="77" spans="1:6" s="877" customFormat="1" ht="36">
      <c r="A77" s="881">
        <v>17</v>
      </c>
      <c r="B77" s="3341"/>
      <c r="C77" s="817" t="s">
        <v>648</v>
      </c>
      <c r="D77" s="817" t="s">
        <v>649</v>
      </c>
      <c r="E77" s="894">
        <v>0.5</v>
      </c>
      <c r="F77" s="881">
        <v>80</v>
      </c>
    </row>
    <row r="78" spans="1:6" s="877" customFormat="1" ht="36">
      <c r="A78" s="881">
        <v>18</v>
      </c>
      <c r="B78" s="3341"/>
      <c r="C78" s="817" t="s">
        <v>650</v>
      </c>
      <c r="D78" s="817" t="s">
        <v>651</v>
      </c>
      <c r="E78" s="894">
        <v>0.2</v>
      </c>
      <c r="F78" s="881">
        <v>30</v>
      </c>
    </row>
    <row r="79" spans="1:6" s="877" customFormat="1" ht="36">
      <c r="A79" s="881">
        <v>19</v>
      </c>
      <c r="B79" s="3341"/>
      <c r="C79" s="817" t="s">
        <v>652</v>
      </c>
      <c r="D79" s="817" t="s">
        <v>653</v>
      </c>
      <c r="E79" s="894">
        <v>0.5</v>
      </c>
      <c r="F79" s="881">
        <v>80</v>
      </c>
    </row>
    <row r="80" spans="1:6" s="877" customFormat="1" ht="36">
      <c r="A80" s="881">
        <v>20</v>
      </c>
      <c r="B80" s="3341"/>
      <c r="C80" s="817" t="s">
        <v>654</v>
      </c>
      <c r="D80" s="817" t="s">
        <v>655</v>
      </c>
      <c r="E80" s="894">
        <v>0.2</v>
      </c>
      <c r="F80" s="881">
        <v>30</v>
      </c>
    </row>
    <row r="81" spans="1:6" s="877" customFormat="1" ht="36">
      <c r="A81" s="881">
        <v>21</v>
      </c>
      <c r="B81" s="3341"/>
      <c r="C81" s="817" t="s">
        <v>656</v>
      </c>
      <c r="D81" s="817" t="s">
        <v>657</v>
      </c>
      <c r="E81" s="894">
        <v>0.2</v>
      </c>
      <c r="F81" s="881">
        <v>30</v>
      </c>
    </row>
    <row r="82" spans="1:6" s="877" customFormat="1" ht="60">
      <c r="A82" s="881">
        <v>22</v>
      </c>
      <c r="B82" s="3341"/>
      <c r="C82" s="817" t="s">
        <v>658</v>
      </c>
      <c r="D82" s="817" t="s">
        <v>659</v>
      </c>
      <c r="E82" s="894">
        <v>0.2</v>
      </c>
      <c r="F82" s="881">
        <v>30</v>
      </c>
    </row>
    <row r="83" spans="1:6" s="877" customFormat="1" ht="60">
      <c r="A83" s="881">
        <v>23</v>
      </c>
      <c r="B83" s="3341"/>
      <c r="C83" s="817" t="s">
        <v>660</v>
      </c>
      <c r="D83" s="817" t="s">
        <v>661</v>
      </c>
      <c r="E83" s="894">
        <v>0.2</v>
      </c>
      <c r="F83" s="881">
        <v>30</v>
      </c>
    </row>
    <row r="84" spans="1:6" s="877" customFormat="1" ht="48">
      <c r="A84" s="881">
        <v>24</v>
      </c>
      <c r="B84" s="3341"/>
      <c r="C84" s="817" t="s">
        <v>662</v>
      </c>
      <c r="D84" s="817" t="s">
        <v>663</v>
      </c>
      <c r="E84" s="894">
        <v>0.2</v>
      </c>
      <c r="F84" s="881">
        <v>30</v>
      </c>
    </row>
    <row r="85" spans="1:6" s="877" customFormat="1" ht="36">
      <c r="A85" s="881">
        <v>25</v>
      </c>
      <c r="B85" s="3341"/>
      <c r="C85" s="817" t="s">
        <v>664</v>
      </c>
      <c r="D85" s="817" t="s">
        <v>665</v>
      </c>
      <c r="E85" s="894">
        <v>0.5</v>
      </c>
      <c r="F85" s="881">
        <v>80</v>
      </c>
    </row>
    <row r="86" spans="1:6" s="877" customFormat="1" ht="36">
      <c r="A86" s="881">
        <v>26</v>
      </c>
      <c r="B86" s="3341"/>
      <c r="C86" s="817" t="s">
        <v>666</v>
      </c>
      <c r="D86" s="817" t="s">
        <v>667</v>
      </c>
      <c r="E86" s="894">
        <v>0.2</v>
      </c>
      <c r="F86" s="881">
        <v>30</v>
      </c>
    </row>
    <row r="87" spans="1:6" s="877" customFormat="1" ht="36">
      <c r="A87" s="881">
        <v>27</v>
      </c>
      <c r="B87" s="3341"/>
      <c r="C87" s="817" t="s">
        <v>668</v>
      </c>
      <c r="D87" s="817" t="s">
        <v>669</v>
      </c>
      <c r="E87" s="894">
        <v>0.2</v>
      </c>
      <c r="F87" s="881">
        <v>30</v>
      </c>
    </row>
    <row r="88" spans="1:6" s="877" customFormat="1" ht="36">
      <c r="A88" s="881">
        <v>28</v>
      </c>
      <c r="B88" s="3341"/>
      <c r="C88" s="817" t="s">
        <v>670</v>
      </c>
      <c r="D88" s="817" t="s">
        <v>671</v>
      </c>
      <c r="E88" s="894">
        <v>0.2</v>
      </c>
      <c r="F88" s="881">
        <v>30</v>
      </c>
    </row>
    <row r="89" spans="1:6" s="877" customFormat="1" ht="36">
      <c r="A89" s="881">
        <v>29</v>
      </c>
      <c r="B89" s="3341"/>
      <c r="C89" s="817" t="s">
        <v>672</v>
      </c>
      <c r="D89" s="817" t="s">
        <v>673</v>
      </c>
      <c r="E89" s="894">
        <v>0.2</v>
      </c>
      <c r="F89" s="881">
        <v>30</v>
      </c>
    </row>
    <row r="90" spans="1:6" s="877" customFormat="1" ht="36">
      <c r="A90" s="881">
        <v>30</v>
      </c>
      <c r="B90" s="3341"/>
      <c r="C90" s="817" t="s">
        <v>674</v>
      </c>
      <c r="D90" s="817" t="s">
        <v>675</v>
      </c>
      <c r="E90" s="894">
        <v>0.2</v>
      </c>
      <c r="F90" s="881">
        <v>30</v>
      </c>
    </row>
    <row r="91" spans="1:6" s="877" customFormat="1" ht="48">
      <c r="A91" s="881">
        <v>31</v>
      </c>
      <c r="B91" s="3341"/>
      <c r="C91" s="817" t="s">
        <v>676</v>
      </c>
      <c r="D91" s="817" t="s">
        <v>677</v>
      </c>
      <c r="E91" s="894">
        <v>0.2</v>
      </c>
      <c r="F91" s="881">
        <v>30</v>
      </c>
    </row>
    <row r="92" spans="1:6" s="877" customFormat="1" ht="36">
      <c r="A92" s="881">
        <v>32</v>
      </c>
      <c r="B92" s="3341" t="s">
        <v>678</v>
      </c>
      <c r="C92" s="881" t="s">
        <v>679</v>
      </c>
      <c r="D92" s="817" t="s">
        <v>680</v>
      </c>
      <c r="E92" s="894">
        <v>0.2</v>
      </c>
      <c r="F92" s="881">
        <v>30</v>
      </c>
    </row>
    <row r="93" spans="1:6" s="877" customFormat="1" ht="36">
      <c r="A93" s="881">
        <v>33</v>
      </c>
      <c r="B93" s="3341"/>
      <c r="C93" s="881" t="s">
        <v>681</v>
      </c>
      <c r="D93" s="817" t="s">
        <v>682</v>
      </c>
      <c r="E93" s="894">
        <v>0.2</v>
      </c>
      <c r="F93" s="881">
        <v>30</v>
      </c>
    </row>
    <row r="94" spans="1:6" s="877" customFormat="1" ht="60">
      <c r="A94" s="881">
        <v>34</v>
      </c>
      <c r="B94" s="3341"/>
      <c r="C94" s="881" t="s">
        <v>683</v>
      </c>
      <c r="D94" s="817" t="s">
        <v>684</v>
      </c>
      <c r="E94" s="894">
        <v>0.2</v>
      </c>
      <c r="F94" s="881">
        <v>30</v>
      </c>
    </row>
    <row r="95" spans="1:6" s="877" customFormat="1" ht="48">
      <c r="A95" s="881">
        <v>35</v>
      </c>
      <c r="B95" s="3341"/>
      <c r="C95" s="881" t="s">
        <v>685</v>
      </c>
      <c r="D95" s="817" t="s">
        <v>686</v>
      </c>
      <c r="E95" s="894">
        <v>0.2</v>
      </c>
      <c r="F95" s="881">
        <v>30</v>
      </c>
    </row>
    <row r="96" spans="1:6" s="877" customFormat="1" ht="72">
      <c r="A96" s="881">
        <v>36</v>
      </c>
      <c r="B96" s="3341"/>
      <c r="C96" s="817" t="s">
        <v>687</v>
      </c>
      <c r="D96" s="817" t="s">
        <v>688</v>
      </c>
      <c r="E96" s="894">
        <v>0.2</v>
      </c>
      <c r="F96" s="881">
        <v>30</v>
      </c>
    </row>
    <row r="97" spans="1:6" s="877" customFormat="1" ht="36">
      <c r="A97" s="881">
        <v>37</v>
      </c>
      <c r="B97" s="3341"/>
      <c r="C97" s="881" t="s">
        <v>689</v>
      </c>
      <c r="D97" s="817" t="s">
        <v>690</v>
      </c>
      <c r="E97" s="894">
        <v>0.2</v>
      </c>
      <c r="F97" s="881">
        <v>30</v>
      </c>
    </row>
    <row r="98" spans="1:6" s="877" customFormat="1" ht="36">
      <c r="A98" s="881">
        <v>38</v>
      </c>
      <c r="B98" s="3341"/>
      <c r="C98" s="881" t="s">
        <v>691</v>
      </c>
      <c r="D98" s="817" t="s">
        <v>692</v>
      </c>
      <c r="E98" s="894">
        <v>0.2</v>
      </c>
      <c r="F98" s="881">
        <v>30</v>
      </c>
    </row>
    <row r="99" spans="1:6" s="877" customFormat="1" ht="36">
      <c r="A99" s="881">
        <v>39</v>
      </c>
      <c r="B99" s="3341" t="s">
        <v>693</v>
      </c>
      <c r="C99" s="881" t="s">
        <v>694</v>
      </c>
      <c r="D99" s="817" t="s">
        <v>695</v>
      </c>
      <c r="E99" s="894">
        <v>0.3</v>
      </c>
      <c r="F99" s="881">
        <v>50</v>
      </c>
    </row>
    <row r="100" spans="1:6" s="877" customFormat="1" ht="36">
      <c r="A100" s="881">
        <v>40</v>
      </c>
      <c r="B100" s="3341"/>
      <c r="C100" s="881" t="s">
        <v>696</v>
      </c>
      <c r="D100" s="817" t="s">
        <v>697</v>
      </c>
      <c r="E100" s="894">
        <v>0.2</v>
      </c>
      <c r="F100" s="881">
        <v>30</v>
      </c>
    </row>
    <row r="101" spans="1:6" s="877" customFormat="1" ht="36">
      <c r="A101" s="881">
        <v>41</v>
      </c>
      <c r="B101" s="3341"/>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41" t="s">
        <v>708</v>
      </c>
      <c r="C105" s="881" t="s">
        <v>709</v>
      </c>
      <c r="D105" s="817" t="s">
        <v>710</v>
      </c>
      <c r="E105" s="894">
        <v>0.2</v>
      </c>
      <c r="F105" s="881">
        <v>30</v>
      </c>
    </row>
    <row r="106" spans="1:6" s="877" customFormat="1" ht="48">
      <c r="A106" s="881">
        <v>46</v>
      </c>
      <c r="B106" s="3341"/>
      <c r="C106" s="881" t="s">
        <v>711</v>
      </c>
      <c r="D106" s="817" t="s">
        <v>712</v>
      </c>
      <c r="E106" s="894">
        <v>0.2</v>
      </c>
      <c r="F106" s="881">
        <v>30</v>
      </c>
    </row>
    <row r="107" spans="1:6" s="877" customFormat="1" ht="36">
      <c r="A107" s="881">
        <v>47</v>
      </c>
      <c r="B107" s="3341" t="s">
        <v>713</v>
      </c>
      <c r="C107" s="881" t="s">
        <v>714</v>
      </c>
      <c r="D107" s="817" t="s">
        <v>715</v>
      </c>
      <c r="E107" s="894">
        <v>0.3</v>
      </c>
      <c r="F107" s="881">
        <v>50</v>
      </c>
    </row>
    <row r="108" spans="1:6" s="877" customFormat="1" ht="48">
      <c r="A108" s="881">
        <v>48</v>
      </c>
      <c r="B108" s="334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41" t="s">
        <v>724</v>
      </c>
      <c r="C111" s="881" t="s">
        <v>725</v>
      </c>
      <c r="D111" s="817" t="s">
        <v>726</v>
      </c>
      <c r="E111" s="894">
        <v>0.2</v>
      </c>
      <c r="F111" s="881">
        <v>30</v>
      </c>
    </row>
    <row r="112" spans="1:6" s="877" customFormat="1" ht="36">
      <c r="A112" s="881">
        <v>52</v>
      </c>
      <c r="B112" s="3341"/>
      <c r="C112" s="881" t="s">
        <v>727</v>
      </c>
      <c r="D112" s="817" t="s">
        <v>728</v>
      </c>
      <c r="E112" s="894">
        <v>0.2</v>
      </c>
      <c r="F112" s="881">
        <v>30</v>
      </c>
    </row>
    <row r="113" spans="1:6" s="877" customFormat="1" ht="36">
      <c r="A113" s="881">
        <v>53</v>
      </c>
      <c r="B113" s="3341"/>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41" t="s">
        <v>737</v>
      </c>
      <c r="C116" s="881" t="s">
        <v>738</v>
      </c>
      <c r="D116" s="817" t="s">
        <v>739</v>
      </c>
      <c r="E116" s="894">
        <v>0.2</v>
      </c>
      <c r="F116" s="881">
        <v>30</v>
      </c>
    </row>
    <row r="117" spans="1:6" ht="36">
      <c r="A117" s="881">
        <v>57</v>
      </c>
      <c r="B117" s="3341"/>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0" t="s">
        <v>2999</v>
      </c>
    </row>
    <row r="2" spans="1:5" ht="15.6">
      <c r="A2" s="2901" t="s">
        <v>2991</v>
      </c>
      <c r="B2" s="2902" t="e">
        <f ca="1">SUMIF(B6:B13,"&lt;&gt;#ref!",B6:B13)</f>
        <v>#DIV/0!</v>
      </c>
      <c r="C2" s="2901" t="s">
        <v>2992</v>
      </c>
      <c r="D2" s="2901" t="s">
        <v>2993</v>
      </c>
      <c r="E2" s="2902">
        <f ca="1">SUMIF(E6:E13,"&lt;&gt;#ref!",E6:E13)</f>
        <v>0</v>
      </c>
    </row>
    <row r="3" spans="1:5" ht="15.6">
      <c r="A3" s="2901" t="s">
        <v>2994</v>
      </c>
      <c r="B3" s="2902" t="e">
        <f ca="1">ROUND(B2*10000/E2,0)</f>
        <v>#DIV/0!</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t="e">
        <f ca="1">SUMIF(INDIRECT("'"&amp;A6&amp;"'"&amp;"!A:A"),"总价",INDIRECT("'"&amp;A6&amp;"'"&amp;"!B:B"))</f>
        <v>#DIV/0!</v>
      </c>
      <c r="C6" s="2901" t="s">
        <v>2992</v>
      </c>
      <c r="D6" s="2903"/>
      <c r="E6" s="2574">
        <f ca="1">SUMIF(INDIRECT("'"&amp;A6&amp;"'"&amp;"!C:C"),"建筑面积",INDIRECT("'"&amp;A6&amp;"'"&amp;"!D:D"))</f>
        <v>0</v>
      </c>
    </row>
    <row r="7" spans="1:5" ht="15.6">
      <c r="A7" s="2906"/>
      <c r="B7" s="2902" t="e">
        <f ca="1">SUMIF(INDIRECT("'"&amp;A7&amp;"'"&amp;"!A:A"),"总价",INDIRECT("'"&amp;A7&amp;"'"&amp;"!B:B"))</f>
        <v>#REF!</v>
      </c>
      <c r="C7" s="2901" t="s">
        <v>2992</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74" t="e">
        <f t="shared" ca="1" si="0"/>
        <v>#REF!</v>
      </c>
    </row>
    <row r="9" spans="1:5" ht="15.6">
      <c r="A9" s="2906"/>
      <c r="B9" s="2902" t="e">
        <f t="shared" ca="1" si="1"/>
        <v>#REF!</v>
      </c>
      <c r="C9" s="2901" t="s">
        <v>2992</v>
      </c>
      <c r="D9" s="2903"/>
      <c r="E9" s="2574" t="e">
        <f t="shared" ca="1" si="0"/>
        <v>#REF!</v>
      </c>
    </row>
    <row r="10" spans="1:5" ht="15.6">
      <c r="A10" s="2906"/>
      <c r="B10" s="2902" t="e">
        <f t="shared" ca="1" si="1"/>
        <v>#REF!</v>
      </c>
      <c r="C10" s="2901" t="s">
        <v>2992</v>
      </c>
      <c r="D10" s="2903"/>
      <c r="E10" s="2574" t="e">
        <f t="shared" ca="1" si="0"/>
        <v>#REF!</v>
      </c>
    </row>
    <row r="11" spans="1:5" ht="15.6">
      <c r="A11" s="2906"/>
      <c r="B11" s="2902" t="e">
        <f t="shared" ca="1" si="1"/>
        <v>#REF!</v>
      </c>
      <c r="C11" s="2901" t="s">
        <v>2992</v>
      </c>
      <c r="D11" s="2903"/>
      <c r="E11" s="2574" t="e">
        <f t="shared" ca="1" si="0"/>
        <v>#REF!</v>
      </c>
    </row>
    <row r="12" spans="1:5" ht="15.6">
      <c r="A12" s="2906"/>
      <c r="B12" s="2902" t="e">
        <f t="shared" ca="1" si="1"/>
        <v>#REF!</v>
      </c>
      <c r="C12" s="2901" t="s">
        <v>2992</v>
      </c>
      <c r="D12" s="2903"/>
      <c r="E12" s="2574" t="e">
        <f t="shared" ca="1" si="0"/>
        <v>#REF!</v>
      </c>
    </row>
    <row r="13" spans="1:5" ht="15.6">
      <c r="A13" s="2906"/>
      <c r="B13" s="2902" t="e">
        <f t="shared" ca="1" si="1"/>
        <v>#REF!</v>
      </c>
      <c r="C13" s="2901" t="s">
        <v>2992</v>
      </c>
      <c r="D13" s="2903"/>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47" t="s">
        <v>1146</v>
      </c>
      <c r="C1" s="3347"/>
      <c r="D1" s="3347"/>
      <c r="E1" s="3347"/>
      <c r="F1" s="3347"/>
      <c r="G1" s="3343" t="s">
        <v>1147</v>
      </c>
      <c r="H1" s="3343"/>
      <c r="I1" s="3343"/>
      <c r="J1" s="3343"/>
      <c r="K1" s="3343"/>
      <c r="L1" s="3343"/>
      <c r="N1" s="3343" t="s">
        <v>1148</v>
      </c>
      <c r="O1" s="3343"/>
      <c r="P1" s="3343"/>
      <c r="Q1" s="3343"/>
      <c r="R1" s="1445"/>
      <c r="S1" s="3343" t="s">
        <v>1149</v>
      </c>
      <c r="T1" s="3343"/>
      <c r="U1" s="3343"/>
      <c r="V1" s="3343"/>
      <c r="X1" s="3342" t="s">
        <v>1150</v>
      </c>
      <c r="Y1" s="3343"/>
      <c r="Z1" s="3343"/>
      <c r="AA1" s="3343"/>
      <c r="AB1" s="3343"/>
      <c r="AD1" s="3342" t="s">
        <v>1151</v>
      </c>
      <c r="AE1" s="3343"/>
      <c r="AF1" s="3343"/>
      <c r="AG1" s="3343"/>
      <c r="AH1" s="3343"/>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4">
      <c r="A3" s="2926" t="s">
        <v>3032</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3049</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6">
        <v>2019</v>
      </c>
      <c r="H5" s="1729">
        <v>3</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3033</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3048</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6">
        <v>2019</v>
      </c>
      <c r="H6" s="1461">
        <v>2</v>
      </c>
      <c r="I6" s="2950">
        <v>1.53</v>
      </c>
      <c r="J6" s="2950">
        <v>1.01</v>
      </c>
      <c r="K6" s="2950">
        <v>1.62</v>
      </c>
      <c r="L6" s="2951">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3045</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0">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3050</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345">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3039</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45"/>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3038</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45"/>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3031</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52"/>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3028</v>
      </c>
      <c r="B12" s="1468">
        <v>439</v>
      </c>
      <c r="C12" s="1468">
        <v>327</v>
      </c>
      <c r="D12" s="1468">
        <f>C12</f>
        <v>327</v>
      </c>
      <c r="E12" s="1468">
        <v>627</v>
      </c>
      <c r="F12" s="1469">
        <v>283</v>
      </c>
      <c r="G12" s="3348">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3029</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45"/>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45"/>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52"/>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48">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45"/>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45"/>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46"/>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44">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45"/>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45"/>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46"/>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44">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45"/>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45"/>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46"/>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49">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50"/>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50"/>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51"/>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44">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45"/>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45"/>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46"/>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44">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45">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45">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46">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44">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45">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45">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46">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44">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45">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45">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46">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44">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45">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45">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46">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44">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45">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45">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46">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44">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45">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45">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46">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44">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45">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45">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46">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44">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45">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45">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46">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44">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45">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45">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46">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44">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45">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45">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46">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K36" sqref="K36"/>
    </sheetView>
  </sheetViews>
  <sheetFormatPr defaultColWidth="9" defaultRowHeight="12"/>
  <cols>
    <col min="1" max="5" width="9" style="2970"/>
    <col min="6" max="6" width="12.33203125" style="2970" customWidth="1"/>
    <col min="7" max="8" width="9" style="2970"/>
    <col min="9" max="9" width="11.44140625" style="2970" customWidth="1"/>
    <col min="10" max="16384" width="9" style="2970"/>
  </cols>
  <sheetData>
    <row r="2" spans="2:12">
      <c r="B2" s="3357" t="s">
        <v>3051</v>
      </c>
      <c r="C2" s="3357" t="s">
        <v>3052</v>
      </c>
      <c r="D2" s="3357" t="s">
        <v>3053</v>
      </c>
      <c r="E2" s="3357" t="s">
        <v>3054</v>
      </c>
      <c r="F2" s="3360" t="s">
        <v>3055</v>
      </c>
      <c r="G2" s="3361"/>
      <c r="H2" s="3361"/>
      <c r="I2" s="3361"/>
      <c r="J2" s="3361"/>
      <c r="K2" s="3361"/>
      <c r="L2" s="3361"/>
    </row>
    <row r="3" spans="2:12">
      <c r="B3" s="3358"/>
      <c r="C3" s="3358"/>
      <c r="D3" s="3358"/>
      <c r="E3" s="3358"/>
      <c r="F3" s="3362" t="s">
        <v>37</v>
      </c>
      <c r="G3" s="3364"/>
      <c r="H3" s="3365"/>
      <c r="I3" s="3365"/>
      <c r="J3" s="3365"/>
      <c r="K3" s="3365"/>
      <c r="L3" s="3366"/>
    </row>
    <row r="4" spans="2:12">
      <c r="B4" s="3359"/>
      <c r="C4" s="3359"/>
      <c r="D4" s="3359"/>
      <c r="E4" s="3359"/>
      <c r="F4" s="3363"/>
      <c r="G4" s="2971" t="s">
        <v>40</v>
      </c>
      <c r="H4" s="2972" t="s">
        <v>3056</v>
      </c>
      <c r="I4" s="2972" t="s">
        <v>3057</v>
      </c>
      <c r="J4" s="2972" t="s">
        <v>1373</v>
      </c>
      <c r="K4" s="2972" t="s">
        <v>27</v>
      </c>
      <c r="L4" s="2972"/>
    </row>
    <row r="5" spans="2:12">
      <c r="B5" s="3367" t="s">
        <v>3058</v>
      </c>
      <c r="C5" s="3369" t="s">
        <v>3059</v>
      </c>
      <c r="D5" s="2970" t="s">
        <v>3060</v>
      </c>
      <c r="E5" s="2972">
        <f>ROUND(F5/F15*E15,2)</f>
        <v>2119.27</v>
      </c>
      <c r="F5" s="2973">
        <f t="shared" ref="F5:F10" si="0">G5+M5</f>
        <v>2313.3200000000002</v>
      </c>
      <c r="G5" s="2973">
        <f t="shared" ref="G5:G10" si="1">SUM(H5:L5)</f>
        <v>2313.3200000000002</v>
      </c>
      <c r="H5" s="2972"/>
      <c r="I5" s="2972">
        <v>2313.3200000000002</v>
      </c>
      <c r="J5" s="2972"/>
      <c r="K5" s="2972"/>
      <c r="L5" s="2972"/>
    </row>
    <row r="6" spans="2:12">
      <c r="B6" s="3368"/>
      <c r="C6" s="3370"/>
      <c r="D6" s="2970" t="s">
        <v>3061</v>
      </c>
      <c r="E6" s="2972">
        <f>ROUND(F6/F15*E15,2)</f>
        <v>1685.52</v>
      </c>
      <c r="F6" s="2973">
        <f t="shared" si="0"/>
        <v>1839.86</v>
      </c>
      <c r="G6" s="2973">
        <f t="shared" si="1"/>
        <v>1839.86</v>
      </c>
      <c r="H6" s="2972"/>
      <c r="I6" s="2972">
        <v>1839.86</v>
      </c>
      <c r="J6" s="2972"/>
      <c r="K6" s="2972"/>
      <c r="L6" s="2972"/>
    </row>
    <row r="7" spans="2:12">
      <c r="B7" s="3368"/>
      <c r="C7" s="3370"/>
      <c r="D7" s="2970" t="s">
        <v>3062</v>
      </c>
      <c r="E7" s="2972">
        <f>ROUND(F7/F15*E15,2)</f>
        <v>1677.46</v>
      </c>
      <c r="F7" s="2973">
        <f t="shared" si="0"/>
        <v>1831.06</v>
      </c>
      <c r="G7" s="2973">
        <f t="shared" si="1"/>
        <v>1831.06</v>
      </c>
      <c r="H7" s="2972"/>
      <c r="I7" s="2972">
        <v>1831.06</v>
      </c>
      <c r="J7" s="2972"/>
      <c r="K7" s="2972"/>
      <c r="L7" s="2972"/>
    </row>
    <row r="8" spans="2:12">
      <c r="B8" s="3368"/>
      <c r="C8" s="3370"/>
      <c r="D8" s="2970" t="s">
        <v>3063</v>
      </c>
      <c r="E8" s="2972">
        <f>ROUND(F8/F15*E15,2)</f>
        <v>2482.09</v>
      </c>
      <c r="F8" s="2973">
        <f t="shared" si="0"/>
        <v>2709.36</v>
      </c>
      <c r="G8" s="2973">
        <f t="shared" si="1"/>
        <v>2709.36</v>
      </c>
      <c r="H8" s="2972"/>
      <c r="I8" s="2972">
        <v>2709.36</v>
      </c>
      <c r="J8" s="2972"/>
      <c r="K8" s="2972"/>
      <c r="L8" s="2972"/>
    </row>
    <row r="9" spans="2:12">
      <c r="B9" s="3368"/>
      <c r="C9" s="3370"/>
      <c r="D9" s="2970" t="s">
        <v>3064</v>
      </c>
      <c r="E9" s="2972">
        <f>ROUND(F9/F15*E15,2)</f>
        <v>2686</v>
      </c>
      <c r="F9" s="2973">
        <f t="shared" si="0"/>
        <v>2931.94</v>
      </c>
      <c r="G9" s="2973">
        <f t="shared" si="1"/>
        <v>2931.94</v>
      </c>
      <c r="H9" s="2972"/>
      <c r="I9" s="2972">
        <v>2931.94</v>
      </c>
      <c r="J9" s="2972"/>
      <c r="K9" s="2972"/>
      <c r="L9" s="2972"/>
    </row>
    <row r="10" spans="2:12">
      <c r="B10" s="3368"/>
      <c r="C10" s="3370"/>
      <c r="D10" s="2970" t="s">
        <v>3071</v>
      </c>
      <c r="E10" s="2972">
        <f>ROUND(F10/F15*E15,2)</f>
        <v>877.65</v>
      </c>
      <c r="F10" s="2973">
        <f t="shared" si="0"/>
        <v>958.01</v>
      </c>
      <c r="G10" s="2973">
        <f t="shared" si="1"/>
        <v>958.01</v>
      </c>
      <c r="H10" s="2972"/>
      <c r="I10" s="2972">
        <v>958.01</v>
      </c>
      <c r="J10" s="2972"/>
      <c r="K10" s="2972"/>
      <c r="L10" s="2972"/>
    </row>
    <row r="11" spans="2:12">
      <c r="B11" s="3368"/>
      <c r="C11" s="3371" t="s">
        <v>3065</v>
      </c>
      <c r="D11" s="2974" t="s">
        <v>3066</v>
      </c>
      <c r="E11" s="2972">
        <f>ROUND(F11/F15*E15,2)</f>
        <v>18562.259999999998</v>
      </c>
      <c r="F11" s="2972">
        <v>20261.93</v>
      </c>
      <c r="G11" s="2973"/>
      <c r="H11" s="2972"/>
      <c r="I11" s="2972"/>
      <c r="J11" s="2972">
        <v>2126.83</v>
      </c>
      <c r="K11" s="2972">
        <f>F11-J11</f>
        <v>18135.099999999999</v>
      </c>
      <c r="L11" s="2972"/>
    </row>
    <row r="12" spans="2:12">
      <c r="B12" s="3368"/>
      <c r="C12" s="3372"/>
      <c r="D12" s="2974" t="s">
        <v>3067</v>
      </c>
      <c r="E12" s="2972">
        <f>ROUND(F12/F15*E15,2)</f>
        <v>9053.9500000000007</v>
      </c>
      <c r="F12" s="2972">
        <v>9882.98</v>
      </c>
      <c r="G12" s="2973"/>
      <c r="H12" s="2972"/>
      <c r="I12" s="2972"/>
      <c r="J12" s="2972">
        <v>859.65</v>
      </c>
      <c r="K12" s="2972">
        <f>F12-J12</f>
        <v>9023.33</v>
      </c>
      <c r="L12" s="2972"/>
    </row>
    <row r="13" spans="2:12">
      <c r="B13" s="3368"/>
      <c r="C13" s="3372"/>
      <c r="D13" s="2974" t="s">
        <v>3068</v>
      </c>
      <c r="E13" s="2972">
        <f>ROUND(F13/F15*E15,2)</f>
        <v>1227.98</v>
      </c>
      <c r="F13" s="2975">
        <v>1340.42</v>
      </c>
      <c r="G13" s="2973"/>
      <c r="H13" s="2972"/>
      <c r="I13" s="2972"/>
      <c r="J13" s="2972">
        <f>F13</f>
        <v>1340.42</v>
      </c>
      <c r="K13" s="2972"/>
      <c r="L13" s="2972"/>
    </row>
    <row r="14" spans="2:12">
      <c r="B14" s="3368"/>
      <c r="C14" s="3372"/>
      <c r="D14" s="2976" t="s">
        <v>3069</v>
      </c>
      <c r="E14" s="2972">
        <f>ROUND(F14/F15*E15,2)</f>
        <v>2781.02</v>
      </c>
      <c r="F14" s="2975">
        <v>3035.67</v>
      </c>
      <c r="G14" s="2973"/>
      <c r="H14" s="2972"/>
      <c r="I14" s="2972"/>
      <c r="J14" s="2972">
        <f>F14</f>
        <v>3035.67</v>
      </c>
      <c r="K14" s="2972"/>
      <c r="L14" s="2972"/>
    </row>
    <row r="15" spans="2:12">
      <c r="B15" s="2967"/>
      <c r="C15" s="2968" t="s">
        <v>3070</v>
      </c>
      <c r="D15" s="2969"/>
      <c r="E15" s="2969">
        <v>43153.2</v>
      </c>
      <c r="F15" s="2977">
        <v>47104.55</v>
      </c>
      <c r="G15" s="2977"/>
      <c r="H15" s="2978"/>
      <c r="I15" s="2978"/>
      <c r="J15" s="2978"/>
      <c r="K15" s="2978"/>
      <c r="L15" s="2978"/>
    </row>
  </sheetData>
  <mergeCells count="10">
    <mergeCell ref="B5:B14"/>
    <mergeCell ref="C5:C10"/>
    <mergeCell ref="C11:C14"/>
    <mergeCell ref="B2:B4"/>
    <mergeCell ref="C2:C4"/>
    <mergeCell ref="D2:D4"/>
    <mergeCell ref="E2:E4"/>
    <mergeCell ref="F2:L2"/>
    <mergeCell ref="F3:F4"/>
    <mergeCell ref="G3:L3"/>
  </mergeCells>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30294</v>
      </c>
      <c r="C2" s="2" t="s">
        <v>133</v>
      </c>
      <c r="D2" s="243"/>
      <c r="E2" s="243"/>
      <c r="F2" s="243"/>
      <c r="G2" s="243"/>
    </row>
    <row r="3" spans="1:7" s="244" customFormat="1" ht="18" customHeight="1" thickBot="1">
      <c r="A3" s="247" t="s">
        <v>85</v>
      </c>
      <c r="B3" s="248">
        <f ca="1">ROUND(B2*10000/'数据-汇总表'!E3,0)</f>
        <v>69226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88</v>
      </c>
      <c r="D10" s="1031">
        <f>'数据-汇总表'!E6</f>
        <v>4376.09</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88</v>
      </c>
      <c r="D19" s="1035">
        <f>'数据-汇总表'!E3</f>
        <v>4376.09</v>
      </c>
      <c r="E19" s="255">
        <f>'数据-取费表'!B31</f>
        <v>200</v>
      </c>
      <c r="F19" s="275"/>
      <c r="G19" s="1" t="s">
        <v>1071</v>
      </c>
    </row>
    <row r="20" spans="1:7" s="258" customFormat="1" ht="13.5" customHeight="1">
      <c r="A20" s="947" t="s">
        <v>1054</v>
      </c>
      <c r="B20" s="254" t="s">
        <v>104</v>
      </c>
      <c r="C20" s="276">
        <f>ROUND((C5+C19)*F20,0)</f>
        <v>414</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2033</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9</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6.4">
      <c r="A27" s="947" t="s">
        <v>787</v>
      </c>
      <c r="B27" s="288" t="s">
        <v>112</v>
      </c>
      <c r="C27" s="289">
        <f>C28</f>
        <v>3167</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3167</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28517</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0" t="s">
        <v>796</v>
      </c>
      <c r="B35" s="259" t="s">
        <v>60</v>
      </c>
      <c r="C35" s="264">
        <f>ROUND(C34*F35,0)</f>
        <v>39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88</v>
      </c>
      <c r="D37" s="261">
        <f>'数据-汇总表'!E3</f>
        <v>4376.09</v>
      </c>
      <c r="E37" s="293">
        <f>'数据-取费表'!B35</f>
        <v>200</v>
      </c>
      <c r="F37" s="303"/>
      <c r="G37" s="305" t="s">
        <v>119</v>
      </c>
    </row>
    <row r="38" spans="1:7" ht="13.5" customHeight="1">
      <c r="A38" s="950" t="s">
        <v>799</v>
      </c>
      <c r="B38" s="259" t="s">
        <v>63</v>
      </c>
      <c r="C38" s="264">
        <f>ROUND(C34*F38,0)</f>
        <v>20</v>
      </c>
      <c r="D38" s="264"/>
      <c r="E38" s="264"/>
      <c r="F38" s="303">
        <f>'数据-取费表'!B36</f>
        <v>1.4999999999999999E-2</v>
      </c>
      <c r="G38" s="263" t="s">
        <v>117</v>
      </c>
    </row>
    <row r="39" spans="1:7" s="258" customFormat="1" ht="13.5" customHeight="1">
      <c r="A39" s="947" t="s">
        <v>783</v>
      </c>
      <c r="B39" s="254" t="s">
        <v>104</v>
      </c>
      <c r="C39" s="276">
        <f>ROUND(C33*F20,0)</f>
        <v>29</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70</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69</v>
      </c>
      <c r="D42" s="282"/>
      <c r="E42" s="282"/>
      <c r="F42" s="283"/>
      <c r="G42" s="3216" t="s">
        <v>121</v>
      </c>
    </row>
    <row r="43" spans="1:7" ht="13.5" customHeight="1">
      <c r="A43" s="950" t="s">
        <v>792</v>
      </c>
      <c r="B43" s="259" t="s">
        <v>1061</v>
      </c>
      <c r="C43" s="282">
        <f ca="1">ROUND(IF('数据-取费表'!B22&lt;=1,C39*F22*'数据-取费表'!B21/2,C39*(POWER((1+F22),'数据-取费表'!B21/2)-1)),0)</f>
        <v>1</v>
      </c>
      <c r="D43" s="282"/>
      <c r="E43" s="282"/>
      <c r="F43" s="283"/>
      <c r="G43" s="3217"/>
    </row>
    <row r="44" spans="1:7" ht="13.5" customHeight="1">
      <c r="A44" s="950" t="s">
        <v>793</v>
      </c>
      <c r="B44" s="259" t="s">
        <v>1063</v>
      </c>
      <c r="C44" s="282">
        <f ca="1">ROUND(IF('数据-取费表'!B22&lt;=1,C40*F22*'数据-取费表'!B21/2,C40*(POWER((1+F22),'数据-取费表'!B21/2)-1)),4)</f>
        <v>1E-3</v>
      </c>
      <c r="D44" s="282"/>
      <c r="E44" s="282"/>
      <c r="F44" s="283"/>
      <c r="G44" s="3218"/>
    </row>
    <row r="45" spans="1:7" s="258" customFormat="1" ht="13.5" customHeight="1">
      <c r="A45" s="947" t="s">
        <v>786</v>
      </c>
      <c r="B45" s="288" t="s">
        <v>112</v>
      </c>
      <c r="C45" s="289">
        <f>C46</f>
        <v>223</v>
      </c>
      <c r="D45" s="279">
        <f>C47</f>
        <v>3.0000000000000001E-3</v>
      </c>
      <c r="E45" s="280" t="s">
        <v>129</v>
      </c>
      <c r="F45" s="290"/>
      <c r="G45" s="291" t="s">
        <v>1069</v>
      </c>
    </row>
    <row r="46" spans="1:7" s="258" customFormat="1" ht="13.5" customHeight="1">
      <c r="A46" s="950" t="s">
        <v>794</v>
      </c>
      <c r="B46" s="292" t="s">
        <v>1062</v>
      </c>
      <c r="C46" s="293">
        <f>ROUND((C33+C39)*F27,0)</f>
        <v>223</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1931</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1777</v>
      </c>
      <c r="D51" s="276"/>
      <c r="E51" s="276"/>
      <c r="F51" s="308"/>
      <c r="G51" s="278" t="s">
        <v>64</v>
      </c>
    </row>
    <row r="52" spans="1:7" s="252" customFormat="1" ht="16.8" thickBot="1">
      <c r="A52" s="309" t="s">
        <v>65</v>
      </c>
      <c r="B52" s="310"/>
      <c r="C52" s="311">
        <f ca="1">C31+C51</f>
        <v>30294</v>
      </c>
      <c r="D52" s="310"/>
      <c r="E52" s="310"/>
      <c r="F52" s="310"/>
      <c r="G52" s="312"/>
    </row>
    <row r="55" spans="1:7" ht="15">
      <c r="B55" s="314" t="s">
        <v>66</v>
      </c>
      <c r="C55" s="315"/>
    </row>
    <row r="56" spans="1:7">
      <c r="B56" s="317" t="s">
        <v>67</v>
      </c>
      <c r="C56" s="318">
        <f ca="1">ROUND(C51/C52,3)</f>
        <v>5.8999999999999997E-2</v>
      </c>
    </row>
    <row r="57" spans="1:7">
      <c r="B57" s="317" t="s">
        <v>68</v>
      </c>
      <c r="C57" s="319">
        <f ca="1">1-C56</f>
        <v>0.94100000000000006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73" t="s">
        <v>156</v>
      </c>
      <c r="B1" s="3373"/>
      <c r="C1" s="3373"/>
      <c r="D1" s="3373"/>
      <c r="E1" s="3373"/>
      <c r="F1" s="337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74" t="s">
        <v>169</v>
      </c>
      <c r="B2" s="3374"/>
      <c r="C2" s="3374"/>
      <c r="D2" s="3374"/>
      <c r="E2" s="3374"/>
      <c r="F2" s="337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73" t="s">
        <v>868</v>
      </c>
      <c r="B1" s="337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1635</v>
      </c>
      <c r="B2" s="3042" t="s">
        <v>1636</v>
      </c>
      <c r="C2" s="3042" t="s">
        <v>1637</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6">
      <c r="A3" s="3043"/>
      <c r="B3" s="3043"/>
      <c r="C3" s="3043"/>
      <c r="D3" s="1043" t="s">
        <v>1632</v>
      </c>
      <c r="E3" s="1043" t="s">
        <v>1638</v>
      </c>
      <c r="F3" s="1043" t="s">
        <v>1632</v>
      </c>
      <c r="G3" s="1043" t="s">
        <v>1633</v>
      </c>
      <c r="H3" s="1043" t="s">
        <v>1632</v>
      </c>
      <c r="I3" s="1043" t="s">
        <v>1633</v>
      </c>
    </row>
    <row r="4" spans="1:9" ht="45">
      <c r="A4" s="1971" t="str">
        <f>项目基本情况!S2</f>
        <v>北京市丰台区万兴路1号院3、4号楼商业用房房地产房地产</v>
      </c>
      <c r="B4" s="1043">
        <f>项目基本情况!C17</f>
        <v>4376.09</v>
      </c>
      <c r="C4" s="1043">
        <f>项目基本情况!C18</f>
        <v>4009</v>
      </c>
      <c r="D4" s="1043">
        <f ca="1">结果表!D118</f>
        <v>4573</v>
      </c>
      <c r="E4" s="1043">
        <f ca="1">结果表!E118</f>
        <v>34116</v>
      </c>
      <c r="F4" s="1043">
        <f ca="1">结果表!F118</f>
        <v>0</v>
      </c>
      <c r="G4" s="1043">
        <f ca="1">结果表!G118</f>
        <v>0</v>
      </c>
      <c r="H4" s="1043">
        <f ca="1">结果表!H118</f>
        <v>4573</v>
      </c>
      <c r="I4" s="1043">
        <f ca="1">结果表!I118</f>
        <v>34116</v>
      </c>
    </row>
    <row r="5" spans="1:9" ht="30" customHeight="1">
      <c r="A5" s="3043" t="s">
        <v>1634</v>
      </c>
      <c r="B5" s="3043"/>
      <c r="C5" s="3043"/>
      <c r="D5" s="3044" t="str">
        <f ca="1">结果表!D119</f>
        <v>肆仟伍佰柒拾叁万元整</v>
      </c>
      <c r="E5" s="3044"/>
      <c r="F5" s="3044" t="str">
        <f ca="1">结果表!F119</f>
        <v>零元整</v>
      </c>
      <c r="G5" s="3044"/>
      <c r="H5" s="3044" t="str">
        <f ca="1">结果表!H119</f>
        <v>肆仟伍佰柒拾叁万元整</v>
      </c>
      <c r="I5" s="3044"/>
    </row>
    <row r="6" spans="1:9" ht="15.6">
      <c r="A6" s="3045" t="str">
        <f>结果表!A120</f>
        <v>估价师知悉的法定优先受偿款</v>
      </c>
      <c r="B6" s="3045"/>
      <c r="C6" s="3045"/>
      <c r="D6" s="3045">
        <f>结果表!D120</f>
        <v>0</v>
      </c>
      <c r="E6" s="3045"/>
      <c r="F6" s="3045"/>
      <c r="G6" s="3045"/>
      <c r="H6" s="3045"/>
      <c r="I6" s="3045"/>
    </row>
    <row r="7" spans="1:9" ht="15">
      <c r="A7" s="3043" t="s">
        <v>1634</v>
      </c>
      <c r="B7" s="3043"/>
      <c r="C7" s="3043"/>
      <c r="D7" s="3046" t="str">
        <f>结果表!D121</f>
        <v>零元整</v>
      </c>
      <c r="E7" s="3047"/>
      <c r="F7" s="3047"/>
      <c r="G7" s="3047"/>
      <c r="H7" s="3047"/>
      <c r="I7" s="3048"/>
    </row>
    <row r="8" spans="1:9" ht="15.6">
      <c r="A8" s="3045" t="str">
        <f>结果表!A122</f>
        <v>房地产抵押价值</v>
      </c>
      <c r="B8" s="3045"/>
      <c r="C8" s="3045"/>
      <c r="D8" s="3045">
        <f ca="1">结果表!D122</f>
        <v>4573</v>
      </c>
      <c r="E8" s="3045"/>
      <c r="F8" s="3045"/>
      <c r="G8" s="3045"/>
      <c r="H8" s="3045"/>
      <c r="I8" s="3045"/>
    </row>
    <row r="9" spans="1:9" ht="15">
      <c r="A9" s="3043" t="s">
        <v>1634</v>
      </c>
      <c r="B9" s="3043"/>
      <c r="C9" s="3043"/>
      <c r="D9" s="3044" t="str">
        <f ca="1">结果表!D123</f>
        <v>肆仟伍佰柒拾叁万元整</v>
      </c>
      <c r="E9" s="3044"/>
      <c r="F9" s="3044"/>
      <c r="G9" s="3044"/>
      <c r="H9" s="3044"/>
      <c r="I9" s="3044"/>
    </row>
    <row r="10" spans="1:9" ht="15.6">
      <c r="A10" s="3045" t="str">
        <f>结果表!A124</f>
        <v/>
      </c>
      <c r="B10" s="3045"/>
      <c r="C10" s="3045"/>
      <c r="D10" s="3045" t="str">
        <f>结果表!D124</f>
        <v>——</v>
      </c>
      <c r="E10" s="3045"/>
      <c r="F10" s="3045"/>
      <c r="G10" s="3045"/>
      <c r="H10" s="3045"/>
      <c r="I10" s="3045"/>
    </row>
    <row r="11" spans="1:9" ht="15">
      <c r="A11" s="3043" t="s">
        <v>1634</v>
      </c>
      <c r="B11" s="3043"/>
      <c r="C11" s="3043"/>
      <c r="D11" s="3044" t="e">
        <f>结果表!D125</f>
        <v>#VALUE!</v>
      </c>
      <c r="E11" s="3044"/>
      <c r="F11" s="3044"/>
      <c r="G11" s="3044"/>
      <c r="H11" s="3044"/>
      <c r="I11" s="3044"/>
    </row>
    <row r="12" spans="1:9" ht="15.6">
      <c r="A12" s="3045" t="str">
        <f>结果表!A126</f>
        <v/>
      </c>
      <c r="B12" s="3045"/>
      <c r="C12" s="3045"/>
      <c r="D12" s="3045" t="str">
        <f>结果表!D126</f>
        <v>——</v>
      </c>
      <c r="E12" s="3045"/>
      <c r="F12" s="3045"/>
      <c r="G12" s="3045"/>
      <c r="H12" s="3045"/>
      <c r="I12" s="3045"/>
    </row>
    <row r="13" spans="1:9" ht="15.6" thickBot="1">
      <c r="A13" s="3049" t="s">
        <v>1634</v>
      </c>
      <c r="B13" s="3049"/>
      <c r="C13" s="3049"/>
      <c r="D13" s="3050" t="e">
        <f>结果表!D127</f>
        <v>#VALUE!</v>
      </c>
      <c r="E13" s="3050"/>
      <c r="F13" s="3050"/>
      <c r="G13" s="3050"/>
      <c r="H13" s="3050"/>
      <c r="I13" s="3050"/>
    </row>
    <row r="14" spans="1:9" ht="14.4" thickTop="1">
      <c r="A14" s="3051" t="s">
        <v>1639</v>
      </c>
      <c r="B14" s="3051"/>
      <c r="C14" s="3051"/>
      <c r="D14" s="3051"/>
      <c r="E14" s="3051"/>
      <c r="F14" s="3051"/>
      <c r="G14" s="3051"/>
      <c r="H14" s="3051"/>
      <c r="I14" s="3051"/>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workbookViewId="0">
      <selection activeCell="D14" sqref="D14"/>
    </sheetView>
  </sheetViews>
  <sheetFormatPr defaultColWidth="9" defaultRowHeight="14.4"/>
  <cols>
    <col min="1" max="1" width="6.6640625" style="2998" customWidth="1"/>
    <col min="2" max="2" width="13.33203125" style="2998" customWidth="1"/>
    <col min="3" max="3" width="12.77734375" style="2998" bestFit="1" customWidth="1"/>
    <col min="4" max="4" width="10.33203125" style="2998" customWidth="1"/>
    <col min="5" max="16384" width="9" style="2998"/>
  </cols>
  <sheetData>
    <row r="2" spans="1:6">
      <c r="B2" s="2999" t="s">
        <v>3168</v>
      </c>
      <c r="C2" s="2999" t="s">
        <v>3169</v>
      </c>
      <c r="D2" s="2999" t="s">
        <v>3170</v>
      </c>
      <c r="E2" s="2999" t="s">
        <v>3171</v>
      </c>
      <c r="F2" s="2999" t="s">
        <v>3173</v>
      </c>
    </row>
    <row r="3" spans="1:6">
      <c r="A3" s="2998">
        <v>1</v>
      </c>
      <c r="B3" s="3000">
        <v>43040</v>
      </c>
      <c r="C3" s="3000">
        <v>43708</v>
      </c>
      <c r="D3" s="2999">
        <f>554010*4</f>
        <v>2216040</v>
      </c>
    </row>
    <row r="4" spans="1:6">
      <c r="A4" s="2998">
        <v>2</v>
      </c>
      <c r="B4" s="3000">
        <v>43709</v>
      </c>
      <c r="C4" s="3000">
        <v>44074</v>
      </c>
      <c r="D4" s="2998">
        <f>554010*4</f>
        <v>2216040</v>
      </c>
      <c r="E4" s="2998">
        <v>0.93</v>
      </c>
      <c r="F4" s="2998">
        <f>ROUND(D4/365/$E$20,2)</f>
        <v>2</v>
      </c>
    </row>
    <row r="5" spans="1:6">
      <c r="A5" s="2998">
        <v>3</v>
      </c>
      <c r="B5" s="3000">
        <v>44075</v>
      </c>
      <c r="C5" s="3000">
        <v>44439</v>
      </c>
      <c r="D5" s="2998">
        <f>554010*4</f>
        <v>2216040</v>
      </c>
      <c r="E5" s="2998">
        <v>1</v>
      </c>
      <c r="F5" s="2998">
        <f>ROUND(D5/365/$E$20,2)</f>
        <v>2</v>
      </c>
    </row>
    <row r="6" spans="1:6">
      <c r="A6" s="2998">
        <v>4</v>
      </c>
      <c r="B6" s="3000">
        <v>44440</v>
      </c>
      <c r="C6" s="3000">
        <v>44804</v>
      </c>
      <c r="D6" s="2998">
        <f>581710*4</f>
        <v>2326840</v>
      </c>
      <c r="E6" s="2998">
        <v>1</v>
      </c>
      <c r="F6" s="2998">
        <f t="shared" ref="F6:F12" si="0">ROUND(D6/365/$E$20,2)</f>
        <v>2.1</v>
      </c>
    </row>
    <row r="7" spans="1:6">
      <c r="A7" s="2998">
        <v>5</v>
      </c>
      <c r="B7" s="3001">
        <v>44805</v>
      </c>
      <c r="C7" s="3000">
        <v>45169</v>
      </c>
      <c r="D7" s="2998">
        <f>581710*4</f>
        <v>2326840</v>
      </c>
      <c r="E7" s="2998">
        <v>1</v>
      </c>
      <c r="F7" s="2998">
        <f t="shared" si="0"/>
        <v>2.1</v>
      </c>
    </row>
    <row r="8" spans="1:6">
      <c r="A8" s="2998">
        <v>6</v>
      </c>
      <c r="B8" s="3001">
        <v>45170</v>
      </c>
      <c r="C8" s="3000">
        <v>45535</v>
      </c>
      <c r="D8" s="2998">
        <f>616613*4</f>
        <v>2466452</v>
      </c>
      <c r="E8" s="2998">
        <v>1</v>
      </c>
      <c r="F8" s="2998">
        <f t="shared" si="0"/>
        <v>2.23</v>
      </c>
    </row>
    <row r="9" spans="1:6">
      <c r="A9" s="2998">
        <v>7</v>
      </c>
      <c r="B9" s="3001">
        <v>45536</v>
      </c>
      <c r="C9" s="3000">
        <v>45900</v>
      </c>
      <c r="D9" s="2998">
        <f>616613*4</f>
        <v>2466452</v>
      </c>
      <c r="E9" s="2998">
        <v>1</v>
      </c>
      <c r="F9" s="2998">
        <f t="shared" si="0"/>
        <v>2.23</v>
      </c>
    </row>
    <row r="10" spans="1:6">
      <c r="A10" s="2998">
        <v>8</v>
      </c>
      <c r="B10" s="3001">
        <v>45901</v>
      </c>
      <c r="C10" s="3000">
        <v>46265</v>
      </c>
      <c r="D10" s="2998">
        <f>659776*4</f>
        <v>2639104</v>
      </c>
      <c r="E10" s="2998">
        <v>1</v>
      </c>
      <c r="F10" s="2998">
        <f t="shared" si="0"/>
        <v>2.38</v>
      </c>
    </row>
    <row r="11" spans="1:6">
      <c r="A11" s="2998">
        <v>9</v>
      </c>
      <c r="B11" s="3001">
        <v>46266</v>
      </c>
      <c r="C11" s="3000">
        <v>46630</v>
      </c>
      <c r="D11" s="2998">
        <f>659776*4</f>
        <v>2639104</v>
      </c>
      <c r="E11" s="2998">
        <v>1</v>
      </c>
      <c r="F11" s="2998">
        <f t="shared" si="0"/>
        <v>2.38</v>
      </c>
    </row>
    <row r="12" spans="1:6">
      <c r="A12" s="2998">
        <v>10</v>
      </c>
      <c r="B12" s="3001">
        <v>46631</v>
      </c>
      <c r="C12" s="3000">
        <v>46996</v>
      </c>
      <c r="D12" s="2998">
        <f>659776*4</f>
        <v>2639104</v>
      </c>
      <c r="E12" s="2998">
        <v>1</v>
      </c>
      <c r="F12" s="2998">
        <f t="shared" si="0"/>
        <v>2.38</v>
      </c>
    </row>
    <row r="13" spans="1:6">
      <c r="D13" s="2998">
        <f>SUM(D3:D12)</f>
        <v>24152016</v>
      </c>
      <c r="E13" s="2998">
        <f>SUM(E4:E12)</f>
        <v>8.93</v>
      </c>
      <c r="F13" s="2998">
        <f>ROUND(D13/365/$E$20/E13,2)</f>
        <v>2.44</v>
      </c>
    </row>
    <row r="14" spans="1:6">
      <c r="D14" s="2998">
        <f>SUM(D5:D12)+D4*E4</f>
        <v>21780853.199999999</v>
      </c>
      <c r="F14" s="3002">
        <f>ROUND(D14/365/$E$20/E13,2)</f>
        <v>2.2000000000000002</v>
      </c>
    </row>
    <row r="20" spans="3:5">
      <c r="D20" s="2999" t="s">
        <v>3172</v>
      </c>
      <c r="E20" s="2998">
        <v>3035.67</v>
      </c>
    </row>
    <row r="26" spans="3:5">
      <c r="C26" s="2999"/>
    </row>
  </sheetData>
  <phoneticPr fontId="1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E34" sqref="E34"/>
    </sheetView>
  </sheetViews>
  <sheetFormatPr defaultRowHeight="14.4"/>
  <sheetData/>
  <phoneticPr fontId="14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2"/>
  <sheetViews>
    <sheetView topLeftCell="A7" workbookViewId="0">
      <selection activeCell="G21" sqref="G21"/>
    </sheetView>
  </sheetViews>
  <sheetFormatPr defaultColWidth="9" defaultRowHeight="12"/>
  <cols>
    <col min="1" max="1" width="9" style="3004" customWidth="1"/>
    <col min="2" max="2" width="6.6640625" style="3004" customWidth="1"/>
    <col min="3" max="3" width="24.33203125" style="3004" customWidth="1"/>
    <col min="4" max="16384" width="9" style="3004"/>
  </cols>
  <sheetData>
    <row r="6" spans="2:7">
      <c r="B6" s="3005" t="s">
        <v>3182</v>
      </c>
      <c r="C6" s="3005" t="s">
        <v>3183</v>
      </c>
      <c r="D6" s="3005" t="s">
        <v>3192</v>
      </c>
      <c r="E6" s="3005" t="s">
        <v>3193</v>
      </c>
      <c r="F6" s="3005" t="s">
        <v>3196</v>
      </c>
      <c r="G6" s="3005" t="s">
        <v>3198</v>
      </c>
    </row>
    <row r="7" spans="2:7">
      <c r="B7" s="3005">
        <v>1</v>
      </c>
      <c r="C7" s="3005" t="s">
        <v>3184</v>
      </c>
      <c r="D7" s="3005">
        <v>1340.42</v>
      </c>
      <c r="E7" s="3005">
        <v>2</v>
      </c>
      <c r="F7" s="3005" t="s">
        <v>3197</v>
      </c>
      <c r="G7" s="3005" t="s">
        <v>3199</v>
      </c>
    </row>
    <row r="8" spans="2:7">
      <c r="B8" s="3005">
        <v>2</v>
      </c>
      <c r="C8" s="3005" t="s">
        <v>3185</v>
      </c>
      <c r="D8" s="3005">
        <v>1403.15</v>
      </c>
      <c r="E8" s="3005" t="s">
        <v>3195</v>
      </c>
      <c r="F8" s="3005" t="s">
        <v>3197</v>
      </c>
      <c r="G8" s="3005" t="s">
        <v>3197</v>
      </c>
    </row>
    <row r="9" spans="2:7">
      <c r="B9" s="3005">
        <v>3</v>
      </c>
      <c r="C9" s="3005" t="s">
        <v>3186</v>
      </c>
      <c r="D9" s="3005">
        <v>99.05</v>
      </c>
      <c r="E9" s="3005" t="s">
        <v>3195</v>
      </c>
      <c r="F9" s="3005" t="s">
        <v>3197</v>
      </c>
      <c r="G9" s="3005" t="s">
        <v>3197</v>
      </c>
    </row>
    <row r="10" spans="2:7">
      <c r="B10" s="3005">
        <v>4</v>
      </c>
      <c r="C10" s="3005" t="s">
        <v>3187</v>
      </c>
      <c r="D10" s="3005">
        <v>59.69</v>
      </c>
      <c r="E10" s="3005" t="s">
        <v>3195</v>
      </c>
      <c r="F10" s="3005" t="s">
        <v>3197</v>
      </c>
      <c r="G10" s="3005" t="s">
        <v>3197</v>
      </c>
    </row>
    <row r="11" spans="2:7">
      <c r="B11" s="3005">
        <v>5</v>
      </c>
      <c r="C11" s="3005" t="s">
        <v>3188</v>
      </c>
      <c r="D11" s="3005">
        <v>59.69</v>
      </c>
      <c r="E11" s="3005" t="s">
        <v>3195</v>
      </c>
      <c r="F11" s="3005" t="s">
        <v>3197</v>
      </c>
      <c r="G11" s="3005" t="s">
        <v>3197</v>
      </c>
    </row>
    <row r="12" spans="2:7">
      <c r="B12" s="3005">
        <v>6</v>
      </c>
      <c r="C12" s="3005" t="s">
        <v>3189</v>
      </c>
      <c r="D12" s="3005">
        <v>59.69</v>
      </c>
      <c r="E12" s="3005" t="s">
        <v>3195</v>
      </c>
      <c r="F12" s="3005" t="s">
        <v>3197</v>
      </c>
      <c r="G12" s="3005" t="s">
        <v>3197</v>
      </c>
    </row>
    <row r="13" spans="2:7">
      <c r="B13" s="3005">
        <v>7</v>
      </c>
      <c r="C13" s="3005" t="s">
        <v>3190</v>
      </c>
      <c r="D13" s="3005">
        <v>40.659999999999997</v>
      </c>
      <c r="E13" s="3005" t="s">
        <v>3195</v>
      </c>
      <c r="F13" s="3005" t="s">
        <v>3197</v>
      </c>
      <c r="G13" s="3005" t="s">
        <v>3197</v>
      </c>
    </row>
    <row r="14" spans="2:7">
      <c r="B14" s="3005">
        <v>8</v>
      </c>
      <c r="C14" s="3005" t="s">
        <v>3191</v>
      </c>
      <c r="D14" s="3005">
        <v>1313.74</v>
      </c>
      <c r="E14" s="3005" t="s">
        <v>3195</v>
      </c>
      <c r="F14" s="3005" t="s">
        <v>3197</v>
      </c>
      <c r="G14" s="3005" t="s">
        <v>3197</v>
      </c>
    </row>
    <row r="15" spans="2:7">
      <c r="B15" s="3377" t="s">
        <v>3181</v>
      </c>
      <c r="C15" s="3377"/>
      <c r="D15" s="3005">
        <f>SUM(D7:D14)</f>
        <v>4376.09</v>
      </c>
      <c r="E15" s="3005" t="s">
        <v>3194</v>
      </c>
      <c r="F15" s="3005" t="s">
        <v>3194</v>
      </c>
      <c r="G15" s="3005" t="s">
        <v>3194</v>
      </c>
    </row>
    <row r="19" spans="2:7">
      <c r="B19" s="3005" t="s">
        <v>3182</v>
      </c>
      <c r="C19" s="3005" t="s">
        <v>3183</v>
      </c>
      <c r="D19" s="3005" t="s">
        <v>3192</v>
      </c>
      <c r="E19" s="3005" t="s">
        <v>3193</v>
      </c>
      <c r="F19" s="3005" t="s">
        <v>3196</v>
      </c>
      <c r="G19" s="3005" t="s">
        <v>3198</v>
      </c>
    </row>
    <row r="20" spans="2:7">
      <c r="B20" s="3005">
        <v>1</v>
      </c>
      <c r="C20" s="3005" t="s">
        <v>3200</v>
      </c>
      <c r="D20" s="3005">
        <v>191.05</v>
      </c>
      <c r="E20" s="3005" t="s">
        <v>3202</v>
      </c>
      <c r="F20" s="3005" t="s">
        <v>3203</v>
      </c>
      <c r="G20" s="3005" t="s">
        <v>3199</v>
      </c>
    </row>
    <row r="21" spans="2:7">
      <c r="B21" s="3005">
        <v>2</v>
      </c>
      <c r="C21" s="3005" t="s">
        <v>3201</v>
      </c>
      <c r="D21" s="3005">
        <v>188.53</v>
      </c>
      <c r="E21" s="3005" t="s">
        <v>3202</v>
      </c>
      <c r="F21" s="3005" t="s">
        <v>3203</v>
      </c>
      <c r="G21" s="3005" t="s">
        <v>3199</v>
      </c>
    </row>
    <row r="22" spans="2:7">
      <c r="B22" s="3377" t="s">
        <v>3181</v>
      </c>
      <c r="C22" s="3377"/>
      <c r="D22" s="3005">
        <f>SUM(D20:D21)</f>
        <v>379.58000000000004</v>
      </c>
      <c r="E22" s="3005" t="s">
        <v>3194</v>
      </c>
      <c r="F22" s="3005" t="s">
        <v>3194</v>
      </c>
      <c r="G22" s="3005" t="s">
        <v>3194</v>
      </c>
    </row>
  </sheetData>
  <mergeCells count="2">
    <mergeCell ref="B15:C15"/>
    <mergeCell ref="B22:C22"/>
  </mergeCells>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52" t="s">
        <v>1656</v>
      </c>
      <c r="B1" s="3052"/>
      <c r="C1" s="3052"/>
      <c r="D1" s="3052"/>
    </row>
    <row r="2" spans="1:4" ht="17.399999999999999">
      <c r="A2" s="3053" t="s">
        <v>1640</v>
      </c>
      <c r="B2" s="3053"/>
      <c r="C2" s="3053"/>
      <c r="D2" s="3053"/>
    </row>
    <row r="3" spans="1:4" ht="17.399999999999999">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郑燚</v>
      </c>
      <c r="B5" s="1977">
        <f ca="1">项目基本情况!E4</f>
        <v>1120070131</v>
      </c>
      <c r="C5" s="1980"/>
      <c r="D5" s="1979" t="s">
        <v>1645</v>
      </c>
    </row>
    <row r="6" spans="1:4" ht="17.399999999999999">
      <c r="A6" s="3053" t="s">
        <v>1646</v>
      </c>
      <c r="B6" s="3053"/>
      <c r="C6" s="3053"/>
      <c r="D6" s="3053"/>
    </row>
    <row r="7" spans="1:4" ht="17.399999999999999">
      <c r="A7" s="1975" t="s">
        <v>1641</v>
      </c>
      <c r="B7" s="1977" t="s">
        <v>1647</v>
      </c>
      <c r="C7" s="1975" t="s">
        <v>1643</v>
      </c>
      <c r="D7" s="1975" t="s">
        <v>1644</v>
      </c>
    </row>
    <row r="8" spans="1:4" ht="56.25" customHeight="1">
      <c r="A8" s="1981" t="s">
        <v>866</v>
      </c>
      <c r="B8" s="1981" t="s">
        <v>1</v>
      </c>
      <c r="C8" s="1978"/>
      <c r="D8" s="1979" t="s">
        <v>1645</v>
      </c>
    </row>
    <row r="9" spans="1:4">
      <c r="A9" s="727"/>
      <c r="B9" s="727"/>
      <c r="C9" s="727"/>
      <c r="D9" s="727"/>
    </row>
    <row r="10" spans="1:4" ht="17.399999999999999">
      <c r="A10" s="1982" t="s">
        <v>1648</v>
      </c>
      <c r="B10" s="727"/>
      <c r="C10" s="727"/>
      <c r="D10" s="727"/>
    </row>
    <row r="11" spans="1:4" ht="30" customHeight="1">
      <c r="A11" s="3054" t="s">
        <v>1649</v>
      </c>
      <c r="B11" s="3055"/>
      <c r="C11" s="3055"/>
      <c r="D11" s="3055"/>
    </row>
    <row r="12" spans="1:4" ht="15.6">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5" t="str">
        <f>IF(项目基本情况!B8="抵押","4.本次评估估价师所知悉的法定优先受偿款情况说明如下：","——")</f>
        <v>4.本次评估估价师所知悉的法定优先受偿款情况说明如下：</v>
      </c>
      <c r="B14" s="3056"/>
      <c r="C14" s="3056"/>
      <c r="D14" s="3056"/>
    </row>
    <row r="15" spans="1:4" ht="42" customHeight="1">
      <c r="A15" s="30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8" t="s">
        <v>1650</v>
      </c>
      <c r="B16" s="3058"/>
      <c r="C16" s="3058"/>
      <c r="D16" s="3058"/>
    </row>
    <row r="17" spans="1:4" ht="144" customHeight="1">
      <c r="A17" s="3058" t="s">
        <v>1651</v>
      </c>
      <c r="B17" s="3058"/>
      <c r="C17" s="3058"/>
      <c r="D17" s="3058"/>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9"/>
      <c r="C21" s="3059"/>
      <c r="D21" s="3059"/>
    </row>
    <row r="22" spans="1:4" ht="18.75" customHeight="1">
      <c r="A22" s="3060" t="s">
        <v>1652</v>
      </c>
      <c r="B22" s="3060"/>
      <c r="C22" s="3060"/>
      <c r="D22" s="3060"/>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57">
        <v>42551</v>
      </c>
      <c r="D31" s="30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66" t="s">
        <v>1663</v>
      </c>
      <c r="B15" s="3061" t="s">
        <v>136</v>
      </c>
      <c r="C15" s="3062"/>
    </row>
    <row r="16" spans="1:7" ht="14.4">
      <c r="A16" s="3067"/>
      <c r="B16" s="3061" t="s">
        <v>69</v>
      </c>
      <c r="C16" s="3062"/>
    </row>
    <row r="17" spans="1:3" ht="14.4">
      <c r="A17" s="3067"/>
      <c r="B17" s="3064" t="s">
        <v>1664</v>
      </c>
      <c r="C17" s="1998" t="s">
        <v>1663</v>
      </c>
    </row>
    <row r="18" spans="1:3" ht="14.4">
      <c r="A18" s="3067"/>
      <c r="B18" s="3064"/>
      <c r="C18" s="1998" t="s">
        <v>1665</v>
      </c>
    </row>
    <row r="19" spans="1:3" ht="14.4">
      <c r="A19" s="3067"/>
      <c r="B19" s="3064"/>
      <c r="C19" s="1998" t="s">
        <v>1666</v>
      </c>
    </row>
    <row r="20" spans="1:3" ht="14.4">
      <c r="A20" s="3068"/>
      <c r="B20" s="3063" t="s">
        <v>1667</v>
      </c>
      <c r="C20" s="3062"/>
    </row>
    <row r="21" spans="1:3" ht="14.4">
      <c r="A21" s="1999" t="s">
        <v>1668</v>
      </c>
      <c r="B21" s="2000"/>
      <c r="C21" s="2001"/>
    </row>
    <row r="22" spans="1:3" ht="14.4">
      <c r="A22" s="3065" t="s">
        <v>1669</v>
      </c>
      <c r="B22" s="3063" t="s">
        <v>1670</v>
      </c>
      <c r="C22" s="3062"/>
    </row>
    <row r="23" spans="1:3" ht="14.4">
      <c r="A23" s="3065"/>
      <c r="B23" s="3063" t="s">
        <v>1671</v>
      </c>
      <c r="C23" s="3062"/>
    </row>
    <row r="24" spans="1:3" ht="14.4">
      <c r="A24" s="3065"/>
      <c r="B24" s="3063" t="s">
        <v>1672</v>
      </c>
      <c r="C24" s="3062"/>
    </row>
    <row r="25" spans="1:3" ht="14.4">
      <c r="A25" s="3065"/>
      <c r="B25" s="3064" t="s">
        <v>1673</v>
      </c>
      <c r="C25" s="1998" t="s">
        <v>1674</v>
      </c>
    </row>
    <row r="26" spans="1:3" ht="14.4">
      <c r="A26" s="3065"/>
      <c r="B26" s="3064"/>
      <c r="C26" s="1998" t="s">
        <v>1675</v>
      </c>
    </row>
    <row r="27" spans="1:3" ht="14.4">
      <c r="A27" s="3065"/>
      <c r="B27" s="3064"/>
      <c r="C27" s="1998" t="s">
        <v>1676</v>
      </c>
    </row>
    <row r="28" spans="1:3" ht="14.4">
      <c r="A28" s="3065"/>
      <c r="B28" s="3064"/>
      <c r="C28" s="1998" t="s">
        <v>1677</v>
      </c>
    </row>
    <row r="29" spans="1:3" ht="14.4">
      <c r="A29" s="3065"/>
      <c r="B29" s="3064"/>
      <c r="C29" s="1998" t="s">
        <v>1678</v>
      </c>
    </row>
    <row r="30" spans="1:3" ht="14.4">
      <c r="A30" s="3065"/>
      <c r="B30" s="3064"/>
      <c r="C30" s="1998" t="s">
        <v>1679</v>
      </c>
    </row>
    <row r="31" spans="1:3" ht="14.4">
      <c r="A31" s="3065"/>
      <c r="B31" s="3064"/>
      <c r="C31" s="1998" t="s">
        <v>1680</v>
      </c>
    </row>
    <row r="32" spans="1:3" ht="14.4">
      <c r="A32" s="3065"/>
      <c r="B32" s="3064"/>
      <c r="C32" s="1998" t="s">
        <v>1681</v>
      </c>
    </row>
    <row r="33" spans="1:3" ht="14.4">
      <c r="A33" s="3065"/>
      <c r="B33" s="3064"/>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43747</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3040</v>
      </c>
      <c r="B14" s="1021">
        <f ca="1">IF(C14&lt;B2,"已过期",1120040230)</f>
        <v>1120040230</v>
      </c>
      <c r="C14" s="2344">
        <v>43835</v>
      </c>
      <c r="D14" s="2347" t="s">
        <v>3040</v>
      </c>
      <c r="E14" s="1021">
        <f ca="1">IF(F14&lt;B2,"已过期",98030020)</f>
        <v>98030020</v>
      </c>
      <c r="F14" s="1029">
        <v>47118</v>
      </c>
    </row>
    <row r="15" spans="1:6" ht="24" customHeight="1">
      <c r="A15" s="1702" t="s">
        <v>3041</v>
      </c>
      <c r="B15" s="1021">
        <f ca="1">IF(C15&lt;B2,"已过期",1120070085)</f>
        <v>1120070085</v>
      </c>
      <c r="C15" s="2344">
        <v>43814</v>
      </c>
      <c r="D15" s="2348" t="s">
        <v>3041</v>
      </c>
      <c r="E15" s="1021">
        <f ca="1">IF(F15&lt;B2,"已过期",2004110128)</f>
        <v>2004110128</v>
      </c>
      <c r="F15" s="1022">
        <v>47118</v>
      </c>
    </row>
    <row r="16" spans="1:6" ht="24" customHeight="1">
      <c r="A16" s="1701" t="s">
        <v>3042</v>
      </c>
      <c r="B16" s="1021">
        <f ca="1">IF(C16&lt;B2,"已过期",1120140022)</f>
        <v>1120140022</v>
      </c>
      <c r="C16" s="2927">
        <v>44029</v>
      </c>
      <c r="D16" s="2347" t="s">
        <v>3042</v>
      </c>
      <c r="E16" s="1021">
        <f ca="1">IF(F16&lt;B2,"已过期",2008110059)</f>
        <v>2008110059</v>
      </c>
      <c r="F16" s="1029">
        <v>47177</v>
      </c>
    </row>
    <row r="17" spans="1:7" ht="24" customHeight="1">
      <c r="A17" s="1701"/>
      <c r="B17" s="1021"/>
      <c r="C17" s="2344"/>
      <c r="D17" s="2347" t="s">
        <v>3043</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69" t="s">
        <v>843</v>
      </c>
      <c r="B25" s="3069"/>
      <c r="C25" s="3069"/>
      <c r="D25" s="3069"/>
      <c r="E25" s="3069"/>
      <c r="F25" s="3069"/>
      <c r="G25" s="3069"/>
    </row>
    <row r="26" spans="1:7" s="1024" customFormat="1" ht="24" customHeight="1">
      <c r="A26" s="3070" t="s">
        <v>844</v>
      </c>
      <c r="B26" s="3070"/>
      <c r="C26" s="3071"/>
      <c r="D26" s="3072" t="s">
        <v>845</v>
      </c>
      <c r="E26" s="3070"/>
      <c r="F26" s="3070"/>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48" priority="88">
      <formula>AND($C28-TODAY()&lt;30,TODAY()&lt;$C28)</formula>
    </cfRule>
  </conditionalFormatting>
  <conditionalFormatting sqref="C28 F4">
    <cfRule type="cellIs" dxfId="247" priority="90" stopIfTrue="1" operator="lessThan">
      <formula>$B$2</formula>
    </cfRule>
  </conditionalFormatting>
  <conditionalFormatting sqref="C5">
    <cfRule type="expression" dxfId="246" priority="85">
      <formula>AND($C5-TODAY()&lt;30,TODAY()&lt;$C5)</formula>
    </cfRule>
  </conditionalFormatting>
  <conditionalFormatting sqref="C5 F5">
    <cfRule type="cellIs" dxfId="245" priority="86" stopIfTrue="1" operator="lessThan">
      <formula>$B$2</formula>
    </cfRule>
  </conditionalFormatting>
  <conditionalFormatting sqref="F6 F8 F10">
    <cfRule type="cellIs" dxfId="244" priority="84" stopIfTrue="1" operator="lessThan">
      <formula>$B$2</formula>
    </cfRule>
  </conditionalFormatting>
  <conditionalFormatting sqref="C4:C11 C13 C23 C17:C21">
    <cfRule type="expression" dxfId="243" priority="82">
      <formula>AND($C4-TODAY()&lt;30,TODAY()&lt;$C4)</formula>
    </cfRule>
  </conditionalFormatting>
  <conditionalFormatting sqref="F7 F9 F11 C4:C11 C13 C23 C17:C21">
    <cfRule type="cellIs" dxfId="242" priority="83" stopIfTrue="1" operator="lessThan">
      <formula>$B$2</formula>
    </cfRule>
  </conditionalFormatting>
  <conditionalFormatting sqref="C18">
    <cfRule type="expression" dxfId="241" priority="72">
      <formula>AND($C18-TODAY()&lt;30,TODAY()&lt;$C18)</formula>
    </cfRule>
  </conditionalFormatting>
  <conditionalFormatting sqref="C18">
    <cfRule type="cellIs" dxfId="240" priority="73" stopIfTrue="1" operator="lessThan">
      <formula>$B$2</formula>
    </cfRule>
  </conditionalFormatting>
  <conditionalFormatting sqref="C20">
    <cfRule type="expression" dxfId="239" priority="70">
      <formula>AND($C20-TODAY()&lt;30,TODAY()&lt;$C20)</formula>
    </cfRule>
  </conditionalFormatting>
  <conditionalFormatting sqref="C20">
    <cfRule type="cellIs" dxfId="238" priority="71" stopIfTrue="1" operator="lessThan">
      <formula>$B$2</formula>
    </cfRule>
  </conditionalFormatting>
  <conditionalFormatting sqref="C17">
    <cfRule type="expression" dxfId="237" priority="64">
      <formula>AND($C17-TODAY()&lt;30,TODAY()&lt;$C17)</formula>
    </cfRule>
  </conditionalFormatting>
  <conditionalFormatting sqref="C17">
    <cfRule type="cellIs" dxfId="236" priority="65" stopIfTrue="1" operator="lessThan">
      <formula>$B$2</formula>
    </cfRule>
  </conditionalFormatting>
  <conditionalFormatting sqref="C19">
    <cfRule type="expression" dxfId="235" priority="62">
      <formula>AND($C19-TODAY()&lt;30,TODAY()&lt;$C19)</formula>
    </cfRule>
  </conditionalFormatting>
  <conditionalFormatting sqref="C19">
    <cfRule type="cellIs" dxfId="234" priority="63" stopIfTrue="1" operator="lessThan">
      <formula>$B$2</formula>
    </cfRule>
  </conditionalFormatting>
  <conditionalFormatting sqref="C21">
    <cfRule type="expression" dxfId="233" priority="60">
      <formula>AND($C21-TODAY()&lt;30,TODAY()&lt;$C21)</formula>
    </cfRule>
  </conditionalFormatting>
  <conditionalFormatting sqref="C21">
    <cfRule type="cellIs" dxfId="232" priority="61" stopIfTrue="1" operator="lessThan">
      <formula>$B$2</formula>
    </cfRule>
  </conditionalFormatting>
  <conditionalFormatting sqref="C23">
    <cfRule type="expression" dxfId="231" priority="58">
      <formula>AND($C23-TODAY()&lt;30,TODAY()&lt;$C23)</formula>
    </cfRule>
  </conditionalFormatting>
  <conditionalFormatting sqref="C23">
    <cfRule type="cellIs" dxfId="230" priority="59" stopIfTrue="1" operator="lessThan">
      <formula>$B$2</formula>
    </cfRule>
  </conditionalFormatting>
  <conditionalFormatting sqref="F18">
    <cfRule type="cellIs" dxfId="229" priority="55" stopIfTrue="1" operator="lessThan">
      <formula>$B$2</formula>
    </cfRule>
  </conditionalFormatting>
  <conditionalFormatting sqref="F22">
    <cfRule type="cellIs" dxfId="228" priority="54" stopIfTrue="1" operator="lessThan">
      <formula>$B$2</formula>
    </cfRule>
  </conditionalFormatting>
  <conditionalFormatting sqref="F21">
    <cfRule type="cellIs" dxfId="227" priority="53" stopIfTrue="1" operator="lessThan">
      <formula>$B$2</formula>
    </cfRule>
  </conditionalFormatting>
  <conditionalFormatting sqref="B4:B11 E4:E11 B17:B23 E18:E23 B13 E13">
    <cfRule type="cellIs" dxfId="226" priority="51" stopIfTrue="1" operator="equal">
      <formula>"已过期"</formula>
    </cfRule>
  </conditionalFormatting>
  <conditionalFormatting sqref="A24:F24">
    <cfRule type="cellIs" dxfId="225" priority="47" stopIfTrue="1" operator="equal">
      <formula>"已过期"</formula>
    </cfRule>
  </conditionalFormatting>
  <conditionalFormatting sqref="F28">
    <cfRule type="expression" dxfId="224" priority="45">
      <formula>AND($E28-TODAY()&lt;30,TODAY()&lt;$E28)</formula>
    </cfRule>
  </conditionalFormatting>
  <conditionalFormatting sqref="F28">
    <cfRule type="cellIs" dxfId="223" priority="46" stopIfTrue="1" operator="lessThan">
      <formula>$B$2</formula>
    </cfRule>
  </conditionalFormatting>
  <conditionalFormatting sqref="F29">
    <cfRule type="expression" dxfId="222" priority="41" stopIfTrue="1">
      <formula>AND($E29-TODAY()&lt;30,TODAY()&lt;$E29)</formula>
    </cfRule>
  </conditionalFormatting>
  <conditionalFormatting sqref="F29">
    <cfRule type="cellIs" dxfId="221" priority="42" stopIfTrue="1" operator="lessThan">
      <formula>$B$2</formula>
    </cfRule>
  </conditionalFormatting>
  <conditionalFormatting sqref="F13">
    <cfRule type="cellIs" dxfId="220" priority="34" stopIfTrue="1" operator="lessThan">
      <formula>$B$2</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12">
    <cfRule type="expression" dxfId="217" priority="30">
      <formula>AND($C12-TODAY()&lt;30,TODAY()&lt;$C12)</formula>
    </cfRule>
  </conditionalFormatting>
  <conditionalFormatting sqref="C12">
    <cfRule type="cellIs" dxfId="216" priority="31" stopIfTrue="1" operator="lessThan">
      <formula>$B$2</formula>
    </cfRule>
  </conditionalFormatting>
  <conditionalFormatting sqref="B12">
    <cfRule type="cellIs" dxfId="215" priority="29" stopIfTrue="1" operator="equal">
      <formula>"已过期"</formula>
    </cfRule>
  </conditionalFormatting>
  <conditionalFormatting sqref="E12">
    <cfRule type="cellIs" dxfId="214" priority="28" stopIfTrue="1" operator="equal">
      <formula>"已过期"</formula>
    </cfRule>
  </conditionalFormatting>
  <conditionalFormatting sqref="F12">
    <cfRule type="cellIs" dxfId="213" priority="27" stopIfTrue="1" operator="lessThan">
      <formula>$B$2</formula>
    </cfRule>
  </conditionalFormatting>
  <conditionalFormatting sqref="C22">
    <cfRule type="expression" dxfId="212" priority="25">
      <formula>AND($C22-TODAY()&lt;30,TODAY()&lt;$C22)</formula>
    </cfRule>
  </conditionalFormatting>
  <conditionalFormatting sqref="C22">
    <cfRule type="cellIs" dxfId="211" priority="26" stopIfTrue="1" operator="lessThan">
      <formula>$B$2</formula>
    </cfRule>
  </conditionalFormatting>
  <conditionalFormatting sqref="C22">
    <cfRule type="expression" dxfId="210" priority="23">
      <formula>AND($C22-TODAY()&lt;30,TODAY()&lt;$C22)</formula>
    </cfRule>
  </conditionalFormatting>
  <conditionalFormatting sqref="C22">
    <cfRule type="cellIs" dxfId="209" priority="24" stopIfTrue="1" operator="lessThan">
      <formula>$B$2</formula>
    </cfRule>
  </conditionalFormatting>
  <conditionalFormatting sqref="C16">
    <cfRule type="expression" dxfId="208" priority="21">
      <formula>AND($C16-TODAY()&lt;30,TODAY()&lt;$C16)</formula>
    </cfRule>
  </conditionalFormatting>
  <conditionalFormatting sqref="C16">
    <cfRule type="cellIs" dxfId="207" priority="22" stopIfTrue="1" operator="lessThan">
      <formula>$B$2</formula>
    </cfRule>
  </conditionalFormatting>
  <conditionalFormatting sqref="C16">
    <cfRule type="expression" dxfId="206" priority="19">
      <formula>AND($C16-TODAY()&lt;30,TODAY()&lt;$C16)</formula>
    </cfRule>
  </conditionalFormatting>
  <conditionalFormatting sqref="C16">
    <cfRule type="cellIs" dxfId="205" priority="20" stopIfTrue="1" operator="lessThan">
      <formula>$B$2</formula>
    </cfRule>
  </conditionalFormatting>
  <conditionalFormatting sqref="B16">
    <cfRule type="cellIs" dxfId="204" priority="18" stopIfTrue="1" operator="equal">
      <formula>"已过期"</formula>
    </cfRule>
  </conditionalFormatting>
  <conditionalFormatting sqref="C14:C15">
    <cfRule type="expression" dxfId="203" priority="16">
      <formula>AND($C14-TODAY()&lt;30,TODAY()&lt;$C14)</formula>
    </cfRule>
  </conditionalFormatting>
  <conditionalFormatting sqref="C14:C15">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C15">
    <cfRule type="expression" dxfId="199" priority="12">
      <formula>AND($C15-TODAY()&lt;30,TODAY()&lt;$C15)</formula>
    </cfRule>
  </conditionalFormatting>
  <conditionalFormatting sqref="C15">
    <cfRule type="cellIs" dxfId="198" priority="13" stopIfTrue="1" operator="lessThan">
      <formula>$B$2</formula>
    </cfRule>
  </conditionalFormatting>
  <conditionalFormatting sqref="B14">
    <cfRule type="cellIs" dxfId="197" priority="11" stopIfTrue="1" operator="equal">
      <formula>"已过期"</formula>
    </cfRule>
  </conditionalFormatting>
  <conditionalFormatting sqref="B15">
    <cfRule type="cellIs" dxfId="196" priority="10" stopIfTrue="1" operator="equal">
      <formula>"已过期"</formula>
    </cfRule>
  </conditionalFormatting>
  <conditionalFormatting sqref="A15">
    <cfRule type="cellIs" dxfId="195" priority="9" stopIfTrue="1" operator="equal">
      <formula>"已过期"</formula>
    </cfRule>
  </conditionalFormatting>
  <conditionalFormatting sqref="C15">
    <cfRule type="expression" dxfId="194" priority="8">
      <formula>AND($C15-TODAY()&lt;30,TODAY()&lt;$C15)</formula>
    </cfRule>
  </conditionalFormatting>
  <conditionalFormatting sqref="F16">
    <cfRule type="cellIs" dxfId="193" priority="7" stopIfTrue="1" operator="lessThan">
      <formula>$B$2</formula>
    </cfRule>
  </conditionalFormatting>
  <conditionalFormatting sqref="E16 E14">
    <cfRule type="cellIs" dxfId="192" priority="6" stopIfTrue="1" operator="equal">
      <formula>"已过期"</formula>
    </cfRule>
  </conditionalFormatting>
  <conditionalFormatting sqref="E15">
    <cfRule type="cellIs" dxfId="191" priority="5" stopIfTrue="1" operator="equal">
      <formula>"已过期"</formula>
    </cfRule>
  </conditionalFormatting>
  <conditionalFormatting sqref="D15">
    <cfRule type="cellIs" dxfId="190" priority="4" stopIfTrue="1" operator="equal">
      <formula>"已过期"</formula>
    </cfRule>
  </conditionalFormatting>
  <conditionalFormatting sqref="F17">
    <cfRule type="cellIs" dxfId="189" priority="3" stopIfTrue="1" operator="lessThan">
      <formula>$B$2</formula>
    </cfRule>
  </conditionalFormatting>
  <conditionalFormatting sqref="E17">
    <cfRule type="cellIs" dxfId="188" priority="2" stopIfTrue="1" operator="equal">
      <formula>"已过期"</formula>
    </cfRule>
  </conditionalFormatting>
  <conditionalFormatting sqref="F14">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(3号楼)</vt:lpstr>
      <vt:lpstr>成本法</vt:lpstr>
      <vt:lpstr>成本法 (元)</vt:lpstr>
      <vt:lpstr>假设开发法</vt:lpstr>
      <vt:lpstr>结果表 (2)</vt:lpstr>
      <vt:lpstr>比较法-商业</vt:lpstr>
      <vt:lpstr>收益法（3号楼）</vt:lpstr>
      <vt:lpstr>收益法 (元)</vt:lpstr>
      <vt:lpstr>酒店收入计算</vt:lpstr>
      <vt:lpstr>比较法-住宅</vt:lpstr>
      <vt:lpstr>比较法-商业 (2)</vt:lpstr>
      <vt:lpstr>典型户型修正</vt:lpstr>
      <vt:lpstr>收益法 (4号楼)</vt:lpstr>
      <vt:lpstr>收益法（汇总）</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面积</vt:lpstr>
      <vt:lpstr>成本法（废）</vt:lpstr>
      <vt:lpstr>区片价</vt:lpstr>
      <vt:lpstr>因素修正幅度</vt:lpstr>
      <vt:lpstr>存贷款利率</vt:lpstr>
      <vt:lpstr>区片价（范围）</vt:lpstr>
      <vt:lpstr>租约</vt:lpstr>
      <vt:lpstr>Sheet2</vt:lpstr>
      <vt:lpstr>清单</vt:lpstr>
      <vt:lpstr>估价师及机构信息!Print_Area</vt:lpstr>
      <vt:lpstr>'收益法 (4号楼)'!Print_Area</vt:lpstr>
      <vt:lpstr>'收益法 (元)'!Print_Area</vt:lpstr>
      <vt:lpstr>'收益法（3号楼）'!Print_Area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2019-10-09T07:00:27Z</dcterms:modified>
</cp:coreProperties>
</file>