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19095" windowHeight="4245"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C33" i="21"/>
  <c r="C9" i="21"/>
  <c r="M48" i="15" l="1"/>
  <c r="B2" i="1"/>
  <c r="B23" i="1"/>
  <c r="B13" i="1" s="1"/>
  <c r="J50" i="15"/>
  <c r="J51" i="15"/>
  <c r="J52" i="15" s="1"/>
  <c r="B25" i="1"/>
  <c r="AH5" i="59"/>
  <c r="AG5" i="59"/>
  <c r="AE5" i="59"/>
  <c r="AF5" i="59" s="1"/>
  <c r="AD5" i="59"/>
  <c r="Q5" i="59"/>
  <c r="P5" i="59"/>
  <c r="O5" i="59"/>
  <c r="N5" i="59"/>
  <c r="L3" i="59"/>
  <c r="K3" i="59"/>
  <c r="J3" i="59"/>
  <c r="I3" i="59"/>
  <c r="AH6" i="59"/>
  <c r="AG6" i="59"/>
  <c r="AE6" i="59"/>
  <c r="AF6" i="59"/>
  <c r="AD6" i="59"/>
  <c r="Q6" i="59"/>
  <c r="P6" i="59"/>
  <c r="O6" i="59"/>
  <c r="N6" i="59"/>
  <c r="Q7" i="59"/>
  <c r="P7" i="59"/>
  <c r="O7" i="59"/>
  <c r="N7" i="59"/>
  <c r="D7" i="59"/>
  <c r="E6" i="59"/>
  <c r="U6" i="59"/>
  <c r="F6" i="59"/>
  <c r="E5" i="59"/>
  <c r="B6" i="59"/>
  <c r="S6" i="59"/>
  <c r="A2" i="50"/>
  <c r="F5" i="59"/>
  <c r="V6" i="59"/>
  <c r="B5" i="59"/>
  <c r="K60" i="15"/>
  <c r="P59" i="15" s="1"/>
  <c r="A126" i="57"/>
  <c r="A123" i="9"/>
  <c r="A16" i="54"/>
  <c r="A14" i="54"/>
  <c r="A19" i="55"/>
  <c r="A13" i="55"/>
  <c r="A1" i="52"/>
  <c r="A4" i="50"/>
  <c r="P8" i="59"/>
  <c r="O8" i="59"/>
  <c r="N8" i="59"/>
  <c r="Q8" i="59"/>
  <c r="C76" i="9"/>
  <c r="C77" i="57"/>
  <c r="F30" i="1"/>
  <c r="J56" i="57"/>
  <c r="K55" i="9"/>
  <c r="J55" i="9"/>
  <c r="I6" i="4"/>
  <c r="K56" i="9" s="1"/>
  <c r="J57" i="57"/>
  <c r="J58" i="57" s="1"/>
  <c r="J60" i="57" s="1"/>
  <c r="J62" i="57" s="1"/>
  <c r="N57" i="57"/>
  <c r="N56" i="9"/>
  <c r="E16" i="62"/>
  <c r="F16" i="62"/>
  <c r="E17" i="62"/>
  <c r="F17" i="62"/>
  <c r="E18" i="62"/>
  <c r="F18" i="62"/>
  <c r="E19" i="62"/>
  <c r="F19" i="62"/>
  <c r="E20" i="62"/>
  <c r="F20" i="62"/>
  <c r="E21" i="62"/>
  <c r="F21" i="62"/>
  <c r="E22" i="62"/>
  <c r="F22" i="62"/>
  <c r="E23" i="62"/>
  <c r="F23" i="62"/>
  <c r="C14" i="62"/>
  <c r="B2" i="62"/>
  <c r="B14" i="62"/>
  <c r="B1" i="62" s="1"/>
  <c r="B3" i="62"/>
  <c r="M19" i="43"/>
  <c r="O9" i="59"/>
  <c r="P9" i="59"/>
  <c r="Q9" i="59"/>
  <c r="N9" i="59"/>
  <c r="AD3" i="59"/>
  <c r="AE3" i="59"/>
  <c r="AF3" i="59"/>
  <c r="AG3" i="59"/>
  <c r="AH3" i="59"/>
  <c r="AD7" i="59"/>
  <c r="AE7" i="59"/>
  <c r="AF7" i="59" s="1"/>
  <c r="AG7" i="59"/>
  <c r="AH7"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H21" i="59"/>
  <c r="AG21" i="59"/>
  <c r="AE21" i="59"/>
  <c r="AD21" i="59"/>
  <c r="AF21" i="59"/>
  <c r="AD22" i="59"/>
  <c r="AE22" i="59"/>
  <c r="AF22" i="59"/>
  <c r="AG22" i="59"/>
  <c r="AH22" i="59"/>
  <c r="S5" i="31"/>
  <c r="M5" i="31"/>
  <c r="N5" i="31"/>
  <c r="O5" i="31"/>
  <c r="P5" i="31"/>
  <c r="Q5" i="31"/>
  <c r="R5" i="31"/>
  <c r="C1" i="61"/>
  <c r="B68" i="60"/>
  <c r="D28" i="57"/>
  <c r="D29" i="57"/>
  <c r="D28" i="9"/>
  <c r="D29" i="9"/>
  <c r="A6" i="52"/>
  <c r="B64" i="60"/>
  <c r="A10" i="54"/>
  <c r="B9" i="60" s="1"/>
  <c r="Y12" i="43"/>
  <c r="Y10" i="43"/>
  <c r="AJ9" i="43"/>
  <c r="AJ12" i="43" s="1"/>
  <c r="AI9" i="43"/>
  <c r="AI12" i="43" s="1"/>
  <c r="AH9" i="43"/>
  <c r="AG9" i="43"/>
  <c r="AF9" i="43"/>
  <c r="AE9" i="43"/>
  <c r="AE12" i="43" s="1"/>
  <c r="AD9" i="43"/>
  <c r="AC9" i="43"/>
  <c r="AB9" i="43"/>
  <c r="AB12" i="43" s="1"/>
  <c r="AA9" i="43"/>
  <c r="AA12" i="43" s="1"/>
  <c r="Z9" i="43"/>
  <c r="AA10" i="43"/>
  <c r="AE10" i="43"/>
  <c r="AI10" i="43"/>
  <c r="AB10" i="43"/>
  <c r="K50" i="57"/>
  <c r="K49" i="9"/>
  <c r="F111" i="57"/>
  <c r="A115" i="57"/>
  <c r="A128" i="57" s="1"/>
  <c r="A112" i="9"/>
  <c r="A125" i="9" s="1"/>
  <c r="A8" i="52" s="1"/>
  <c r="F110" i="9"/>
  <c r="F115" i="57"/>
  <c r="A132" i="57" s="1"/>
  <c r="A119" i="57"/>
  <c r="A116" i="9"/>
  <c r="F113" i="57"/>
  <c r="A117" i="57"/>
  <c r="A130" i="57" s="1"/>
  <c r="A114" i="9"/>
  <c r="A127" i="9" s="1"/>
  <c r="F114" i="9"/>
  <c r="A129" i="9" s="1"/>
  <c r="F112" i="9"/>
  <c r="B45" i="50"/>
  <c r="B59" i="60" s="1"/>
  <c r="D2" i="52"/>
  <c r="B60" i="60"/>
  <c r="B65" i="60"/>
  <c r="B18" i="50"/>
  <c r="B39" i="50" s="1"/>
  <c r="B15" i="50"/>
  <c r="B36" i="50" s="1"/>
  <c r="B10" i="50"/>
  <c r="B31" i="50" s="1"/>
  <c r="C6" i="50"/>
  <c r="B18" i="60" s="1"/>
  <c r="A13" i="54"/>
  <c r="B51" i="60"/>
  <c r="B50" i="60"/>
  <c r="B47" i="60"/>
  <c r="B16" i="60"/>
  <c r="B51" i="10"/>
  <c r="B49" i="60"/>
  <c r="A18" i="55"/>
  <c r="B48" i="60"/>
  <c r="A15" i="55"/>
  <c r="B45" i="60"/>
  <c r="A14" i="55"/>
  <c r="B44" i="60"/>
  <c r="B43" i="60"/>
  <c r="C10" i="50"/>
  <c r="C12" i="50" s="1"/>
  <c r="C7" i="50"/>
  <c r="C15" i="50" s="1"/>
  <c r="C18" i="50"/>
  <c r="B20" i="60"/>
  <c r="C35" i="50"/>
  <c r="C34" i="50"/>
  <c r="C33" i="50"/>
  <c r="C13" i="50"/>
  <c r="B13" i="60"/>
  <c r="C42" i="50"/>
  <c r="C36" i="50"/>
  <c r="C39" i="50"/>
  <c r="I19" i="43"/>
  <c r="A135" i="57"/>
  <c r="F118" i="57"/>
  <c r="D71" i="59"/>
  <c r="F70" i="59"/>
  <c r="F69" i="59" s="1"/>
  <c r="E70" i="59"/>
  <c r="E69" i="59"/>
  <c r="E68" i="59" s="1"/>
  <c r="C70" i="59"/>
  <c r="D70" i="59" s="1"/>
  <c r="B70" i="59"/>
  <c r="B69" i="59" s="1"/>
  <c r="F68" i="59"/>
  <c r="B68" i="59"/>
  <c r="D67" i="59"/>
  <c r="F66" i="59"/>
  <c r="F65" i="59" s="1"/>
  <c r="E66" i="59"/>
  <c r="E65" i="59"/>
  <c r="E64" i="59" s="1"/>
  <c r="C66" i="59"/>
  <c r="D66" i="59" s="1"/>
  <c r="B66" i="59"/>
  <c r="B65" i="59" s="1"/>
  <c r="F64" i="59"/>
  <c r="B64" i="59"/>
  <c r="D63" i="59"/>
  <c r="S62" i="59"/>
  <c r="Q62" i="59"/>
  <c r="P62" i="59"/>
  <c r="O62" i="59"/>
  <c r="N62" i="59"/>
  <c r="F62" i="59"/>
  <c r="V62" i="59"/>
  <c r="E62" i="59"/>
  <c r="U62" i="59"/>
  <c r="C62" i="59"/>
  <c r="T62" i="59"/>
  <c r="B62" i="59"/>
  <c r="Q61" i="59"/>
  <c r="P61" i="59"/>
  <c r="O61" i="59"/>
  <c r="N61" i="59"/>
  <c r="F61" i="59"/>
  <c r="F60" i="59" s="1"/>
  <c r="B61" i="59"/>
  <c r="B60" i="59" s="1"/>
  <c r="Q60" i="59"/>
  <c r="P60" i="59"/>
  <c r="O60" i="59"/>
  <c r="N60" i="59"/>
  <c r="Q59" i="59"/>
  <c r="P59" i="59"/>
  <c r="O59" i="59"/>
  <c r="N59" i="59"/>
  <c r="D59" i="59"/>
  <c r="Q58" i="59"/>
  <c r="P58" i="59"/>
  <c r="O58" i="59"/>
  <c r="N58" i="59"/>
  <c r="F58" i="59"/>
  <c r="E58" i="59"/>
  <c r="U58" i="59" s="1"/>
  <c r="C58" i="59"/>
  <c r="T58" i="59" s="1"/>
  <c r="B58" i="59"/>
  <c r="Q57" i="59"/>
  <c r="P57" i="59"/>
  <c r="O57" i="59"/>
  <c r="N57" i="59"/>
  <c r="Q56" i="59"/>
  <c r="P56" i="59"/>
  <c r="O56" i="59"/>
  <c r="N56" i="59"/>
  <c r="Q55" i="59"/>
  <c r="P55" i="59"/>
  <c r="O55" i="59"/>
  <c r="N55" i="59"/>
  <c r="D55" i="59"/>
  <c r="S54" i="59"/>
  <c r="Q54" i="59"/>
  <c r="P54" i="59"/>
  <c r="O54" i="59"/>
  <c r="N54" i="59"/>
  <c r="F54" i="59"/>
  <c r="V54" i="59"/>
  <c r="E54" i="59"/>
  <c r="C54" i="59"/>
  <c r="B54" i="59"/>
  <c r="Q53" i="59"/>
  <c r="P53" i="59"/>
  <c r="O53" i="59"/>
  <c r="N53" i="59"/>
  <c r="F53" i="59"/>
  <c r="F52" i="59" s="1"/>
  <c r="B53" i="59"/>
  <c r="B52" i="59" s="1"/>
  <c r="Q52" i="59"/>
  <c r="P52" i="59"/>
  <c r="O52" i="59"/>
  <c r="N52" i="59"/>
  <c r="Q51" i="59"/>
  <c r="P51" i="59"/>
  <c r="O51" i="59"/>
  <c r="N51" i="59"/>
  <c r="D51" i="59"/>
  <c r="S50" i="59"/>
  <c r="N50" i="59"/>
  <c r="F50" i="59"/>
  <c r="V50" i="59"/>
  <c r="E50" i="59"/>
  <c r="U50" i="59" s="1"/>
  <c r="E49" i="59"/>
  <c r="P49" i="59" s="1"/>
  <c r="C50" i="59"/>
  <c r="B50" i="59"/>
  <c r="F49" i="59"/>
  <c r="F48" i="59" s="1"/>
  <c r="Q48" i="59" s="1"/>
  <c r="B49" i="59"/>
  <c r="E48" i="59"/>
  <c r="P47" i="59" s="1"/>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c r="F41" i="59" s="1"/>
  <c r="F42" i="59" s="1"/>
  <c r="V42" i="59" s="1"/>
  <c r="P39" i="59"/>
  <c r="E40" i="59" s="1"/>
  <c r="O39" i="59"/>
  <c r="C40" i="59" s="1"/>
  <c r="N39" i="59"/>
  <c r="B40" i="59"/>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E32" i="59"/>
  <c r="E33" i="59" s="1"/>
  <c r="E34" i="59" s="1"/>
  <c r="U34" i="59" s="1"/>
  <c r="Q31" i="59"/>
  <c r="F32" i="59" s="1"/>
  <c r="F33" i="59" s="1"/>
  <c r="F34" i="59" s="1"/>
  <c r="V34" i="59" s="1"/>
  <c r="P31" i="59"/>
  <c r="O31" i="59"/>
  <c r="C32" i="59" s="1"/>
  <c r="N31" i="59"/>
  <c r="B32" i="59" s="1"/>
  <c r="B33" i="59"/>
  <c r="B34" i="59" s="1"/>
  <c r="S34" i="59" s="1"/>
  <c r="D31" i="59"/>
  <c r="T30" i="59"/>
  <c r="Q30" i="59"/>
  <c r="P30" i="59"/>
  <c r="O30" i="59"/>
  <c r="N30" i="59"/>
  <c r="D30" i="59"/>
  <c r="Q29" i="59"/>
  <c r="P29" i="59"/>
  <c r="O29" i="59"/>
  <c r="N29" i="59"/>
  <c r="Q28" i="59"/>
  <c r="P28" i="59"/>
  <c r="O28" i="59"/>
  <c r="N28" i="59"/>
  <c r="Q27" i="59"/>
  <c r="F28" i="59" s="1"/>
  <c r="F29" i="59" s="1"/>
  <c r="F30" i="59" s="1"/>
  <c r="V30" i="59" s="1"/>
  <c r="P27" i="59"/>
  <c r="E28" i="59"/>
  <c r="E29" i="59" s="1"/>
  <c r="E30" i="59"/>
  <c r="U30" i="59" s="1"/>
  <c r="O27" i="59"/>
  <c r="C28" i="59" s="1"/>
  <c r="N27" i="59"/>
  <c r="B28" i="59" s="1"/>
  <c r="B29" i="59" s="1"/>
  <c r="B30" i="59" s="1"/>
  <c r="S30" i="59" s="1"/>
  <c r="D27" i="59"/>
  <c r="Q26" i="59"/>
  <c r="P26" i="59"/>
  <c r="O26" i="59"/>
  <c r="N26" i="59"/>
  <c r="Q25" i="59"/>
  <c r="P25" i="59"/>
  <c r="O25" i="59"/>
  <c r="N25" i="59"/>
  <c r="Q24" i="59"/>
  <c r="P24" i="59"/>
  <c r="O24" i="59"/>
  <c r="N24" i="59"/>
  <c r="Q23" i="59"/>
  <c r="F24" i="59" s="1"/>
  <c r="F25" i="59" s="1"/>
  <c r="F26" i="59" s="1"/>
  <c r="V26" i="59" s="1"/>
  <c r="P23" i="59"/>
  <c r="E24" i="59"/>
  <c r="E25" i="59" s="1"/>
  <c r="E26" i="59" s="1"/>
  <c r="U26" i="59" s="1"/>
  <c r="O23" i="59"/>
  <c r="C24" i="59" s="1"/>
  <c r="N23" i="59"/>
  <c r="B24" i="59"/>
  <c r="B25" i="59" s="1"/>
  <c r="B26" i="59" s="1"/>
  <c r="S26" i="59" s="1"/>
  <c r="D23" i="59"/>
  <c r="Q22" i="59"/>
  <c r="P22" i="59"/>
  <c r="O22" i="59"/>
  <c r="N22" i="59"/>
  <c r="Q21" i="59"/>
  <c r="AB21" i="59" s="1"/>
  <c r="P21" i="59"/>
  <c r="AA21" i="59"/>
  <c r="O21" i="59"/>
  <c r="Y21" i="59"/>
  <c r="Z21" i="59" s="1"/>
  <c r="N21" i="59"/>
  <c r="X21" i="59" s="1"/>
  <c r="Q20" i="59"/>
  <c r="P20" i="59"/>
  <c r="AA20" i="59" s="1"/>
  <c r="O20" i="59"/>
  <c r="Y20" i="59" s="1"/>
  <c r="Z20" i="59" s="1"/>
  <c r="N20" i="59"/>
  <c r="X20" i="59" s="1"/>
  <c r="Q19" i="59"/>
  <c r="P19" i="59"/>
  <c r="AA19" i="59" s="1"/>
  <c r="O19" i="59"/>
  <c r="Y19" i="59" s="1"/>
  <c r="Z19" i="59" s="1"/>
  <c r="C20" i="59"/>
  <c r="N19" i="59"/>
  <c r="B20" i="59"/>
  <c r="B21" i="59" s="1"/>
  <c r="B22" i="59" s="1"/>
  <c r="S22" i="59" s="1"/>
  <c r="D19" i="59"/>
  <c r="Q18" i="59"/>
  <c r="AB18" i="59" s="1"/>
  <c r="P18" i="59"/>
  <c r="AA18" i="59" s="1"/>
  <c r="O18" i="59"/>
  <c r="Y18" i="59" s="1"/>
  <c r="Z18" i="59" s="1"/>
  <c r="N18" i="59"/>
  <c r="X18" i="59" s="1"/>
  <c r="Q17" i="59"/>
  <c r="P17" i="59"/>
  <c r="AA17" i="59" s="1"/>
  <c r="O17" i="59"/>
  <c r="Y17" i="59" s="1"/>
  <c r="Z17" i="59" s="1"/>
  <c r="N17" i="59"/>
  <c r="X17" i="59" s="1"/>
  <c r="Q16" i="59"/>
  <c r="P16" i="59"/>
  <c r="AA16" i="59" s="1"/>
  <c r="O16" i="59"/>
  <c r="Y16" i="59" s="1"/>
  <c r="Z16" i="59" s="1"/>
  <c r="N16" i="59"/>
  <c r="X16" i="59" s="1"/>
  <c r="Q15" i="59"/>
  <c r="AB15" i="59" s="1"/>
  <c r="P15" i="59"/>
  <c r="AA15" i="59" s="1"/>
  <c r="O15" i="59"/>
  <c r="Y15" i="59" s="1"/>
  <c r="Z15" i="59" s="1"/>
  <c r="C16" i="59"/>
  <c r="N15" i="59"/>
  <c r="B16" i="59"/>
  <c r="B17" i="59" s="1"/>
  <c r="B18" i="59" s="1"/>
  <c r="S18" i="59" s="1"/>
  <c r="D15" i="59"/>
  <c r="Q14" i="59"/>
  <c r="AB14" i="59" s="1"/>
  <c r="P14" i="59"/>
  <c r="AA14" i="59" s="1"/>
  <c r="O14" i="59"/>
  <c r="Y14" i="59" s="1"/>
  <c r="Z14" i="59" s="1"/>
  <c r="N14" i="59"/>
  <c r="X14" i="59" s="1"/>
  <c r="Q13" i="59"/>
  <c r="AB13" i="59" s="1"/>
  <c r="P13" i="59"/>
  <c r="AA13" i="59" s="1"/>
  <c r="O13" i="59"/>
  <c r="Y13" i="59" s="1"/>
  <c r="Z13" i="59" s="1"/>
  <c r="N13" i="59"/>
  <c r="X13" i="59" s="1"/>
  <c r="Q12" i="59"/>
  <c r="AB12" i="59" s="1"/>
  <c r="P12" i="59"/>
  <c r="AA12" i="59" s="1"/>
  <c r="O12" i="59"/>
  <c r="Y12" i="59" s="1"/>
  <c r="Z12" i="59" s="1"/>
  <c r="N12" i="59"/>
  <c r="X12" i="59" s="1"/>
  <c r="Q11" i="59"/>
  <c r="AB11" i="59" s="1"/>
  <c r="P11" i="59"/>
  <c r="AA11" i="59" s="1"/>
  <c r="O11" i="59"/>
  <c r="Y11" i="59" s="1"/>
  <c r="Z11" i="59" s="1"/>
  <c r="C12" i="59"/>
  <c r="N11" i="59"/>
  <c r="B12" i="59"/>
  <c r="B13" i="59" s="1"/>
  <c r="B14" i="59" s="1"/>
  <c r="S14" i="59" s="1"/>
  <c r="D11" i="59"/>
  <c r="O10" i="59"/>
  <c r="N10" i="59"/>
  <c r="C10" i="59"/>
  <c r="T10" i="59"/>
  <c r="Y3" i="59"/>
  <c r="Z3" i="59"/>
  <c r="Y7" i="59"/>
  <c r="Z7" i="59"/>
  <c r="Y8" i="59"/>
  <c r="Z8" i="59"/>
  <c r="Y10" i="59"/>
  <c r="Z10" i="59" s="1"/>
  <c r="Y9" i="59"/>
  <c r="Z9" i="59" s="1"/>
  <c r="B10" i="59"/>
  <c r="X10" i="59"/>
  <c r="X9" i="59"/>
  <c r="X3" i="59"/>
  <c r="X7" i="59"/>
  <c r="X8" i="59"/>
  <c r="C13" i="59"/>
  <c r="D12" i="59"/>
  <c r="C17" i="59"/>
  <c r="D16" i="59"/>
  <c r="C21" i="59"/>
  <c r="D20" i="59"/>
  <c r="C25" i="59"/>
  <c r="D24" i="59"/>
  <c r="C29" i="59"/>
  <c r="D29" i="59" s="1"/>
  <c r="D28" i="59"/>
  <c r="C33" i="59"/>
  <c r="D32" i="59"/>
  <c r="P10" i="59"/>
  <c r="E41" i="59"/>
  <c r="E42" i="59"/>
  <c r="U42" i="59" s="1"/>
  <c r="Q47" i="59"/>
  <c r="P48" i="59"/>
  <c r="U54" i="59"/>
  <c r="E53" i="59"/>
  <c r="E52" i="59" s="1"/>
  <c r="Q10" i="59"/>
  <c r="C37" i="59"/>
  <c r="D36" i="59"/>
  <c r="C45" i="59"/>
  <c r="D44" i="59"/>
  <c r="N49" i="59"/>
  <c r="B48" i="59"/>
  <c r="Q49" i="59"/>
  <c r="T50" i="59"/>
  <c r="O50" i="59"/>
  <c r="D50" i="59"/>
  <c r="C49" i="59"/>
  <c r="T54" i="59"/>
  <c r="D54" i="59"/>
  <c r="C53" i="59"/>
  <c r="Q50" i="59"/>
  <c r="C57" i="59"/>
  <c r="E57" i="59"/>
  <c r="E56" i="59"/>
  <c r="D58" i="59"/>
  <c r="C61" i="59"/>
  <c r="E61" i="59"/>
  <c r="E60" i="59"/>
  <c r="D62" i="59"/>
  <c r="C65" i="59"/>
  <c r="C69" i="59"/>
  <c r="B9" i="59"/>
  <c r="B8" i="59" s="1"/>
  <c r="S10" i="59"/>
  <c r="F10" i="59"/>
  <c r="AB3" i="59"/>
  <c r="AB7" i="59"/>
  <c r="AB8" i="59"/>
  <c r="AB9" i="59"/>
  <c r="AB10" i="59"/>
  <c r="E10" i="59"/>
  <c r="AA8" i="59"/>
  <c r="AA9" i="59"/>
  <c r="AA10" i="59"/>
  <c r="AA3" i="59"/>
  <c r="AA7" i="59"/>
  <c r="C9" i="59"/>
  <c r="D10" i="59"/>
  <c r="D65" i="59"/>
  <c r="C64" i="59"/>
  <c r="D64" i="59" s="1"/>
  <c r="D57" i="59"/>
  <c r="C56" i="59"/>
  <c r="D56" i="59"/>
  <c r="C52" i="59"/>
  <c r="D52" i="59"/>
  <c r="D53" i="59"/>
  <c r="C34" i="59"/>
  <c r="T34" i="59" s="1"/>
  <c r="D33" i="59"/>
  <c r="D69" i="59"/>
  <c r="C68" i="59"/>
  <c r="D68" i="59"/>
  <c r="D61" i="59"/>
  <c r="C60" i="59"/>
  <c r="D60" i="59" s="1"/>
  <c r="C48" i="59"/>
  <c r="D48" i="59" s="1"/>
  <c r="O49" i="59"/>
  <c r="D49" i="59"/>
  <c r="C46" i="59"/>
  <c r="D45" i="59"/>
  <c r="C38" i="59"/>
  <c r="D37" i="59"/>
  <c r="N47" i="59"/>
  <c r="N48" i="59"/>
  <c r="C26" i="59"/>
  <c r="D25" i="59"/>
  <c r="C22" i="59"/>
  <c r="D21" i="59"/>
  <c r="C18" i="59"/>
  <c r="D17" i="59"/>
  <c r="C14" i="59"/>
  <c r="D13" i="59"/>
  <c r="D9" i="59"/>
  <c r="C8" i="59"/>
  <c r="D8" i="59" s="1"/>
  <c r="E9" i="59"/>
  <c r="E8" i="59" s="1"/>
  <c r="U10" i="59"/>
  <c r="F9" i="59"/>
  <c r="F8" i="59"/>
  <c r="V10" i="59"/>
  <c r="O48" i="59"/>
  <c r="O47" i="59"/>
  <c r="D34" i="59"/>
  <c r="T14" i="59"/>
  <c r="D14" i="59"/>
  <c r="T18" i="59"/>
  <c r="D18" i="59"/>
  <c r="T22" i="59"/>
  <c r="D22" i="59"/>
  <c r="T26" i="59"/>
  <c r="D26" i="59"/>
  <c r="T38" i="59"/>
  <c r="D38" i="59"/>
  <c r="T46" i="59"/>
  <c r="D46"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s="1"/>
  <c r="F83" i="21" s="1"/>
  <c r="G83" i="21" s="1"/>
  <c r="F21" i="21"/>
  <c r="AA21" i="21" s="1"/>
  <c r="C21" i="21"/>
  <c r="G20" i="20"/>
  <c r="B86" i="43" s="1"/>
  <c r="C22" i="20"/>
  <c r="B66" i="43" s="1"/>
  <c r="AB25" i="40"/>
  <c r="S25" i="40"/>
  <c r="S18" i="36"/>
  <c r="W18" i="35"/>
  <c r="U18" i="35"/>
  <c r="S18" i="35"/>
  <c r="U21" i="37"/>
  <c r="S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F2" i="35" s="1"/>
  <c r="C2" i="37"/>
  <c r="F2" i="37" s="1"/>
  <c r="C2" i="34"/>
  <c r="C2" i="33"/>
  <c r="C2" i="21"/>
  <c r="F2" i="21" s="1"/>
  <c r="C2" i="15"/>
  <c r="P73" i="15" s="1"/>
  <c r="H19" i="9"/>
  <c r="C108" i="9" s="1"/>
  <c r="C91" i="9"/>
  <c r="C28" i="31"/>
  <c r="I30" i="31"/>
  <c r="C145" i="21"/>
  <c r="K139" i="21" s="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c r="R65" i="31"/>
  <c r="R66" i="31"/>
  <c r="T66" i="31" s="1"/>
  <c r="R67" i="31"/>
  <c r="R68" i="31"/>
  <c r="T68" i="3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s="1"/>
  <c r="B12" i="49"/>
  <c r="B3" i="60" s="1"/>
  <c r="B2" i="48"/>
  <c r="B23" i="48" s="1"/>
  <c r="D23" i="48" s="1"/>
  <c r="I2" i="43"/>
  <c r="H6" i="44"/>
  <c r="G2" i="43"/>
  <c r="E30" i="4"/>
  <c r="C7" i="4"/>
  <c r="G3" i="43"/>
  <c r="C121" i="9"/>
  <c r="C4" i="52"/>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c r="G54" i="40"/>
  <c r="C54" i="40"/>
  <c r="G53" i="40"/>
  <c r="C53" i="40"/>
  <c r="G52" i="40"/>
  <c r="C52" i="40"/>
  <c r="G57" i="39"/>
  <c r="C57" i="39"/>
  <c r="G63" i="39"/>
  <c r="G65" i="39"/>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s="1"/>
  <c r="C9" i="43"/>
  <c r="A7" i="43"/>
  <c r="E1" i="61"/>
  <c r="E31" i="1"/>
  <c r="E29" i="1" s="1"/>
  <c r="G1" i="15"/>
  <c r="F35" i="11"/>
  <c r="F38" i="11"/>
  <c r="E37" i="11"/>
  <c r="F20" i="11"/>
  <c r="F21" i="11"/>
  <c r="C40" i="11"/>
  <c r="F7" i="11"/>
  <c r="C7" i="11"/>
  <c r="C5" i="11" s="1"/>
  <c r="F12" i="12"/>
  <c r="F13" i="12"/>
  <c r="F15" i="12"/>
  <c r="E14" i="12"/>
  <c r="E19" i="12"/>
  <c r="E20" i="12"/>
  <c r="E17" i="12"/>
  <c r="F22" i="12"/>
  <c r="F23" i="12"/>
  <c r="F24" i="12"/>
  <c r="C24" i="12" s="1"/>
  <c r="C29" i="12" s="1"/>
  <c r="D28" i="12" s="1"/>
  <c r="C17" i="9"/>
  <c r="D17" i="9"/>
  <c r="I55" i="9"/>
  <c r="F55" i="9"/>
  <c r="O53" i="9" s="1"/>
  <c r="D89" i="9"/>
  <c r="C89" i="9" s="1"/>
  <c r="C87" i="9" s="1"/>
  <c r="E15" i="1"/>
  <c r="E19" i="11"/>
  <c r="E40" i="1"/>
  <c r="F34" i="15"/>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H31" i="35"/>
  <c r="AB31" i="35"/>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AA9" i="40" s="1"/>
  <c r="J8" i="40"/>
  <c r="AC8" i="40" s="1"/>
  <c r="H8" i="40"/>
  <c r="AB8" i="40" s="1"/>
  <c r="F8" i="40"/>
  <c r="AA8" i="40" s="1"/>
  <c r="C7" i="40"/>
  <c r="C63" i="40" s="1"/>
  <c r="C65" i="40" s="1"/>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s="1"/>
  <c r="D91" i="39"/>
  <c r="E91" i="39"/>
  <c r="F91" i="39" s="1"/>
  <c r="G91" i="39" s="1"/>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c r="G78" i="36" s="1"/>
  <c r="H78" i="36" s="1"/>
  <c r="I78" i="36" s="1"/>
  <c r="J78" i="36" s="1"/>
  <c r="K78" i="36" s="1"/>
  <c r="L78" i="36" s="1"/>
  <c r="M78" i="36" s="1"/>
  <c r="B75" i="36"/>
  <c r="B73" i="36"/>
  <c r="B71" i="36"/>
  <c r="J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s="1"/>
  <c r="C21" i="20"/>
  <c r="C27" i="39" s="1"/>
  <c r="C20" i="20"/>
  <c r="B77" i="43" s="1"/>
  <c r="C18" i="20"/>
  <c r="B71" i="43" s="1"/>
  <c r="C17" i="20"/>
  <c r="B59" i="43" s="1"/>
  <c r="C16" i="20"/>
  <c r="B48" i="43"/>
  <c r="C15" i="20"/>
  <c r="B70" i="43"/>
  <c r="E54" i="21"/>
  <c r="F54" i="21" s="1"/>
  <c r="I54" i="21"/>
  <c r="J54" i="21" s="1"/>
  <c r="G54" i="21"/>
  <c r="H54" i="21" s="1"/>
  <c r="D125" i="21"/>
  <c r="E125" i="21" s="1"/>
  <c r="F125" i="21" s="1"/>
  <c r="G125" i="21" s="1"/>
  <c r="D123" i="21"/>
  <c r="E123"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c r="F79" i="21" s="1"/>
  <c r="G79" i="21" s="1"/>
  <c r="D85" i="21"/>
  <c r="E85" i="21"/>
  <c r="F85" i="21" s="1"/>
  <c r="G85" i="21" s="1"/>
  <c r="D81" i="21"/>
  <c r="E81" i="21"/>
  <c r="F81" i="21" s="1"/>
  <c r="G81" i="21" s="1"/>
  <c r="D77" i="21"/>
  <c r="E77" i="21"/>
  <c r="F77" i="21" s="1"/>
  <c r="G77" i="21" s="1"/>
  <c r="H15" i="21"/>
  <c r="U15" i="21" s="1"/>
  <c r="B130" i="21"/>
  <c r="B128" i="21"/>
  <c r="B126" i="21"/>
  <c r="B98" i="21"/>
  <c r="B96" i="21"/>
  <c r="B94" i="21"/>
  <c r="B92" i="21"/>
  <c r="B90" i="21"/>
  <c r="B74" i="21"/>
  <c r="B72" i="21"/>
  <c r="B70" i="21"/>
  <c r="F12" i="21" s="1"/>
  <c r="AA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36" i="21"/>
  <c r="U36" i="21" s="1"/>
  <c r="F35" i="21"/>
  <c r="AA35" i="21" s="1"/>
  <c r="J33" i="21"/>
  <c r="W33" i="21" s="1"/>
  <c r="H33" i="21"/>
  <c r="AB33" i="21" s="1"/>
  <c r="F33" i="21"/>
  <c r="AA33" i="21" s="1"/>
  <c r="H26" i="21"/>
  <c r="AB26" i="21" s="1"/>
  <c r="F19" i="21"/>
  <c r="AA19" i="21" s="1"/>
  <c r="H19" i="21"/>
  <c r="AB19" i="21" s="1"/>
  <c r="J19" i="21"/>
  <c r="W19"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c r="F16" i="36"/>
  <c r="S16" i="36"/>
  <c r="U22" i="36"/>
  <c r="S23" i="36"/>
  <c r="W22" i="36"/>
  <c r="AA31" i="36"/>
  <c r="AC31" i="36"/>
  <c r="W31" i="36"/>
  <c r="U31" i="36"/>
  <c r="J33" i="36"/>
  <c r="W33" i="36"/>
  <c r="AB34" i="36"/>
  <c r="H22" i="35"/>
  <c r="AB22" i="35" s="1"/>
  <c r="U31" i="35"/>
  <c r="S32" i="35"/>
  <c r="S31" i="35"/>
  <c r="W31" i="35"/>
  <c r="U32" i="35"/>
  <c r="F36" i="34"/>
  <c r="AA36" i="34" s="1"/>
  <c r="U39" i="34"/>
  <c r="H39" i="33"/>
  <c r="AB39" i="33"/>
  <c r="F26" i="33"/>
  <c r="AA26" i="33"/>
  <c r="S40" i="33"/>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E109" i="39"/>
  <c r="F109" i="39"/>
  <c r="G109" i="39" s="1"/>
  <c r="H109" i="39" s="1"/>
  <c r="I109" i="39" s="1"/>
  <c r="J109" i="39" s="1"/>
  <c r="K109" i="39" s="1"/>
  <c r="L109" i="39" s="1"/>
  <c r="M109" i="39" s="1"/>
  <c r="H31" i="39"/>
  <c r="AB31" i="39"/>
  <c r="F31" i="39"/>
  <c r="AA31" i="39"/>
  <c r="E103" i="39"/>
  <c r="H19" i="39"/>
  <c r="AB19" i="39" s="1"/>
  <c r="F19" i="39"/>
  <c r="S19" i="39" s="1"/>
  <c r="H17" i="39"/>
  <c r="U17" i="39" s="1"/>
  <c r="F17" i="39"/>
  <c r="AA17" i="39" s="1"/>
  <c r="J23" i="40"/>
  <c r="AC23" i="40" s="1"/>
  <c r="H42" i="39"/>
  <c r="AB42" i="39" s="1"/>
  <c r="J34" i="39"/>
  <c r="AC34" i="39" s="1"/>
  <c r="J31" i="39"/>
  <c r="W31" i="39"/>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c r="I96" i="40" s="1"/>
  <c r="J96" i="40" s="1"/>
  <c r="K96" i="40" s="1"/>
  <c r="L96" i="40" s="1"/>
  <c r="M96" i="40" s="1"/>
  <c r="H27" i="40"/>
  <c r="U27" i="40" s="1"/>
  <c r="H23" i="40"/>
  <c r="AB23" i="40" s="1"/>
  <c r="J11" i="40"/>
  <c r="W11" i="40" s="1"/>
  <c r="AB12" i="33"/>
  <c r="AA12" i="33"/>
  <c r="S44" i="39"/>
  <c r="F37" i="39"/>
  <c r="S37" i="39"/>
  <c r="AC9" i="21"/>
  <c r="J34" i="36"/>
  <c r="W34" i="36" s="1"/>
  <c r="U30" i="36"/>
  <c r="J30" i="35"/>
  <c r="W30" i="35"/>
  <c r="H30" i="35"/>
  <c r="AB30" i="35"/>
  <c r="F22" i="35"/>
  <c r="AA22" i="35"/>
  <c r="H10" i="35"/>
  <c r="U10" i="35"/>
  <c r="U33" i="36"/>
  <c r="AB29" i="36"/>
  <c r="F33" i="36"/>
  <c r="S33" i="36"/>
  <c r="E85" i="36"/>
  <c r="F85" i="36"/>
  <c r="G85" i="36" s="1"/>
  <c r="H85" i="36"/>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26" i="33"/>
  <c r="U40" i="33"/>
  <c r="U8" i="33"/>
  <c r="S8" i="33"/>
  <c r="F37" i="40"/>
  <c r="AA37" i="40"/>
  <c r="F36" i="40"/>
  <c r="AA36" i="40"/>
  <c r="J27" i="40"/>
  <c r="W27" i="40"/>
  <c r="F27" i="40"/>
  <c r="S27" i="40"/>
  <c r="F23" i="40"/>
  <c r="AA23" i="40"/>
  <c r="AC11" i="40"/>
  <c r="AB30" i="36"/>
  <c r="AC34" i="36"/>
  <c r="AC30" i="35"/>
  <c r="W32" i="35"/>
  <c r="F29" i="35"/>
  <c r="S29" i="35" s="1"/>
  <c r="U34" i="37"/>
  <c r="AB42" i="34"/>
  <c r="H38" i="34"/>
  <c r="F113" i="33"/>
  <c r="G113" i="33" s="1"/>
  <c r="H113" i="33" s="1"/>
  <c r="I113" i="33" s="1"/>
  <c r="J113" i="33" s="1"/>
  <c r="K113" i="33" s="1"/>
  <c r="L113" i="33" s="1"/>
  <c r="M113" i="33" s="1"/>
  <c r="H37" i="33"/>
  <c r="AB37" i="33" s="1"/>
  <c r="AA37" i="33"/>
  <c r="H36" i="33"/>
  <c r="U36" i="33"/>
  <c r="F17" i="33"/>
  <c r="AA17" i="33" s="1"/>
  <c r="H15" i="33"/>
  <c r="AB15" i="33" s="1"/>
  <c r="AB11" i="33"/>
  <c r="AC27" i="40"/>
  <c r="AC42" i="34"/>
  <c r="W42" i="34"/>
  <c r="AA42" i="34"/>
  <c r="S42" i="34"/>
  <c r="W38" i="34"/>
  <c r="J37" i="33"/>
  <c r="AC37" i="33"/>
  <c r="J36" i="33"/>
  <c r="AC36" i="33"/>
  <c r="J11" i="33"/>
  <c r="AC11" i="33"/>
  <c r="J10" i="35"/>
  <c r="AC10" i="35"/>
  <c r="J14" i="21"/>
  <c r="W14" i="21" s="1"/>
  <c r="F14" i="21"/>
  <c r="S14" i="21" s="1"/>
  <c r="H14" i="21"/>
  <c r="AB14" i="21" s="1"/>
  <c r="H28" i="21"/>
  <c r="AB28" i="21" s="1"/>
  <c r="F28" i="21"/>
  <c r="S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AC14" i="21"/>
  <c r="S46" i="33"/>
  <c r="AC11" i="36"/>
  <c r="AB45" i="33"/>
  <c r="AC29" i="33"/>
  <c r="W29" i="33"/>
  <c r="AB28" i="33"/>
  <c r="S33" i="21"/>
  <c r="J41" i="39"/>
  <c r="W41" i="39" s="1"/>
  <c r="AC45" i="39"/>
  <c r="U36" i="39"/>
  <c r="C4" i="12"/>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s="1"/>
  <c r="J23" i="37"/>
  <c r="W23" i="37" s="1"/>
  <c r="S30" i="31"/>
  <c r="U11" i="40"/>
  <c r="AC33" i="36"/>
  <c r="AB20" i="35"/>
  <c r="AA11" i="35"/>
  <c r="AC12" i="35"/>
  <c r="S28" i="37"/>
  <c r="U39" i="37"/>
  <c r="AC8" i="37"/>
  <c r="S25" i="37"/>
  <c r="W47" i="34"/>
  <c r="AB8" i="34"/>
  <c r="W14" i="33"/>
  <c r="AA13" i="33"/>
  <c r="AC31" i="33"/>
  <c r="AB10" i="33"/>
  <c r="S11" i="33"/>
  <c r="AC33" i="21"/>
  <c r="AA23" i="37"/>
  <c r="W10" i="36"/>
  <c r="W38" i="37"/>
  <c r="H37" i="21"/>
  <c r="U37" i="21" s="1"/>
  <c r="J37" i="21"/>
  <c r="W37" i="21" s="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W17" i="2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U25" i="35"/>
  <c r="W44" i="33"/>
  <c r="U36" i="37"/>
  <c r="AB46" i="34"/>
  <c r="S14" i="34"/>
  <c r="AA14" i="34"/>
  <c r="W44" i="21"/>
  <c r="AB38" i="34"/>
  <c r="U38" i="34"/>
  <c r="F40" i="34"/>
  <c r="AA40" i="34"/>
  <c r="G118" i="34"/>
  <c r="U20" i="36"/>
  <c r="AB20" i="36"/>
  <c r="AA16" i="36"/>
  <c r="AC44" i="39"/>
  <c r="W44" i="39"/>
  <c r="H13" i="21"/>
  <c r="U13" i="21" s="1"/>
  <c r="J13" i="21"/>
  <c r="F13" i="21"/>
  <c r="AA13" i="21" s="1"/>
  <c r="J45" i="21"/>
  <c r="F45" i="21"/>
  <c r="AA45" i="21" s="1"/>
  <c r="B41" i="47"/>
  <c r="C23" i="40"/>
  <c r="AC8" i="34"/>
  <c r="W8" i="34"/>
  <c r="W12" i="34"/>
  <c r="AC12" i="34"/>
  <c r="J9" i="34"/>
  <c r="AC9" i="34" s="1"/>
  <c r="F9" i="34"/>
  <c r="S9" i="34" s="1"/>
  <c r="AA19" i="34"/>
  <c r="S19" i="34"/>
  <c r="AA9" i="36"/>
  <c r="S9" i="36"/>
  <c r="J12" i="36"/>
  <c r="W12" i="36" s="1"/>
  <c r="H12" i="36"/>
  <c r="AB12" i="36" s="1"/>
  <c r="AA9" i="39"/>
  <c r="S9" i="39"/>
  <c r="AB12" i="39"/>
  <c r="U12" i="39"/>
  <c r="J12" i="39"/>
  <c r="F12" i="39"/>
  <c r="S12" i="39"/>
  <c r="R29" i="31"/>
  <c r="T29" i="31"/>
  <c r="F15" i="21"/>
  <c r="S15" i="21" s="1"/>
  <c r="AA30" i="21"/>
  <c r="J36" i="34"/>
  <c r="W36" i="34"/>
  <c r="S8" i="34"/>
  <c r="J19" i="40"/>
  <c r="AC19" i="40" s="1"/>
  <c r="W9" i="39"/>
  <c r="U14" i="39"/>
  <c r="H32" i="39"/>
  <c r="U32" i="39" s="1"/>
  <c r="F21" i="39"/>
  <c r="AA21" i="39" s="1"/>
  <c r="F37" i="47"/>
  <c r="B35" i="47" s="1"/>
  <c r="F31" i="37"/>
  <c r="AA31" i="37" s="1"/>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S37" i="40"/>
  <c r="H19" i="33"/>
  <c r="AB19" i="33"/>
  <c r="AB23" i="33"/>
  <c r="U23" i="33"/>
  <c r="W23" i="33"/>
  <c r="AA41" i="33"/>
  <c r="J23" i="34"/>
  <c r="W23" i="34"/>
  <c r="AC30" i="40"/>
  <c r="AB17" i="39"/>
  <c r="W22" i="35"/>
  <c r="S30" i="36"/>
  <c r="E106" i="21"/>
  <c r="F106" i="21" s="1"/>
  <c r="E101" i="33"/>
  <c r="F101" i="33" s="1"/>
  <c r="F32" i="33"/>
  <c r="AA32" i="33"/>
  <c r="H9" i="34"/>
  <c r="AB9" i="34"/>
  <c r="W27" i="34"/>
  <c r="AC27" i="34"/>
  <c r="H28" i="34"/>
  <c r="U28" i="34"/>
  <c r="E116" i="34"/>
  <c r="F116" i="34"/>
  <c r="G116" i="34" s="1"/>
  <c r="H116" i="34"/>
  <c r="I116" i="34" s="1"/>
  <c r="J116" i="34" s="1"/>
  <c r="K116" i="34" s="1"/>
  <c r="L116" i="34" s="1"/>
  <c r="M116" i="34" s="1"/>
  <c r="J39" i="34"/>
  <c r="W39" i="34" s="1"/>
  <c r="J27" i="36"/>
  <c r="W27" i="36" s="1"/>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U31" i="21" s="1"/>
  <c r="F31" i="21"/>
  <c r="AA31" i="21" s="1"/>
  <c r="H39" i="21"/>
  <c r="U39" i="21" s="1"/>
  <c r="F117" i="21"/>
  <c r="G117" i="21"/>
  <c r="S9" i="21"/>
  <c r="AA15" i="33"/>
  <c r="S15" i="33"/>
  <c r="AA35" i="33"/>
  <c r="E117" i="33"/>
  <c r="F117" i="33" s="1"/>
  <c r="G117" i="33"/>
  <c r="J39" i="33"/>
  <c r="AC39" i="33"/>
  <c r="E125" i="33"/>
  <c r="H43" i="33"/>
  <c r="E91" i="33"/>
  <c r="F91" i="33" s="1"/>
  <c r="G91" i="33"/>
  <c r="H91" i="33" s="1"/>
  <c r="I91" i="33" s="1"/>
  <c r="J91" i="33" s="1"/>
  <c r="K91" i="33" s="1"/>
  <c r="L91" i="33" s="1"/>
  <c r="M91" i="33" s="1"/>
  <c r="F27" i="33"/>
  <c r="S27" i="33"/>
  <c r="H41" i="33"/>
  <c r="U41" i="33"/>
  <c r="AA11" i="34"/>
  <c r="S11" i="34"/>
  <c r="F80" i="34"/>
  <c r="H17" i="34"/>
  <c r="U17" i="34" s="1"/>
  <c r="H16" i="35"/>
  <c r="U16" i="35" s="1"/>
  <c r="J24" i="35"/>
  <c r="AC24" i="35" s="1"/>
  <c r="F24" i="35"/>
  <c r="H24" i="35"/>
  <c r="U24" i="35" s="1"/>
  <c r="H34" i="35"/>
  <c r="U34" i="35" s="1"/>
  <c r="F34" i="35"/>
  <c r="S34" i="35" s="1"/>
  <c r="G60" i="37"/>
  <c r="F10" i="37"/>
  <c r="AA10" i="37" s="1"/>
  <c r="J12" i="37"/>
  <c r="W12" i="37" s="1"/>
  <c r="F12" i="37"/>
  <c r="H27" i="37"/>
  <c r="F27" i="37"/>
  <c r="AA27" i="37" s="1"/>
  <c r="J27" i="37"/>
  <c r="AC27" i="37" s="1"/>
  <c r="J29" i="37"/>
  <c r="W29" i="37" s="1"/>
  <c r="F29" i="37"/>
  <c r="S29" i="37" s="1"/>
  <c r="H31" i="37"/>
  <c r="J36" i="37"/>
  <c r="J40" i="37"/>
  <c r="W40" i="37" s="1"/>
  <c r="F40" i="37"/>
  <c r="AA40" i="37" s="1"/>
  <c r="AB25" i="37"/>
  <c r="U8" i="39"/>
  <c r="AB8" i="39"/>
  <c r="J29" i="35"/>
  <c r="AC29" i="35"/>
  <c r="AC30" i="36"/>
  <c r="W30" i="36"/>
  <c r="H35" i="39"/>
  <c r="U35" i="39"/>
  <c r="J35" i="39"/>
  <c r="AC35" i="39"/>
  <c r="AA19" i="39"/>
  <c r="H16" i="36"/>
  <c r="U16" i="36" s="1"/>
  <c r="U32" i="37"/>
  <c r="E101" i="21"/>
  <c r="F101"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J23" i="39"/>
  <c r="W23" i="39" s="1"/>
  <c r="E97" i="39"/>
  <c r="F97" i="39" s="1"/>
  <c r="H15" i="37"/>
  <c r="AB15" i="37"/>
  <c r="F15" i="37"/>
  <c r="AA15" i="37"/>
  <c r="F38" i="40"/>
  <c r="AA38" i="40"/>
  <c r="J38" i="40"/>
  <c r="W38" i="40"/>
  <c r="H38" i="40"/>
  <c r="AB38" i="40"/>
  <c r="J40" i="40"/>
  <c r="AC40" i="40"/>
  <c r="H40" i="40"/>
  <c r="AB40" i="40"/>
  <c r="F40" i="40"/>
  <c r="AA40" i="40"/>
  <c r="N6" i="43"/>
  <c r="F70" i="43"/>
  <c r="H72" i="43" s="1"/>
  <c r="F48"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S27" i="37"/>
  <c r="AA34" i="35"/>
  <c r="AB24" i="35"/>
  <c r="J17" i="34"/>
  <c r="AC17" i="34"/>
  <c r="G80" i="34"/>
  <c r="F17" i="34"/>
  <c r="AA17" i="34" s="1"/>
  <c r="H27" i="33"/>
  <c r="AB27" i="33" s="1"/>
  <c r="F43" i="33"/>
  <c r="S43" i="33" s="1"/>
  <c r="F125" i="33"/>
  <c r="G125" i="33" s="1"/>
  <c r="J43" i="33"/>
  <c r="AC43" i="33" s="1"/>
  <c r="AB31" i="21"/>
  <c r="AA29" i="21"/>
  <c r="S29" i="21"/>
  <c r="W29" i="21"/>
  <c r="S37" i="34"/>
  <c r="H27" i="36"/>
  <c r="AB27" i="36"/>
  <c r="F27" i="36"/>
  <c r="AA27" i="36"/>
  <c r="J28" i="34"/>
  <c r="W28" i="34"/>
  <c r="H11" i="34"/>
  <c r="U11" i="34" s="1"/>
  <c r="S17" i="37"/>
  <c r="J11" i="37"/>
  <c r="AC11" i="37"/>
  <c r="AC36" i="34"/>
  <c r="W12" i="39"/>
  <c r="AC12" i="39"/>
  <c r="W9" i="34"/>
  <c r="S45" i="21"/>
  <c r="AB13" i="21"/>
  <c r="AC37" i="37"/>
  <c r="U38" i="40"/>
  <c r="F23" i="39"/>
  <c r="AA23" i="39"/>
  <c r="G97" i="39"/>
  <c r="S24" i="36"/>
  <c r="F44" i="34"/>
  <c r="F126" i="34"/>
  <c r="G126" i="34" s="1"/>
  <c r="J44" i="34"/>
  <c r="AC44" i="34" s="1"/>
  <c r="W27" i="37"/>
  <c r="H60" i="37"/>
  <c r="H10" i="37"/>
  <c r="U10" i="37"/>
  <c r="AA27" i="33"/>
  <c r="S31" i="21"/>
  <c r="AB29" i="21"/>
  <c r="AC27" i="36"/>
  <c r="U9" i="34"/>
  <c r="G101" i="33"/>
  <c r="H101" i="33" s="1"/>
  <c r="I101" i="33"/>
  <c r="J101" i="33" s="1"/>
  <c r="K101" i="33" s="1"/>
  <c r="L101" i="33" s="1"/>
  <c r="M101" i="33" s="1"/>
  <c r="J32" i="33"/>
  <c r="W32" i="33"/>
  <c r="H32" i="33"/>
  <c r="AB32" i="33"/>
  <c r="U45" i="21"/>
  <c r="U12" i="36"/>
  <c r="AC45" i="21"/>
  <c r="W45" i="21"/>
  <c r="W13" i="21"/>
  <c r="AC13" i="21"/>
  <c r="AA44" i="34"/>
  <c r="S44" i="34"/>
  <c r="S27" i="36"/>
  <c r="AB25" i="34"/>
  <c r="I60" i="37"/>
  <c r="J10" i="37"/>
  <c r="AC10" i="37"/>
  <c r="H23" i="39"/>
  <c r="AB23" i="39"/>
  <c r="J11" i="34"/>
  <c r="W11" i="34"/>
  <c r="J27" i="33"/>
  <c r="W27" i="33"/>
  <c r="W17" i="34"/>
  <c r="J25" i="34"/>
  <c r="W25" i="34" s="1"/>
  <c r="U23" i="39"/>
  <c r="AC11" i="34"/>
  <c r="H74" i="43"/>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C115" i="57"/>
  <c r="H111" i="57" s="1"/>
  <c r="F43" i="15"/>
  <c r="F72" i="15" s="1"/>
  <c r="D93" i="9"/>
  <c r="D37" i="11"/>
  <c r="C37" i="11" s="1"/>
  <c r="M29" i="15"/>
  <c r="P51" i="15"/>
  <c r="D10" i="11"/>
  <c r="C10" i="11" s="1"/>
  <c r="C2" i="31"/>
  <c r="I23" i="31" s="1"/>
  <c r="P60" i="15"/>
  <c r="D3" i="35"/>
  <c r="D3" i="34"/>
  <c r="D78" i="9"/>
  <c r="D94" i="57"/>
  <c r="D79" i="57"/>
  <c r="C114" i="57"/>
  <c r="H109" i="57" s="1"/>
  <c r="C112" i="57"/>
  <c r="H107" i="57" s="1"/>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15" i="21"/>
  <c r="AC37" i="21"/>
  <c r="U26" i="21"/>
  <c r="AB44" i="21"/>
  <c r="U30" i="21"/>
  <c r="AB36" i="21"/>
  <c r="AB21" i="21"/>
  <c r="U21" i="21"/>
  <c r="S13" i="21"/>
  <c r="AB11"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s="1"/>
  <c r="C18" i="9"/>
  <c r="D18" i="9" s="1"/>
  <c r="D22" i="15"/>
  <c r="T28" i="31"/>
  <c r="A14" i="52"/>
  <c r="B61" i="60" s="1"/>
  <c r="C29" i="11"/>
  <c r="D27" i="11" s="1"/>
  <c r="C47" i="11"/>
  <c r="D45" i="11" s="1"/>
  <c r="C36" i="57"/>
  <c r="F124" i="57" s="1"/>
  <c r="Y25" i="31"/>
  <c r="C35" i="57"/>
  <c r="D124" i="57" s="1"/>
  <c r="V25" i="31"/>
  <c r="A4" i="54"/>
  <c r="B6" i="60" s="1"/>
  <c r="L103" i="43"/>
  <c r="H102" i="43"/>
  <c r="D109" i="43"/>
  <c r="K107" i="43"/>
  <c r="C106" i="43"/>
  <c r="D3" i="21"/>
  <c r="H73" i="43"/>
  <c r="N9" i="43"/>
  <c r="M6" i="43"/>
  <c r="N11" i="43"/>
  <c r="M5" i="43"/>
  <c r="N2" i="43"/>
  <c r="F81" i="43"/>
  <c r="H85" i="43" s="1"/>
  <c r="N10" i="43"/>
  <c r="H13" i="44"/>
  <c r="H5" i="44"/>
  <c r="G59" i="40"/>
  <c r="C59" i="40"/>
  <c r="H11" i="44"/>
  <c r="A6" i="54"/>
  <c r="B7" i="60" s="1"/>
  <c r="C51" i="10"/>
  <c r="A8" i="54"/>
  <c r="B8" i="60" s="1"/>
  <c r="F2" i="34"/>
  <c r="F2" i="33"/>
  <c r="S29" i="31"/>
  <c r="D35" i="57"/>
  <c r="C117" i="57"/>
  <c r="H113" i="57" s="1"/>
  <c r="B104" i="57"/>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C18" i="12" s="1"/>
  <c r="M18" i="15"/>
  <c r="D69" i="57"/>
  <c r="F54" i="57"/>
  <c r="F31" i="12"/>
  <c r="C31" i="12" s="1"/>
  <c r="F52" i="9"/>
  <c r="F48" i="9"/>
  <c r="O52" i="9" s="1"/>
  <c r="F30" i="11"/>
  <c r="F32" i="15"/>
  <c r="F61" i="15" s="1"/>
  <c r="F28" i="15"/>
  <c r="C28" i="15" s="1"/>
  <c r="F49" i="57"/>
  <c r="O53" i="57" s="1"/>
  <c r="F55" i="57"/>
  <c r="F53" i="57"/>
  <c r="F54" i="9"/>
  <c r="D68" i="9"/>
  <c r="F53" i="9"/>
  <c r="G22" i="11"/>
  <c r="G41" i="11"/>
  <c r="E48" i="43"/>
  <c r="B46" i="43" s="1"/>
  <c r="H113" i="43"/>
  <c r="X7" i="43"/>
  <c r="E59" i="43"/>
  <c r="B57" i="43"/>
  <c r="E70" i="43"/>
  <c r="B68" i="43"/>
  <c r="H22" i="43"/>
  <c r="AI11" i="43"/>
  <c r="AI13" i="43" s="1"/>
  <c r="AG11" i="43"/>
  <c r="AE11" i="43"/>
  <c r="AE13" i="43" s="1"/>
  <c r="AC11" i="43"/>
  <c r="AA11" i="43"/>
  <c r="AA13" i="43" s="1"/>
  <c r="Y11" i="43"/>
  <c r="Y13" i="43" s="1"/>
  <c r="S6" i="43"/>
  <c r="S2" i="43"/>
  <c r="AJ11" i="43"/>
  <c r="AJ13" i="43" s="1"/>
  <c r="AH11" i="43"/>
  <c r="AF11" i="43"/>
  <c r="AD11" i="43"/>
  <c r="AB11" i="43"/>
  <c r="AB13" i="43" s="1"/>
  <c r="Z11" i="43"/>
  <c r="Z7" i="43"/>
  <c r="S7" i="43"/>
  <c r="S5" i="43"/>
  <c r="S3" i="43"/>
  <c r="S4" i="43"/>
  <c r="E9" i="43"/>
  <c r="C7" i="43" s="1"/>
  <c r="E8" i="43"/>
  <c r="E10" i="43"/>
  <c r="E11" i="43"/>
  <c r="H60" i="43"/>
  <c r="C92" i="9"/>
  <c r="C7" i="39"/>
  <c r="C68" i="39"/>
  <c r="C70" i="39" s="1"/>
  <c r="C53" i="10"/>
  <c r="D123" i="9"/>
  <c r="D6" i="52" s="1"/>
  <c r="D124" i="9"/>
  <c r="D7" i="52" s="1"/>
  <c r="M48" i="57"/>
  <c r="D63" i="40"/>
  <c r="D65" i="40" s="1"/>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H59" i="43"/>
  <c r="H61" i="43"/>
  <c r="H77" i="43"/>
  <c r="H78" i="43"/>
  <c r="I104" i="43"/>
  <c r="J109" i="43"/>
  <c r="H48" i="43"/>
  <c r="I115" i="43"/>
  <c r="J115" i="43"/>
  <c r="K115" i="43" s="1"/>
  <c r="L115" i="43" s="1"/>
  <c r="M115" i="43" s="1"/>
  <c r="L106" i="43"/>
  <c r="L104" i="43"/>
  <c r="L102" i="43"/>
  <c r="H104" i="43"/>
  <c r="H103" i="43"/>
  <c r="D105" i="43"/>
  <c r="D106" i="43"/>
  <c r="D102" i="43"/>
  <c r="K105" i="43"/>
  <c r="K103" i="43"/>
  <c r="G106" i="43"/>
  <c r="G104" i="43"/>
  <c r="G102" i="43"/>
  <c r="C105" i="43"/>
  <c r="C103" i="43"/>
  <c r="M60" i="15"/>
  <c r="H70" i="43"/>
  <c r="H75" i="43"/>
  <c r="H71" i="43"/>
  <c r="H76" i="43"/>
  <c r="D115" i="43"/>
  <c r="E115" i="43" s="1"/>
  <c r="B117" i="43"/>
  <c r="C117" i="43"/>
  <c r="M109" i="43"/>
  <c r="I107" i="43"/>
  <c r="N106" i="43"/>
  <c r="J105" i="43"/>
  <c r="F104" i="43"/>
  <c r="G37" i="47"/>
  <c r="C23" i="43"/>
  <c r="G19" i="43"/>
  <c r="P25" i="43" s="1"/>
  <c r="F36" i="43"/>
  <c r="C17" i="43"/>
  <c r="C16" i="43" s="1"/>
  <c r="C5" i="43" s="1"/>
  <c r="F35" i="43"/>
  <c r="F37" i="43"/>
  <c r="F39" i="43"/>
  <c r="G17" i="43"/>
  <c r="C7" i="34"/>
  <c r="C59" i="34"/>
  <c r="D59" i="34" s="1"/>
  <c r="E59" i="34" s="1"/>
  <c r="F59" i="34" s="1"/>
  <c r="G59" i="34" s="1"/>
  <c r="H59" i="34" s="1"/>
  <c r="I59" i="34" s="1"/>
  <c r="J59" i="34" s="1"/>
  <c r="K59" i="34" s="1"/>
  <c r="L59" i="34" s="1"/>
  <c r="M59" i="34" s="1"/>
  <c r="N59" i="34" s="1"/>
  <c r="O59" i="34" s="1"/>
  <c r="C7" i="36"/>
  <c r="C46" i="36" s="1"/>
  <c r="F38" i="43"/>
  <c r="A10" i="52"/>
  <c r="B66" i="60"/>
  <c r="J20" i="15"/>
  <c r="H86" i="43"/>
  <c r="K86" i="43"/>
  <c r="J86" i="43"/>
  <c r="D86" i="43"/>
  <c r="H87" i="43"/>
  <c r="M87" i="43"/>
  <c r="N87" i="43"/>
  <c r="K82" i="43"/>
  <c r="J82" i="43" s="1"/>
  <c r="D82" i="43"/>
  <c r="M83" i="43"/>
  <c r="N83" i="43" s="1"/>
  <c r="H64" i="43"/>
  <c r="H65" i="43"/>
  <c r="H52" i="43"/>
  <c r="H53" i="43"/>
  <c r="I116" i="43"/>
  <c r="J116" i="43" s="1"/>
  <c r="K116" i="43" s="1"/>
  <c r="L116" i="43" s="1"/>
  <c r="M116" i="43" s="1"/>
  <c r="D117" i="43"/>
  <c r="E117" i="43"/>
  <c r="F117" i="43" s="1"/>
  <c r="G117" i="43" s="1"/>
  <c r="H117" i="43" s="1"/>
  <c r="B118" i="43"/>
  <c r="C118" i="43" s="1"/>
  <c r="B116" i="43"/>
  <c r="C116" i="43" s="1"/>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s="1"/>
  <c r="K83" i="43"/>
  <c r="J83" i="43" s="1"/>
  <c r="D83" i="43"/>
  <c r="H84" i="43"/>
  <c r="H66" i="43"/>
  <c r="H62" i="43"/>
  <c r="H67" i="43"/>
  <c r="H54" i="43"/>
  <c r="H50" i="43"/>
  <c r="H55" i="43"/>
  <c r="F51" i="15"/>
  <c r="F60" i="15" s="1"/>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c r="F116" i="43" s="1"/>
  <c r="G116" i="43" s="1"/>
  <c r="H116" i="43" s="1"/>
  <c r="D118" i="43"/>
  <c r="E118" i="43" s="1"/>
  <c r="F118" i="43" s="1"/>
  <c r="G118" i="43"/>
  <c r="H118" i="43"/>
  <c r="M7" i="15"/>
  <c r="M17" i="15" s="1"/>
  <c r="F35" i="15"/>
  <c r="F64" i="15" s="1"/>
  <c r="C63" i="15" s="1"/>
  <c r="E18" i="1"/>
  <c r="C14" i="15"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AC34" i="37"/>
  <c r="U29" i="37"/>
  <c r="U30" i="37"/>
  <c r="S40" i="37"/>
  <c r="AC29" i="37"/>
  <c r="U26" i="37"/>
  <c r="AC13" i="37"/>
  <c r="U38" i="37"/>
  <c r="AA13" i="37"/>
  <c r="AA8" i="37"/>
  <c r="W25"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U37" i="33"/>
  <c r="U19" i="33"/>
  <c r="AC32" i="33"/>
  <c r="AA43" i="33"/>
  <c r="S32" i="33"/>
  <c r="U33" i="33"/>
  <c r="AA28" i="33"/>
  <c r="U30" i="33"/>
  <c r="S39" i="33"/>
  <c r="AB26" i="33"/>
  <c r="AA36" i="33"/>
  <c r="W35" i="33"/>
  <c r="W40" i="33"/>
  <c r="W26" i="33"/>
  <c r="S33" i="33"/>
  <c r="U35" i="33"/>
  <c r="U32" i="33"/>
  <c r="AC45" i="33"/>
  <c r="AB29" i="33"/>
  <c r="AB36" i="33"/>
  <c r="W15" i="33"/>
  <c r="AA19" i="33"/>
  <c r="W8" i="33"/>
  <c r="J21" i="21"/>
  <c r="W21" i="21" s="1"/>
  <c r="AC31" i="21"/>
  <c r="AB25" i="21"/>
  <c r="AA25" i="21"/>
  <c r="S46" i="21"/>
  <c r="AC46" i="21"/>
  <c r="C15" i="39"/>
  <c r="C17" i="39"/>
  <c r="C19" i="39"/>
  <c r="C15" i="40"/>
  <c r="C17" i="40"/>
  <c r="B54" i="43"/>
  <c r="B65" i="43"/>
  <c r="U30" i="40"/>
  <c r="B49" i="43"/>
  <c r="B52" i="43"/>
  <c r="B56" i="43"/>
  <c r="B63" i="43"/>
  <c r="B67" i="43"/>
  <c r="C34" i="15"/>
  <c r="N60" i="15"/>
  <c r="L60" i="15"/>
  <c r="Q72" i="15" s="1"/>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M86" i="43"/>
  <c r="N86" i="43" s="1"/>
  <c r="T25" i="31"/>
  <c r="S25" i="31"/>
  <c r="B23" i="31" s="1"/>
  <c r="B2" i="31" s="1"/>
  <c r="C33" i="57" s="1"/>
  <c r="H124" i="57" s="1"/>
  <c r="J6" i="15"/>
  <c r="F34" i="11"/>
  <c r="E19" i="1"/>
  <c r="D20" i="1"/>
  <c r="D18" i="1"/>
  <c r="F50" i="11"/>
  <c r="F19" i="1"/>
  <c r="F18" i="1"/>
  <c r="D19" i="1"/>
  <c r="K87" i="43"/>
  <c r="J87" i="43"/>
  <c r="D87" i="43"/>
  <c r="E3" i="4"/>
  <c r="B5" i="55" s="1"/>
  <c r="B55" i="60" s="1"/>
  <c r="D5" i="43"/>
  <c r="C3" i="4"/>
  <c r="B4" i="55" s="1"/>
  <c r="B53" i="60" s="1"/>
  <c r="P23" i="43"/>
  <c r="K106" i="9"/>
  <c r="O19" i="43"/>
  <c r="E63" i="40"/>
  <c r="E65" i="40" s="1"/>
  <c r="C115" i="43"/>
  <c r="J22" i="43"/>
  <c r="C21" i="43"/>
  <c r="M84" i="43"/>
  <c r="N84" i="43"/>
  <c r="K84" i="43"/>
  <c r="J84" i="43"/>
  <c r="D84" i="43"/>
  <c r="M81" i="43"/>
  <c r="N81" i="43" s="1"/>
  <c r="K81" i="43"/>
  <c r="J81" i="43" s="1"/>
  <c r="D81" i="43"/>
  <c r="M88" i="43"/>
  <c r="N88" i="43"/>
  <c r="K88" i="43"/>
  <c r="J88" i="43"/>
  <c r="D88" i="43"/>
  <c r="I55" i="15"/>
  <c r="I113" i="57"/>
  <c r="M50" i="57" s="1"/>
  <c r="L68" i="57" s="1"/>
  <c r="M68" i="57" s="1"/>
  <c r="B40" i="1"/>
  <c r="M27" i="15" s="1"/>
  <c r="C11" i="12"/>
  <c r="C15" i="12" s="1"/>
  <c r="C34" i="11"/>
  <c r="C38" i="11" s="1"/>
  <c r="E81" i="43"/>
  <c r="B79" i="43" s="1"/>
  <c r="B18" i="49"/>
  <c r="B4" i="60" s="1"/>
  <c r="F63" i="40"/>
  <c r="F65" i="40" s="1"/>
  <c r="C24" i="43"/>
  <c r="C13" i="12"/>
  <c r="C36" i="11"/>
  <c r="D117" i="57"/>
  <c r="D118" i="57"/>
  <c r="I114" i="57" s="1"/>
  <c r="D131" i="57" s="1"/>
  <c r="L69" i="57"/>
  <c r="M69" i="57" s="1"/>
  <c r="L67" i="57"/>
  <c r="M67" i="57" s="1"/>
  <c r="L65" i="57"/>
  <c r="M65" i="57" s="1"/>
  <c r="D133" i="57"/>
  <c r="M57" i="57"/>
  <c r="D119" i="57"/>
  <c r="I115" i="57"/>
  <c r="D132" i="57" s="1"/>
  <c r="I14" i="62" s="1"/>
  <c r="B8" i="62" s="1"/>
  <c r="M56" i="9"/>
  <c r="D130" i="9"/>
  <c r="D13" i="52"/>
  <c r="I112" i="9"/>
  <c r="M49" i="9" s="1"/>
  <c r="D114" i="9"/>
  <c r="D115" i="9"/>
  <c r="I113" i="9" s="1"/>
  <c r="D128" i="9" s="1"/>
  <c r="D11" i="52" s="1"/>
  <c r="D39" i="50"/>
  <c r="D40" i="50" s="1"/>
  <c r="D18" i="50"/>
  <c r="D127" i="9"/>
  <c r="D10" i="52" s="1"/>
  <c r="D19" i="50"/>
  <c r="B32" i="60" s="1"/>
  <c r="B31" i="60"/>
  <c r="L67" i="9"/>
  <c r="M67" i="9" s="1"/>
  <c r="L65" i="9"/>
  <c r="M65" i="9" s="1"/>
  <c r="L66" i="9"/>
  <c r="M66" i="9" s="1"/>
  <c r="L68" i="9"/>
  <c r="M68" i="9" s="1"/>
  <c r="L63" i="9"/>
  <c r="M63" i="9" s="1"/>
  <c r="M69" i="9" s="1"/>
  <c r="N69" i="9" s="1"/>
  <c r="L64" i="9"/>
  <c r="M64" i="9" s="1"/>
  <c r="I114" i="9"/>
  <c r="D42" i="50" s="1"/>
  <c r="D116" i="9"/>
  <c r="D129" i="9"/>
  <c r="D12" i="52" s="1"/>
  <c r="D21" i="50"/>
  <c r="D43" i="50"/>
  <c r="E2" i="35"/>
  <c r="E2" i="11"/>
  <c r="C19" i="57"/>
  <c r="E2" i="37"/>
  <c r="D19" i="57"/>
  <c r="D20" i="57"/>
  <c r="E2" i="33"/>
  <c r="C20" i="57"/>
  <c r="E2" i="36"/>
  <c r="E2" i="34"/>
  <c r="H23" i="31"/>
  <c r="B60" i="43" l="1"/>
  <c r="B6" i="48"/>
  <c r="D6" i="48" s="1"/>
  <c r="F4" i="48"/>
  <c r="H4" i="48" s="1"/>
  <c r="F11" i="48"/>
  <c r="H11" i="48" s="1"/>
  <c r="F10" i="48"/>
  <c r="H10" i="48" s="1"/>
  <c r="F9" i="48"/>
  <c r="H9" i="48" s="1"/>
  <c r="F123" i="21"/>
  <c r="G123" i="21" s="1"/>
  <c r="H123" i="21" s="1"/>
  <c r="I123" i="21" s="1"/>
  <c r="J123" i="21" s="1"/>
  <c r="K123" i="21" s="1"/>
  <c r="L123" i="21" s="1"/>
  <c r="M123" i="21" s="1"/>
  <c r="H42" i="21"/>
  <c r="AB42" i="21" s="1"/>
  <c r="F42" i="21"/>
  <c r="AA42" i="21" s="1"/>
  <c r="J42" i="21"/>
  <c r="G119" i="21"/>
  <c r="H119" i="21" s="1"/>
  <c r="I119" i="21" s="1"/>
  <c r="J119" i="21" s="1"/>
  <c r="K119" i="21" s="1"/>
  <c r="L119" i="21" s="1"/>
  <c r="M119" i="21" s="1"/>
  <c r="H40" i="21"/>
  <c r="F40" i="21"/>
  <c r="AA40" i="21" s="1"/>
  <c r="J40" i="21"/>
  <c r="AC40" i="21" s="1"/>
  <c r="G106" i="21"/>
  <c r="H106" i="21" s="1"/>
  <c r="I106" i="21" s="1"/>
  <c r="J106" i="21" s="1"/>
  <c r="K106" i="21" s="1"/>
  <c r="L106" i="21" s="1"/>
  <c r="M106" i="21" s="1"/>
  <c r="F34" i="21"/>
  <c r="S34" i="21" s="1"/>
  <c r="J34" i="21"/>
  <c r="AC34" i="21" s="1"/>
  <c r="H34" i="21"/>
  <c r="G101" i="21"/>
  <c r="H101" i="21" s="1"/>
  <c r="I101" i="21" s="1"/>
  <c r="J101" i="21" s="1"/>
  <c r="K101" i="21" s="1"/>
  <c r="L101" i="21" s="1"/>
  <c r="M101" i="21" s="1"/>
  <c r="J32" i="21"/>
  <c r="F32" i="21"/>
  <c r="H32" i="21"/>
  <c r="U32" i="21" s="1"/>
  <c r="AB15" i="21"/>
  <c r="F66" i="21"/>
  <c r="G66" i="21" s="1"/>
  <c r="H66" i="21" s="1"/>
  <c r="I66" i="21" s="1"/>
  <c r="F10" i="21"/>
  <c r="AA10" i="21" s="1"/>
  <c r="H10" i="21"/>
  <c r="AB10" i="21" s="1"/>
  <c r="J10" i="21"/>
  <c r="U43" i="21"/>
  <c r="AA43" i="21"/>
  <c r="W43" i="21"/>
  <c r="S42" i="21"/>
  <c r="W39" i="21"/>
  <c r="AB39" i="21"/>
  <c r="B14" i="48"/>
  <c r="D14" i="48" s="1"/>
  <c r="B10" i="48"/>
  <c r="D10" i="48" s="1"/>
  <c r="B7" i="48"/>
  <c r="D7" i="48" s="1"/>
  <c r="B5" i="48"/>
  <c r="D5" i="48" s="1"/>
  <c r="F16" i="48"/>
  <c r="H16" i="48" s="1"/>
  <c r="AC38" i="21"/>
  <c r="AC36" i="21"/>
  <c r="AA34" i="21"/>
  <c r="U28" i="21"/>
  <c r="AA26" i="21"/>
  <c r="AC26" i="21"/>
  <c r="AB46" i="21"/>
  <c r="U42" i="21"/>
  <c r="W40" i="21"/>
  <c r="AA39" i="21"/>
  <c r="S38" i="21"/>
  <c r="AB38" i="21"/>
  <c r="AA36" i="21"/>
  <c r="S35" i="21"/>
  <c r="W34" i="21"/>
  <c r="U33" i="21"/>
  <c r="AB32" i="21"/>
  <c r="AC28" i="21"/>
  <c r="AA28" i="21"/>
  <c r="S27" i="21"/>
  <c r="AC27" i="21"/>
  <c r="U27" i="21"/>
  <c r="S23" i="21"/>
  <c r="W23" i="21"/>
  <c r="AB23" i="21"/>
  <c r="S21" i="21"/>
  <c r="AC21" i="21"/>
  <c r="AC19" i="21"/>
  <c r="U19" i="21"/>
  <c r="S19" i="21"/>
  <c r="U17" i="21"/>
  <c r="S17" i="21"/>
  <c r="AC15" i="21"/>
  <c r="S10" i="21"/>
  <c r="W8" i="21"/>
  <c r="P72" i="15"/>
  <c r="C50" i="15"/>
  <c r="F7" i="48"/>
  <c r="H7" i="48" s="1"/>
  <c r="F21" i="48"/>
  <c r="H21" i="48" s="1"/>
  <c r="B16" i="48"/>
  <c r="D16" i="48" s="1"/>
  <c r="B13" i="48"/>
  <c r="D13" i="48" s="1"/>
  <c r="B8" i="48"/>
  <c r="D8" i="48" s="1"/>
  <c r="B9" i="48"/>
  <c r="D9" i="48" s="1"/>
  <c r="B4" i="48"/>
  <c r="D4" i="48" s="1"/>
  <c r="F22" i="48"/>
  <c r="H22" i="48" s="1"/>
  <c r="B22" i="48"/>
  <c r="D22" i="48" s="1"/>
  <c r="F8" i="48"/>
  <c r="H8" i="48" s="1"/>
  <c r="B74" i="43"/>
  <c r="C93" i="57"/>
  <c r="C95" i="57"/>
  <c r="C35" i="11"/>
  <c r="C33" i="11" s="1"/>
  <c r="L49" i="15"/>
  <c r="I20" i="43"/>
  <c r="C20" i="43" s="1"/>
  <c r="B14" i="1"/>
  <c r="H10" i="39" s="1"/>
  <c r="U10" i="39" s="1"/>
  <c r="J54" i="15"/>
  <c r="B33" i="1" s="1"/>
  <c r="F41" i="15" s="1"/>
  <c r="F70" i="15" s="1"/>
  <c r="C111" i="9"/>
  <c r="H108" i="9" s="1"/>
  <c r="C109" i="9"/>
  <c r="H106" i="9" s="1"/>
  <c r="H105" i="9"/>
  <c r="C106" i="9"/>
  <c r="H102" i="9" s="1"/>
  <c r="D41" i="50"/>
  <c r="B63" i="60" s="1"/>
  <c r="L64" i="57"/>
  <c r="M64" i="57" s="1"/>
  <c r="M70" i="57" s="1"/>
  <c r="N70" i="57" s="1"/>
  <c r="L66" i="57"/>
  <c r="M66" i="57" s="1"/>
  <c r="C21" i="50"/>
  <c r="C119" i="57"/>
  <c r="H115" i="57" s="1"/>
  <c r="C114" i="9"/>
  <c r="H112" i="9" s="1"/>
  <c r="C110" i="9"/>
  <c r="H107" i="9" s="1"/>
  <c r="C109" i="57"/>
  <c r="H103" i="57" s="1"/>
  <c r="D20" i="50"/>
  <c r="C12" i="12"/>
  <c r="C16" i="12" s="1"/>
  <c r="C21" i="12" s="1"/>
  <c r="C22" i="12" s="1"/>
  <c r="D48" i="35"/>
  <c r="E48" i="35" s="1"/>
  <c r="F48" i="35" s="1"/>
  <c r="G48" i="35" s="1"/>
  <c r="H48" i="35" s="1"/>
  <c r="I48" i="35" s="1"/>
  <c r="J48" i="35" s="1"/>
  <c r="K48" i="35" s="1"/>
  <c r="L48" i="35" s="1"/>
  <c r="M48" i="35" s="1"/>
  <c r="N48" i="35" s="1"/>
  <c r="O48" i="35" s="1"/>
  <c r="F7" i="35"/>
  <c r="H7" i="35"/>
  <c r="J7" i="35"/>
  <c r="G63" i="40"/>
  <c r="G19" i="57"/>
  <c r="C102" i="57"/>
  <c r="D22" i="57"/>
  <c r="D102" i="57"/>
  <c r="C103" i="57"/>
  <c r="G20" i="57"/>
  <c r="C104" i="57" s="1"/>
  <c r="D103" i="57"/>
  <c r="C8" i="62"/>
  <c r="D8" i="62"/>
  <c r="C15" i="15"/>
  <c r="C16" i="15"/>
  <c r="C18" i="15"/>
  <c r="D113" i="43"/>
  <c r="F115" i="43"/>
  <c r="G115" i="43" s="1"/>
  <c r="H115" i="43" s="1"/>
  <c r="D58" i="33"/>
  <c r="E58" i="33" s="1"/>
  <c r="F58" i="33" s="1"/>
  <c r="G58" i="33" s="1"/>
  <c r="H58" i="33" s="1"/>
  <c r="I58" i="33" s="1"/>
  <c r="J58" i="33" s="1"/>
  <c r="K58" i="33" s="1"/>
  <c r="L58" i="33" s="1"/>
  <c r="M58" i="33" s="1"/>
  <c r="N58" i="33" s="1"/>
  <c r="O58" i="33" s="1"/>
  <c r="C20" i="11"/>
  <c r="D22" i="50"/>
  <c r="B35" i="60" s="1"/>
  <c r="B33" i="60"/>
  <c r="AB10" i="39"/>
  <c r="C106" i="57"/>
  <c r="I103" i="57"/>
  <c r="H125" i="57"/>
  <c r="D14" i="62"/>
  <c r="D109" i="57"/>
  <c r="D115" i="57" s="1"/>
  <c r="D46" i="36"/>
  <c r="E46" i="36" s="1"/>
  <c r="F46" i="36" s="1"/>
  <c r="G46" i="36" s="1"/>
  <c r="H46" i="36" s="1"/>
  <c r="I46" i="36" s="1"/>
  <c r="J46" i="36" s="1"/>
  <c r="K46" i="36" s="1"/>
  <c r="L46" i="36" s="1"/>
  <c r="M46" i="36" s="1"/>
  <c r="N46" i="36" s="1"/>
  <c r="O46" i="36" s="1"/>
  <c r="J7" i="36" s="1"/>
  <c r="H7" i="36"/>
  <c r="F7" i="36"/>
  <c r="D52" i="37"/>
  <c r="E52" i="37" s="1"/>
  <c r="F52" i="37" s="1"/>
  <c r="G52" i="37" s="1"/>
  <c r="H52" i="37" s="1"/>
  <c r="I52" i="37" s="1"/>
  <c r="J52" i="37" s="1"/>
  <c r="K52" i="37" s="1"/>
  <c r="L52" i="37" s="1"/>
  <c r="M52" i="37" s="1"/>
  <c r="N52" i="37" s="1"/>
  <c r="O52" i="37" s="1"/>
  <c r="H7" i="37"/>
  <c r="D58" i="21"/>
  <c r="E58" i="21" s="1"/>
  <c r="F58" i="21" s="1"/>
  <c r="G58" i="21" s="1"/>
  <c r="H58" i="21" s="1"/>
  <c r="I58" i="21" s="1"/>
  <c r="J58" i="21" s="1"/>
  <c r="K58" i="21" s="1"/>
  <c r="L58" i="21" s="1"/>
  <c r="M58" i="21" s="1"/>
  <c r="N58" i="21" s="1"/>
  <c r="O58" i="21" s="1"/>
  <c r="H7" i="21"/>
  <c r="D125" i="57"/>
  <c r="E124" i="57"/>
  <c r="G124" i="57"/>
  <c r="F125" i="57"/>
  <c r="D130" i="57"/>
  <c r="H14" i="62" s="1"/>
  <c r="B7" i="62" s="1"/>
  <c r="F10" i="39"/>
  <c r="H7" i="34"/>
  <c r="J7" i="34"/>
  <c r="F7" i="34"/>
  <c r="Q59" i="15"/>
  <c r="P22" i="43"/>
  <c r="P24" i="43"/>
  <c r="B66" i="40" s="1"/>
  <c r="P21" i="43"/>
  <c r="B71" i="39" s="1"/>
  <c r="R25" i="31"/>
  <c r="B24" i="31" s="1"/>
  <c r="B3" i="31" s="1"/>
  <c r="C34" i="57" s="1"/>
  <c r="I124" i="57" s="1"/>
  <c r="H81" i="43"/>
  <c r="H88" i="43"/>
  <c r="H83" i="43"/>
  <c r="H82" i="43"/>
  <c r="D68" i="39"/>
  <c r="U27" i="33"/>
  <c r="AB11" i="34"/>
  <c r="H51" i="43"/>
  <c r="H56" i="43"/>
  <c r="W36" i="37"/>
  <c r="AC36" i="37"/>
  <c r="U27" i="37"/>
  <c r="AB27" i="37"/>
  <c r="AA24" i="35"/>
  <c r="S24" i="35"/>
  <c r="U34" i="21"/>
  <c r="AB34" i="21"/>
  <c r="AC40" i="34"/>
  <c r="W40" i="34"/>
  <c r="AA26" i="37"/>
  <c r="S26" i="37"/>
  <c r="AB31" i="37"/>
  <c r="U31" i="37"/>
  <c r="S12" i="37"/>
  <c r="AA12" i="37"/>
  <c r="U43" i="33"/>
  <c r="AB43" i="33"/>
  <c r="B103" i="9"/>
  <c r="AB21" i="39"/>
  <c r="W25" i="21"/>
  <c r="AA15" i="39"/>
  <c r="AB25" i="39"/>
  <c r="AA30" i="33"/>
  <c r="U31" i="33"/>
  <c r="U32" i="36"/>
  <c r="AC13" i="36"/>
  <c r="AC32" i="34"/>
  <c r="W30" i="33"/>
  <c r="W28" i="37"/>
  <c r="AB14" i="33"/>
  <c r="W13" i="35"/>
  <c r="S25" i="33"/>
  <c r="U15" i="34"/>
  <c r="AC23" i="36"/>
  <c r="W23" i="36"/>
  <c r="H12" i="21"/>
  <c r="J12" i="21"/>
  <c r="F12" i="34"/>
  <c r="F9" i="35"/>
  <c r="H9" i="35"/>
  <c r="F12" i="35"/>
  <c r="H12" i="35"/>
  <c r="J36" i="35"/>
  <c r="H23" i="36"/>
  <c r="I21" i="58"/>
  <c r="D1" i="58"/>
  <c r="E10" i="58" s="1"/>
  <c r="C41" i="59"/>
  <c r="D40" i="59"/>
  <c r="N100" i="43"/>
  <c r="J100" i="43"/>
  <c r="F100" i="43"/>
  <c r="M100" i="43"/>
  <c r="I100" i="43"/>
  <c r="E100" i="43"/>
  <c r="C6" i="15"/>
  <c r="C29" i="39"/>
  <c r="C25" i="40"/>
  <c r="B55" i="43"/>
  <c r="B75" i="43"/>
  <c r="X11" i="59"/>
  <c r="E12" i="59"/>
  <c r="E13" i="59" s="1"/>
  <c r="E14" i="59" s="1"/>
  <c r="U14" i="59" s="1"/>
  <c r="F12" i="59"/>
  <c r="F13" i="59" s="1"/>
  <c r="F14" i="59" s="1"/>
  <c r="V14" i="59" s="1"/>
  <c r="X15" i="59"/>
  <c r="E16" i="59"/>
  <c r="E17" i="59" s="1"/>
  <c r="E18" i="59" s="1"/>
  <c r="U18" i="59" s="1"/>
  <c r="F16" i="59"/>
  <c r="F17" i="59" s="1"/>
  <c r="F18" i="59" s="1"/>
  <c r="V18" i="59" s="1"/>
  <c r="AB16" i="59"/>
  <c r="AB17" i="59"/>
  <c r="X19" i="59"/>
  <c r="E20" i="59"/>
  <c r="E21" i="59" s="1"/>
  <c r="E22" i="59" s="1"/>
  <c r="U22" i="59" s="1"/>
  <c r="AB19" i="59"/>
  <c r="F20" i="59"/>
  <c r="F21" i="59" s="1"/>
  <c r="F22" i="59" s="1"/>
  <c r="V22" i="59" s="1"/>
  <c r="AB20" i="59"/>
  <c r="F37" i="59"/>
  <c r="F38" i="59" s="1"/>
  <c r="V38" i="59" s="1"/>
  <c r="F45" i="59"/>
  <c r="F46" i="59" s="1"/>
  <c r="V46" i="59" s="1"/>
  <c r="S58" i="59"/>
  <c r="B57" i="59"/>
  <c r="B56" i="59" s="1"/>
  <c r="B24" i="60"/>
  <c r="C14" i="50"/>
  <c r="AJ10" i="43"/>
  <c r="V58" i="59"/>
  <c r="F57" i="59"/>
  <c r="F56" i="59" s="1"/>
  <c r="Z12" i="43"/>
  <c r="Z13" i="43" s="1"/>
  <c r="Z10" i="43"/>
  <c r="AD12" i="43"/>
  <c r="AD13" i="43" s="1"/>
  <c r="AD10" i="43"/>
  <c r="AF12" i="43"/>
  <c r="AF13" i="43" s="1"/>
  <c r="AF10" i="43"/>
  <c r="AH12" i="43"/>
  <c r="AH13" i="43" s="1"/>
  <c r="AH10" i="43"/>
  <c r="L1" i="61"/>
  <c r="J1" i="61"/>
  <c r="AA5" i="59"/>
  <c r="Y5" i="59"/>
  <c r="Z5" i="59" s="1"/>
  <c r="AB5" i="59"/>
  <c r="P50" i="59"/>
  <c r="AC12" i="43"/>
  <c r="AC13" i="43" s="1"/>
  <c r="AC10" i="43"/>
  <c r="AG12" i="43"/>
  <c r="AG13" i="43" s="1"/>
  <c r="AG10" i="43"/>
  <c r="AB6" i="59"/>
  <c r="X6" i="59"/>
  <c r="J56" i="9"/>
  <c r="J57" i="9" s="1"/>
  <c r="J59" i="9" s="1"/>
  <c r="J61" i="9" s="1"/>
  <c r="K57" i="57"/>
  <c r="AA6" i="59"/>
  <c r="X5" i="59"/>
  <c r="Y6" i="59"/>
  <c r="Z6" i="59" s="1"/>
  <c r="C6" i="59"/>
  <c r="AC42" i="21" l="1"/>
  <c r="W42" i="21"/>
  <c r="S40" i="21"/>
  <c r="AB40" i="21"/>
  <c r="U40" i="21"/>
  <c r="W32" i="21"/>
  <c r="AC32" i="21"/>
  <c r="S32" i="21"/>
  <c r="AA32" i="21"/>
  <c r="U10" i="21"/>
  <c r="AC10" i="21"/>
  <c r="W10" i="21"/>
  <c r="C19" i="15"/>
  <c r="C20" i="15" s="1"/>
  <c r="C26" i="15" s="1"/>
  <c r="J10" i="40"/>
  <c r="H10" i="40"/>
  <c r="Q50" i="15"/>
  <c r="J10" i="39"/>
  <c r="F10" i="40"/>
  <c r="AA10" i="40" s="1"/>
  <c r="L59" i="15"/>
  <c r="J58" i="15"/>
  <c r="J56" i="15" s="1"/>
  <c r="J59" i="15" s="1"/>
  <c r="Q48" i="15" s="1"/>
  <c r="L57" i="15"/>
  <c r="S10" i="40"/>
  <c r="AC10" i="40"/>
  <c r="W10" i="40"/>
  <c r="AC10" i="39"/>
  <c r="W10" i="39"/>
  <c r="C105" i="57"/>
  <c r="J7" i="33"/>
  <c r="AC7" i="35"/>
  <c r="V38" i="35" s="1"/>
  <c r="I38" i="35" s="1"/>
  <c r="W7" i="35"/>
  <c r="AA7" i="35"/>
  <c r="R38" i="35" s="1"/>
  <c r="S7" i="35"/>
  <c r="J7" i="37"/>
  <c r="G65" i="40"/>
  <c r="H63" i="40"/>
  <c r="U7" i="35"/>
  <c r="AB7" i="35"/>
  <c r="T38" i="35" s="1"/>
  <c r="G38" i="35" s="1"/>
  <c r="C5" i="59"/>
  <c r="T6" i="59"/>
  <c r="D6" i="59"/>
  <c r="C42" i="59"/>
  <c r="D41" i="59"/>
  <c r="U23" i="36"/>
  <c r="AB23" i="36"/>
  <c r="U12" i="35"/>
  <c r="AB12" i="35"/>
  <c r="AB9" i="35"/>
  <c r="U9" i="35"/>
  <c r="S12" i="34"/>
  <c r="AA12" i="34"/>
  <c r="AB12" i="21"/>
  <c r="U12" i="21"/>
  <c r="C107" i="57"/>
  <c r="D110" i="57"/>
  <c r="I104" i="57"/>
  <c r="AC7" i="34"/>
  <c r="V49" i="34" s="1"/>
  <c r="I49" i="34" s="1"/>
  <c r="W7" i="34"/>
  <c r="U10" i="40"/>
  <c r="AB10" i="40"/>
  <c r="C39" i="11"/>
  <c r="AB7" i="21"/>
  <c r="T48" i="21" s="1"/>
  <c r="G48" i="21" s="1"/>
  <c r="U7" i="21"/>
  <c r="U7" i="37"/>
  <c r="AB7" i="37"/>
  <c r="T42" i="37" s="1"/>
  <c r="G42" i="37" s="1"/>
  <c r="AC7" i="37"/>
  <c r="V42" i="37" s="1"/>
  <c r="I42" i="37" s="1"/>
  <c r="W7" i="37"/>
  <c r="S7" i="36"/>
  <c r="AA7" i="36"/>
  <c r="R36" i="36" s="1"/>
  <c r="AC7" i="36"/>
  <c r="V36" i="36" s="1"/>
  <c r="I36" i="36" s="1"/>
  <c r="W7" i="36"/>
  <c r="D116" i="57"/>
  <c r="I112" i="57" s="1"/>
  <c r="D129" i="57" s="1"/>
  <c r="W7" i="33"/>
  <c r="AC7" i="33"/>
  <c r="V48" i="33" s="1"/>
  <c r="I48" i="33" s="1"/>
  <c r="AC36" i="35"/>
  <c r="W36" i="35"/>
  <c r="S12" i="35"/>
  <c r="AA12" i="35"/>
  <c r="AA9" i="35"/>
  <c r="S9" i="35"/>
  <c r="AC12" i="21"/>
  <c r="W12" i="21"/>
  <c r="D70" i="39"/>
  <c r="E68" i="39"/>
  <c r="S7" i="34"/>
  <c r="AA7" i="34"/>
  <c r="R49" i="34" s="1"/>
  <c r="AB7" i="34"/>
  <c r="T49" i="34" s="1"/>
  <c r="G49" i="34" s="1"/>
  <c r="U7" i="34"/>
  <c r="S10" i="39"/>
  <c r="AA10" i="39"/>
  <c r="C7" i="62"/>
  <c r="D7" i="62"/>
  <c r="F7" i="21"/>
  <c r="J7" i="21"/>
  <c r="F7" i="37"/>
  <c r="U7" i="36"/>
  <c r="AB7" i="36"/>
  <c r="T36" i="36" s="1"/>
  <c r="G36" i="36" s="1"/>
  <c r="E14" i="62"/>
  <c r="F14" i="62"/>
  <c r="D46" i="57"/>
  <c r="M49" i="57"/>
  <c r="I111" i="57"/>
  <c r="D128" i="57" s="1"/>
  <c r="G14" i="62" s="1"/>
  <c r="B6" i="62" s="1"/>
  <c r="D120" i="57"/>
  <c r="I116" i="57" s="1"/>
  <c r="C28" i="11"/>
  <c r="C27" i="11" s="1"/>
  <c r="H7" i="33"/>
  <c r="F7" i="33"/>
  <c r="C30" i="12"/>
  <c r="C28" i="12" s="1"/>
  <c r="D6" i="61"/>
  <c r="D7" i="61"/>
  <c r="F7" i="61"/>
  <c r="F3" i="61"/>
  <c r="F6" i="61"/>
  <c r="F5" i="61"/>
  <c r="D5" i="61"/>
  <c r="D4" i="61"/>
  <c r="D3" i="61"/>
  <c r="F4" i="61"/>
  <c r="Q71" i="15" l="1"/>
  <c r="Q58" i="15"/>
  <c r="G42" i="35"/>
  <c r="H42" i="35" s="1"/>
  <c r="G43" i="35"/>
  <c r="H43" i="35" s="1"/>
  <c r="I63" i="40"/>
  <c r="H65" i="40"/>
  <c r="E38" i="35"/>
  <c r="R39" i="35"/>
  <c r="I43" i="35"/>
  <c r="J43" i="35" s="1"/>
  <c r="I42" i="35"/>
  <c r="J42" i="35" s="1"/>
  <c r="I1" i="61"/>
  <c r="B30" i="1" s="1"/>
  <c r="K1" i="61"/>
  <c r="E20" i="43"/>
  <c r="AA7" i="33"/>
  <c r="R48" i="33" s="1"/>
  <c r="S7" i="33"/>
  <c r="AC7" i="21"/>
  <c r="V48" i="21" s="1"/>
  <c r="I48" i="21" s="1"/>
  <c r="W7" i="21"/>
  <c r="E49" i="34"/>
  <c r="I54" i="34" s="1"/>
  <c r="J54" i="34" s="1"/>
  <c r="R50" i="34"/>
  <c r="F68" i="39"/>
  <c r="E70" i="39"/>
  <c r="I52" i="33"/>
  <c r="J52" i="33" s="1"/>
  <c r="I40" i="36"/>
  <c r="J40" i="36" s="1"/>
  <c r="I46" i="37"/>
  <c r="J46" i="37" s="1"/>
  <c r="G52" i="21"/>
  <c r="H52" i="21" s="1"/>
  <c r="G53" i="21"/>
  <c r="H53" i="21" s="1"/>
  <c r="C46" i="11"/>
  <c r="C45" i="11" s="1"/>
  <c r="I53" i="34"/>
  <c r="J53" i="34" s="1"/>
  <c r="U7" i="33"/>
  <c r="AB7" i="33"/>
  <c r="T48" i="33" s="1"/>
  <c r="G48" i="33" s="1"/>
  <c r="C6" i="62"/>
  <c r="D6" i="62"/>
  <c r="C79" i="57"/>
  <c r="C74" i="57" s="1"/>
  <c r="D54" i="57"/>
  <c r="D49" i="57" s="1"/>
  <c r="M53" i="57" s="1"/>
  <c r="C73" i="57"/>
  <c r="C80" i="57" s="1"/>
  <c r="D56" i="57"/>
  <c r="M54" i="57" s="1"/>
  <c r="C65" i="57"/>
  <c r="C64" i="57" s="1"/>
  <c r="C68" i="57" s="1"/>
  <c r="C69" i="57" s="1"/>
  <c r="D55" i="57" s="1"/>
  <c r="D53" i="57"/>
  <c r="C86" i="57"/>
  <c r="C94" i="57"/>
  <c r="C87" i="57" s="1"/>
  <c r="G41" i="36"/>
  <c r="H41" i="36" s="1"/>
  <c r="G40" i="36"/>
  <c r="H40" i="36" s="1"/>
  <c r="AA7" i="37"/>
  <c r="R42" i="37" s="1"/>
  <c r="S7" i="37"/>
  <c r="AA7" i="21"/>
  <c r="R48" i="21" s="1"/>
  <c r="S7" i="21"/>
  <c r="G53" i="34"/>
  <c r="H53" i="34" s="1"/>
  <c r="G54" i="34"/>
  <c r="H54" i="34" s="1"/>
  <c r="E36" i="36"/>
  <c r="R37" i="36"/>
  <c r="G46" i="37"/>
  <c r="H46" i="37" s="1"/>
  <c r="G47" i="37"/>
  <c r="H47" i="37" s="1"/>
  <c r="T42" i="59"/>
  <c r="D42" i="59"/>
  <c r="D5" i="59"/>
  <c r="M20" i="43"/>
  <c r="C19" i="43" s="1"/>
  <c r="G1" i="61"/>
  <c r="C38" i="35" l="1"/>
  <c r="C39" i="35"/>
  <c r="E42" i="35"/>
  <c r="F42" i="35" s="1"/>
  <c r="E43" i="35"/>
  <c r="F43" i="35" s="1"/>
  <c r="J63" i="40"/>
  <c r="I65" i="40"/>
  <c r="E27" i="1"/>
  <c r="C36" i="43"/>
  <c r="C34" i="43"/>
  <c r="T16" i="43"/>
  <c r="V16" i="43" s="1"/>
  <c r="T3" i="43"/>
  <c r="V3" i="43" s="1"/>
  <c r="T2" i="43"/>
  <c r="V2" i="43" s="1"/>
  <c r="T10" i="43"/>
  <c r="V10" i="43" s="1"/>
  <c r="T7" i="43"/>
  <c r="V7" i="43" s="1"/>
  <c r="T6" i="43"/>
  <c r="V6" i="43" s="1"/>
  <c r="T9" i="43"/>
  <c r="V9" i="43" s="1"/>
  <c r="T14" i="43"/>
  <c r="V14" i="43" s="1"/>
  <c r="C29" i="43"/>
  <c r="C38" i="43"/>
  <c r="C35" i="43"/>
  <c r="T5" i="43"/>
  <c r="V5" i="43" s="1"/>
  <c r="T13" i="43"/>
  <c r="V13" i="43" s="1"/>
  <c r="T8" i="43"/>
  <c r="V8" i="43" s="1"/>
  <c r="T15" i="43"/>
  <c r="V15" i="43" s="1"/>
  <c r="T4" i="43"/>
  <c r="V4" i="43" s="1"/>
  <c r="T11" i="43"/>
  <c r="V11" i="43" s="1"/>
  <c r="T12" i="43"/>
  <c r="V12" i="43" s="1"/>
  <c r="C37" i="43"/>
  <c r="C39" i="43"/>
  <c r="C33" i="43"/>
  <c r="C37" i="36"/>
  <c r="B2" i="36" s="1"/>
  <c r="B3" i="36" s="1"/>
  <c r="C36" i="36"/>
  <c r="E48" i="21"/>
  <c r="I53" i="21" s="1"/>
  <c r="J53" i="21" s="1"/>
  <c r="R49" i="21"/>
  <c r="R43" i="37"/>
  <c r="E42" i="37"/>
  <c r="C96" i="57"/>
  <c r="C82" i="57"/>
  <c r="C81" i="57"/>
  <c r="E81" i="57" s="1"/>
  <c r="E82" i="57" s="1"/>
  <c r="G68" i="39"/>
  <c r="F70" i="39"/>
  <c r="E53" i="34"/>
  <c r="F53" i="34" s="1"/>
  <c r="E54" i="34"/>
  <c r="F54" i="34" s="1"/>
  <c r="I52" i="21"/>
  <c r="J52" i="21" s="1"/>
  <c r="E48" i="33"/>
  <c r="R49" i="33"/>
  <c r="E40" i="36"/>
  <c r="F40" i="36" s="1"/>
  <c r="E41" i="36"/>
  <c r="F41" i="36" s="1"/>
  <c r="G52" i="33"/>
  <c r="H52" i="33" s="1"/>
  <c r="G53" i="33"/>
  <c r="H53" i="33" s="1"/>
  <c r="I41" i="36"/>
  <c r="J41" i="36" s="1"/>
  <c r="C50" i="34"/>
  <c r="B2" i="34" s="1"/>
  <c r="B3" i="34" s="1"/>
  <c r="C49" i="34"/>
  <c r="P17" i="43"/>
  <c r="N17" i="43"/>
  <c r="O17" i="43"/>
  <c r="M17" i="43"/>
  <c r="M11" i="15"/>
  <c r="J10" i="15" s="1"/>
  <c r="J5" i="15" s="1"/>
  <c r="F11" i="15"/>
  <c r="B3" i="35" l="1"/>
  <c r="B2" i="35"/>
  <c r="K63" i="40"/>
  <c r="J65" i="40"/>
  <c r="C54" i="15"/>
  <c r="C49" i="15" s="1"/>
  <c r="C10" i="15"/>
  <c r="C5" i="15" s="1"/>
  <c r="C48" i="33"/>
  <c r="C49" i="33"/>
  <c r="B2" i="33" s="1"/>
  <c r="B3" i="33" s="1"/>
  <c r="J18" i="15"/>
  <c r="J24" i="15"/>
  <c r="J26" i="15"/>
  <c r="J29" i="15" s="1"/>
  <c r="E52" i="33"/>
  <c r="F52" i="33" s="1"/>
  <c r="E53" i="33"/>
  <c r="F53" i="33" s="1"/>
  <c r="I53" i="33"/>
  <c r="J53" i="33" s="1"/>
  <c r="G70" i="39"/>
  <c r="H68" i="39"/>
  <c r="E46" i="37"/>
  <c r="F46" i="37" s="1"/>
  <c r="E47" i="37"/>
  <c r="F47" i="37" s="1"/>
  <c r="I47" i="37"/>
  <c r="J47" i="37" s="1"/>
  <c r="C48" i="21"/>
  <c r="C49" i="21"/>
  <c r="B2" i="21" s="1"/>
  <c r="E33" i="43"/>
  <c r="G33" i="43"/>
  <c r="I33" i="43" s="1"/>
  <c r="G37" i="43"/>
  <c r="I37" i="43" s="1"/>
  <c r="E37" i="43"/>
  <c r="G35" i="43"/>
  <c r="I35" i="43" s="1"/>
  <c r="E35" i="43"/>
  <c r="C30" i="43"/>
  <c r="E30" i="43" s="1"/>
  <c r="E29" i="43"/>
  <c r="G36" i="43"/>
  <c r="I36" i="43" s="1"/>
  <c r="E36" i="43"/>
  <c r="C98" i="57"/>
  <c r="D59" i="57" s="1"/>
  <c r="D57" i="57" s="1"/>
  <c r="M55" i="57" s="1"/>
  <c r="N58" i="57" s="1"/>
  <c r="C97" i="57"/>
  <c r="E97" i="57" s="1"/>
  <c r="E98" i="57" s="1"/>
  <c r="C43" i="37"/>
  <c r="B2" i="37" s="1"/>
  <c r="B3" i="37" s="1"/>
  <c r="C42" i="37"/>
  <c r="E52" i="21"/>
  <c r="F52" i="21" s="1"/>
  <c r="E53" i="21"/>
  <c r="F53" i="21" s="1"/>
  <c r="G39" i="43"/>
  <c r="I39" i="43" s="1"/>
  <c r="E39" i="43"/>
  <c r="G38" i="43"/>
  <c r="I38" i="43" s="1"/>
  <c r="E38" i="43"/>
  <c r="G34" i="43"/>
  <c r="I34" i="43" s="1"/>
  <c r="E34" i="43"/>
  <c r="F22" i="11"/>
  <c r="F24" i="15"/>
  <c r="F25" i="12"/>
  <c r="C19" i="9"/>
  <c r="C101" i="9" l="1"/>
  <c r="B3" i="21"/>
  <c r="C26" i="43"/>
  <c r="B2" i="43" s="1"/>
  <c r="B3" i="43" s="1"/>
  <c r="K65" i="40"/>
  <c r="L63" i="40"/>
  <c r="C26" i="12"/>
  <c r="D25" i="12" s="1"/>
  <c r="C27" i="12"/>
  <c r="C25" i="12" s="1"/>
  <c r="C26" i="11"/>
  <c r="D22" i="11" s="1"/>
  <c r="C23" i="11"/>
  <c r="C44" i="11"/>
  <c r="D41" i="11" s="1"/>
  <c r="C24" i="11"/>
  <c r="C42" i="11"/>
  <c r="C25" i="11"/>
  <c r="C43" i="11"/>
  <c r="N59" i="57"/>
  <c r="P58" i="57"/>
  <c r="N60" i="57"/>
  <c r="C32" i="15"/>
  <c r="C38" i="15"/>
  <c r="C24" i="15"/>
  <c r="C23" i="15"/>
  <c r="C27" i="43"/>
  <c r="I68" i="39"/>
  <c r="H70" i="39"/>
  <c r="C61" i="15"/>
  <c r="C67" i="15"/>
  <c r="C20" i="9"/>
  <c r="C102" i="9" l="1"/>
  <c r="M63" i="40"/>
  <c r="L65" i="40"/>
  <c r="N62" i="57"/>
  <c r="N61" i="57"/>
  <c r="C22" i="11"/>
  <c r="C31" i="11" s="1"/>
  <c r="C32" i="12"/>
  <c r="J68" i="39"/>
  <c r="I70" i="39"/>
  <c r="C29" i="15"/>
  <c r="C41" i="11"/>
  <c r="C49" i="11" s="1"/>
  <c r="C51" i="11" s="1"/>
  <c r="N63" i="40" l="1"/>
  <c r="M65" i="40"/>
  <c r="K68" i="39"/>
  <c r="J70" i="39"/>
  <c r="B3" i="12"/>
  <c r="B2" i="12"/>
  <c r="J60" i="15"/>
  <c r="J61" i="15" s="1"/>
  <c r="Q47" i="15"/>
  <c r="C58" i="15"/>
  <c r="C13" i="15"/>
  <c r="C33" i="15"/>
  <c r="C31" i="15" s="1"/>
  <c r="C36" i="15"/>
  <c r="J19" i="15"/>
  <c r="J17" i="15" s="1"/>
  <c r="J14" i="15"/>
  <c r="C52" i="11"/>
  <c r="H7" i="40" l="1"/>
  <c r="O63" i="40"/>
  <c r="O65" i="40" s="1"/>
  <c r="F7" i="40" s="1"/>
  <c r="N65" i="40"/>
  <c r="J22" i="15"/>
  <c r="J13" i="15"/>
  <c r="J23" i="15" s="1"/>
  <c r="J34" i="15"/>
  <c r="C37" i="15"/>
  <c r="C30" i="15" s="1"/>
  <c r="C39" i="15" s="1"/>
  <c r="Q68" i="15"/>
  <c r="C57" i="15"/>
  <c r="C66" i="15" s="1"/>
  <c r="K70" i="39"/>
  <c r="L68" i="39"/>
  <c r="B3" i="11"/>
  <c r="B2" i="11"/>
  <c r="C62" i="15"/>
  <c r="C60" i="15" s="1"/>
  <c r="C65" i="15"/>
  <c r="Q46" i="15"/>
  <c r="L47" i="15"/>
  <c r="C56" i="11"/>
  <c r="C57" i="11" s="1"/>
  <c r="J16" i="15" l="1"/>
  <c r="J25" i="15" s="1"/>
  <c r="C59" i="15"/>
  <c r="C68" i="15" s="1"/>
  <c r="C69" i="15" s="1"/>
  <c r="C72" i="15" s="1"/>
  <c r="AA7" i="40"/>
  <c r="R42" i="40" s="1"/>
  <c r="S7" i="40"/>
  <c r="J7" i="40"/>
  <c r="U7" i="40"/>
  <c r="AB7" i="40"/>
  <c r="T42" i="40" s="1"/>
  <c r="G42" i="40" s="1"/>
  <c r="C40" i="15"/>
  <c r="Q67" i="15"/>
  <c r="Q66" i="15" s="1"/>
  <c r="M68" i="39"/>
  <c r="L70" i="39"/>
  <c r="J38" i="15"/>
  <c r="J39" i="15" s="1"/>
  <c r="C47" i="15" l="1"/>
  <c r="W7" i="40"/>
  <c r="AC7" i="40"/>
  <c r="V42" i="40" s="1"/>
  <c r="I42" i="40" s="1"/>
  <c r="G47" i="40" s="1"/>
  <c r="H47" i="40" s="1"/>
  <c r="R43" i="40"/>
  <c r="E42" i="40"/>
  <c r="G46" i="40"/>
  <c r="H46" i="40" s="1"/>
  <c r="N68" i="39"/>
  <c r="M70" i="39"/>
  <c r="C43" i="15"/>
  <c r="Q63" i="15"/>
  <c r="B3" i="15"/>
  <c r="Q45" i="15"/>
  <c r="Q51" i="15" s="1"/>
  <c r="B2" i="15"/>
  <c r="L52" i="15"/>
  <c r="Q54" i="15"/>
  <c r="J41" i="15"/>
  <c r="D20" i="9"/>
  <c r="D19" i="9"/>
  <c r="E2" i="21"/>
  <c r="D22" i="9" l="1"/>
  <c r="D101" i="9"/>
  <c r="G19" i="9"/>
  <c r="D102" i="9"/>
  <c r="G20" i="9"/>
  <c r="D15" i="62" s="1"/>
  <c r="E46" i="40"/>
  <c r="F46" i="40" s="1"/>
  <c r="E47" i="40"/>
  <c r="F47" i="40" s="1"/>
  <c r="I47" i="40"/>
  <c r="J47" i="40" s="1"/>
  <c r="I46" i="40"/>
  <c r="J46" i="40" s="1"/>
  <c r="C43" i="40"/>
  <c r="C42" i="40"/>
  <c r="D35" i="9"/>
  <c r="J42" i="15"/>
  <c r="L58" i="15"/>
  <c r="L61" i="15" s="1"/>
  <c r="Q65" i="15"/>
  <c r="O68" i="39"/>
  <c r="O70" i="39" s="1"/>
  <c r="N70" i="39"/>
  <c r="C32" i="9" l="1"/>
  <c r="C35" i="9" s="1"/>
  <c r="C34" i="9" s="1"/>
  <c r="B53" i="40"/>
  <c r="F53" i="40" s="1"/>
  <c r="B52" i="40"/>
  <c r="F52" i="40" s="1"/>
  <c r="B58" i="40"/>
  <c r="F58" i="40" s="1"/>
  <c r="B59" i="40"/>
  <c r="F59" i="40" s="1"/>
  <c r="B57" i="40"/>
  <c r="F57" i="40" s="1"/>
  <c r="B60" i="40"/>
  <c r="F60" i="40" s="1"/>
  <c r="B51" i="40"/>
  <c r="F51" i="40" s="1"/>
  <c r="F61" i="40" s="1"/>
  <c r="B2" i="40" s="1"/>
  <c r="B3" i="40" s="1"/>
  <c r="B56" i="40"/>
  <c r="F56" i="40" s="1"/>
  <c r="B54" i="40"/>
  <c r="F54" i="40" s="1"/>
  <c r="B55" i="40"/>
  <c r="F55" i="40" s="1"/>
  <c r="H7" i="39"/>
  <c r="J7" i="39"/>
  <c r="F7" i="39"/>
  <c r="Q55" i="15"/>
  <c r="Q60" i="15" s="1"/>
  <c r="Q64" i="15"/>
  <c r="Q73" i="15" s="1"/>
  <c r="D34" i="9"/>
  <c r="F15" i="62" l="1"/>
  <c r="E15" i="62"/>
  <c r="B5" i="62"/>
  <c r="S7" i="39"/>
  <c r="AA7" i="39"/>
  <c r="R47" i="39" s="1"/>
  <c r="W7" i="39"/>
  <c r="AC7" i="39"/>
  <c r="V47" i="39" s="1"/>
  <c r="I47" i="39" s="1"/>
  <c r="AB7" i="39"/>
  <c r="T47" i="39" s="1"/>
  <c r="G47" i="39" s="1"/>
  <c r="U7" i="39"/>
  <c r="D5" i="62" l="1"/>
  <c r="C5" i="62"/>
  <c r="G51" i="39"/>
  <c r="H51" i="39" s="1"/>
  <c r="G52" i="39"/>
  <c r="H52" i="39" s="1"/>
  <c r="I51" i="39"/>
  <c r="J51" i="39" s="1"/>
  <c r="E47" i="39"/>
  <c r="R48" i="39"/>
  <c r="E51" i="39" l="1"/>
  <c r="F51" i="39" s="1"/>
  <c r="E52" i="39"/>
  <c r="F52" i="39" s="1"/>
  <c r="C48" i="39"/>
  <c r="C47" i="39"/>
  <c r="I52" i="39"/>
  <c r="J52" i="39" s="1"/>
  <c r="B59" i="39" l="1"/>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G121" i="9" l="1"/>
  <c r="G4" i="52" s="1"/>
  <c r="B41" i="60" s="1"/>
  <c r="E121" i="9"/>
  <c r="E4" i="52" s="1"/>
  <c r="B38" i="60" s="1"/>
  <c r="I121" i="9"/>
  <c r="I4" i="52" s="1"/>
  <c r="D121" i="9" l="1"/>
  <c r="D4" i="52" s="1"/>
  <c r="B37" i="60" s="1"/>
  <c r="F121" i="9"/>
  <c r="F4" i="52" s="1"/>
  <c r="B40" i="60" s="1"/>
  <c r="H121" i="9"/>
  <c r="C104" i="9"/>
  <c r="D107" i="9"/>
  <c r="I103" i="9"/>
  <c r="D122" i="9" l="1"/>
  <c r="D5" i="52" s="1"/>
  <c r="B39" i="60" s="1"/>
  <c r="F122" i="9"/>
  <c r="F5" i="52" s="1"/>
  <c r="B42" i="60" s="1"/>
  <c r="D30" i="50"/>
  <c r="D9" i="50"/>
  <c r="B21" i="60" s="1"/>
  <c r="H4" i="52"/>
  <c r="I102" i="9"/>
  <c r="C103" i="9"/>
  <c r="H122" i="9"/>
  <c r="H5" i="52" s="1"/>
  <c r="D106" i="9"/>
  <c r="D112" i="9" s="1"/>
  <c r="I110" i="9" l="1"/>
  <c r="M48" i="9"/>
  <c r="D28" i="50"/>
  <c r="D29" i="50" s="1"/>
  <c r="D7" i="50"/>
  <c r="D45" i="9"/>
  <c r="D117" i="9"/>
  <c r="D113" i="9"/>
  <c r="D8" i="50" l="1"/>
  <c r="B22" i="60" s="1"/>
  <c r="B19" i="60"/>
  <c r="D44" i="50"/>
  <c r="I115" i="9"/>
  <c r="D23" i="50" s="1"/>
  <c r="B34" i="60" s="1"/>
  <c r="D38" i="50"/>
  <c r="B62" i="60" s="1"/>
  <c r="I111" i="9"/>
  <c r="D55" i="9"/>
  <c r="M53" i="9" s="1"/>
  <c r="C64" i="9"/>
  <c r="C63" i="9" s="1"/>
  <c r="C67" i="9" s="1"/>
  <c r="C68" i="9" s="1"/>
  <c r="D54" i="9" s="1"/>
  <c r="D59" i="9"/>
  <c r="M55" i="9" s="1"/>
  <c r="D52" i="9"/>
  <c r="C78" i="9"/>
  <c r="C73" i="9" s="1"/>
  <c r="C93" i="9"/>
  <c r="C86" i="9" s="1"/>
  <c r="D53" i="9"/>
  <c r="D48" i="9" s="1"/>
  <c r="M52" i="9" s="1"/>
  <c r="C85" i="9"/>
  <c r="C72" i="9"/>
  <c r="D36" i="50"/>
  <c r="D37" i="50" s="1"/>
  <c r="D15" i="50"/>
  <c r="D125" i="9"/>
  <c r="D8" i="52" s="1"/>
  <c r="C79" i="9" l="1"/>
  <c r="C95" i="9"/>
  <c r="D17" i="50"/>
  <c r="D126" i="9"/>
  <c r="D9" i="52" s="1"/>
  <c r="B29" i="60"/>
  <c r="D16" i="50"/>
  <c r="B30" i="60" s="1"/>
  <c r="C80" i="9"/>
  <c r="E80" i="9" s="1"/>
  <c r="E81" i="9" s="1"/>
  <c r="C81" i="9" l="1"/>
  <c r="C96" i="9"/>
  <c r="E96" i="9" s="1"/>
  <c r="E97" i="9" s="1"/>
  <c r="C97" i="9" l="1"/>
  <c r="D58" i="9" s="1"/>
  <c r="D56" i="9" s="1"/>
  <c r="M54" i="9" s="1"/>
  <c r="N57" i="9" s="1"/>
  <c r="N58" i="9" s="1"/>
  <c r="N59" i="9" l="1"/>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<sst xmlns="http://schemas.openxmlformats.org/spreadsheetml/2006/main" count="6885" uniqueCount="2912">
  <si>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</si>
  <si>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</si>
  <si>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</si>
  <si>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</si>
  <si>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</si>
  <si>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</si>
  <si>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</si>
  <si>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</si>
  <si>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</si>
  <si>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</si>
  <si>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</si>
  <si>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</si>
  <si>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</si>
  <si>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</si>
  <si>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</si>
  <si>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</si>
  <si>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</si>
  <si>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</si>
  <si>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</si>
  <si>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</si>
  <si>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</si>
  <si>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</si>
  <si>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</si>
  <si>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</si>
  <si>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</si>
  <si>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</si>
  <si>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</si>
  <si>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</si>
  <si>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</si>
  <si>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</si>
  <si>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</si>
  <si>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</si>
  <si>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</si>
  <si>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</si>
  <si>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</si>
  <si>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</si>
  <si>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</si>
  <si>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</si>
  <si>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</si>
  <si>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</si>
  <si>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</si>
  <si>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</si>
  <si>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</si>
  <si>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</si>
  <si>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</si>
  <si>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</si>
  <si>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</si>
  <si>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</si>
  <si>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</si>
  <si>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</si>
  <si>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</si>
  <si>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</si>
  <si>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</si>
  <si>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</si>
  <si>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</si>
  <si>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</si>
  <si>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</si>
  <si>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</si>
  <si>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</si>
  <si>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</si>
  <si>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</si>
  <si>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</si>
  <si>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</si>
  <si>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</si>
  <si>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</si>
  <si>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</si>
  <si>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</si>
  <si>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</si>
  <si>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</si>
  <si>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</si>
  <si>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</si>
  <si>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</si>
  <si>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</si>
  <si>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</si>
  <si>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</si>
  <si>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</si>
  <si>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</si>
  <si>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</si>
  <si>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</si>
  <si>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</si>
  <si>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</si>
  <si>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</si>
  <si>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</si>
  <si>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</si>
  <si>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</si>
  <si>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</si>
  <si>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</si>
  <si>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</si>
  <si>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</si>
  <si>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</si>
  <si>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</si>
  <si>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</si>
  <si>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</si>
  <si>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</si>
  <si>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</si>
  <si>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</si>
  <si>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</si>
  <si>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</si>
  <si>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</si>
  <si>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</si>
  <si>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</si>
  <si>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</si>
  <si>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</si>
  <si>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</si>
  <si>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</si>
  <si>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</si>
  <si>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</si>
  <si>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</si>
  <si>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</si>
  <si>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</si>
  <si>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</si>
  <si>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</si>
  <si>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</si>
  <si>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</si>
  <si>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</si>
  <si>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</si>
  <si>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</si>
  <si>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</si>
  <si>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</si>
  <si>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</si>
  <si>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</si>
  <si>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</si>
  <si>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</si>
  <si>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</si>
  <si>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</si>
  <si>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</si>
  <si>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</si>
  <si>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</si>
  <si>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</si>
  <si>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</si>
  <si>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</si>
  <si>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</si>
  <si>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</si>
  <si>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</si>
  <si>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</si>
  <si>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</si>
  <si>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</si>
  <si>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</si>
  <si>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</si>
  <si>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</si>
  <si>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</si>
  <si>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</si>
  <si>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</si>
  <si>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</si>
  <si>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</si>
  <si>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</si>
  <si>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</si>
  <si>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</si>
  <si>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</si>
  <si>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</si>
  <si>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</si>
  <si>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</si>
  <si>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</si>
  <si>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</si>
  <si>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</si>
  <si>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</si>
  <si>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</si>
  <si>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</si>
  <si>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</si>
  <si>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</si>
  <si>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</si>
  <si>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</si>
  <si>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</si>
  <si>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</si>
  <si>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</si>
  <si>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</si>
  <si>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</si>
  <si>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</si>
  <si>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</si>
  <si>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</si>
  <si>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</si>
  <si>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</si>
  <si>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</si>
  <si>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</si>
  <si>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</si>
  <si>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</si>
  <si>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</si>
  <si>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</si>
  <si>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</si>
  <si>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</si>
  <si>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</si>
  <si>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</si>
  <si>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</si>
  <si>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</si>
  <si>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</si>
  <si>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</si>
  <si>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</si>
  <si>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</si>
  <si>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</si>
  <si>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</si>
  <si>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</si>
  <si>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</si>
  <si>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</si>
  <si>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</si>
  <si>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</si>
  <si>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</si>
  <si>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</si>
  <si>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</si>
  <si>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</si>
  <si>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</si>
  <si>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</si>
  <si>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</si>
  <si>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</si>
  <si>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</si>
  <si>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</si>
  <si>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</si>
  <si>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</si>
  <si>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</si>
  <si>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</si>
  <si>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</si>
  <si>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</si>
  <si>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</si>
  <si>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</si>
  <si>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</si>
  <si>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</si>
  <si>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</si>
  <si>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</si>
  <si>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</si>
  <si>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</si>
  <si>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</si>
  <si>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</si>
  <si>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</si>
  <si>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</si>
  <si>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</si>
  <si>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</si>
  <si>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</si>
  <si>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</si>
  <si>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</si>
  <si>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</si>
  <si>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</si>
  <si>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</si>
  <si>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</si>
  <si>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</si>
  <si>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</si>
  <si>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</si>
  <si>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</si>
  <si>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</si>
  <si>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</si>
  <si>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</si>
  <si>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</si>
  <si>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</si>
  <si>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</si>
  <si>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</si>
  <si>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</si>
  <si>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</si>
  <si>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</si>
  <si>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</si>
  <si>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</si>
  <si>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</si>
  <si>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</si>
  <si>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</si>
  <si>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</si>
  <si>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</si>
  <si>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</si>
  <si>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</si>
  <si>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</si>
  <si>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</si>
  <si>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</si>
  <si>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</si>
  <si>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</si>
  <si>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</si>
  <si>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</si>
  <si>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</si>
  <si>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</si>
  <si>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</si>
  <si>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</si>
  <si>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</si>
  <si>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</si>
  <si>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</si>
  <si>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</si>
  <si>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</si>
  <si>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</si>
  <si>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</si>
  <si>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</si>
  <si>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</si>
  <si>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</si>
  <si>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</si>
  <si>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</si>
  <si>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</si>
  <si>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</si>
  <si>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</si>
  <si>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</si>
  <si>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</si>
  <si>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</si>
  <si>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</si>
  <si>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</si>
  <si>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</si>
  <si>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</si>
  <si>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</si>
  <si>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</si>
  <si>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</si>
  <si>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</si>
  <si>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</si>
  <si>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</si>
  <si>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</si>
  <si>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</si>
  <si>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</si>
  <si>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</si>
  <si>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</si>
  <si>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</si>
  <si>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</si>
  <si>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</si>
  <si>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</si>
  <si>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</si>
  <si>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</si>
  <si>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</si>
  <si>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</si>
  <si>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</si>
  <si>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</si>
  <si>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</si>
  <si>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</si>
  <si>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</si>
  <si>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</si>
  <si>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</si>
  <si>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</si>
  <si>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</si>
  <si>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</si>
  <si>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</si>
  <si>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</si>
  <si>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</si>
  <si>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</si>
  <si>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</si>
  <si>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</si>
  <si>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</si>
  <si>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</si>
  <si>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</si>
  <si>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</si>
  <si>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</si>
  <si>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</si>
  <si>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</si>
  <si>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</si>
  <si>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</si>
  <si>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</si>
  <si>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</si>
  <si>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</si>
  <si>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</si>
  <si>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</si>
  <si>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</si>
  <si>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</si>
  <si>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</si>
  <si>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</si>
  <si>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</si>
  <si>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</si>
  <si>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</si>
  <si>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</si>
  <si>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</si>
  <si>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</si>
  <si>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</si>
  <si>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</si>
  <si>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</si>
  <si>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</si>
  <si>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</si>
  <si>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</si>
  <si>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</si>
  <si>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</si>
  <si>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</si>
  <si>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</si>
  <si>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</si>
  <si>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</si>
  <si>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</si>
  <si>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</si>
  <si>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</si>
  <si>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</si>
  <si>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</si>
  <si>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</si>
  <si>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</si>
  <si>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</si>
  <si>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</si>
  <si>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</si>
  <si>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</si>
  <si>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</si>
  <si>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</si>
  <si>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</si>
  <si>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</si>
  <si>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</si>
  <si>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</si>
  <si>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</si>
  <si>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</si>
  <si>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</si>
  <si>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</si>
  <si>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</si>
  <si>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</si>
  <si>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</si>
  <si>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</si>
  <si>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</si>
  <si>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</si>
  <si>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</si>
  <si>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</si>
  <si>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</si>
  <si>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</si>
  <si>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</si>
  <si>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</si>
  <si>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</si>
  <si>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</si>
  <si>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</si>
  <si>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</si>
  <si>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</si>
  <si>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</si>
  <si>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</si>
  <si>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</si>
  <si>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</si>
  <si>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</si>
  <si>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</si>
  <si>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</si>
  <si>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</si>
  <si>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</si>
  <si>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</si>
  <si>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</si>
  <si>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</si>
  <si>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</si>
  <si>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</si>
  <si>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</si>
  <si>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</si>
  <si>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</si>
  <si>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</si>
  <si>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</si>
  <si>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</si>
  <si>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</si>
  <si>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</si>
  <si>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</si>
  <si>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</si>
  <si>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</si>
  <si>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</si>
  <si>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</si>
  <si>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</si>
  <si>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</si>
  <si>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</si>
  <si>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</si>
  <si>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</si>
  <si>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</si>
  <si>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</si>
  <si>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</si>
  <si>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</si>
  <si>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</si>
  <si>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</si>
  <si>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</si>
  <si>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</si>
  <si>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</si>
  <si>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</si>
  <si>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</si>
  <si>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</si>
  <si>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</si>
  <si>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</si>
  <si>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</si>
  <si>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</si>
  <si>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</si>
  <si>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</si>
  <si>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</si>
  <si>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</si>
  <si>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</si>
  <si>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</si>
  <si>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</si>
  <si>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</si>
  <si>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</si>
  <si>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</si>
  <si>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</si>
  <si>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</si>
  <si>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</si>
  <si>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</si>
  <si>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</si>
  <si>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</si>
  <si>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</si>
  <si>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</si>
  <si>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</si>
  <si>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</si>
  <si>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</si>
  <si>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</si>
  <si>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</si>
  <si>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</si>
  <si>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</si>
  <si>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</si>
  <si>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</si>
  <si>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</si>
  <si>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</si>
  <si>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</si>
  <si>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</si>
  <si>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</si>
  <si>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</si>
  <si>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</si>
  <si>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</si>
  <si>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</si>
  <si>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</si>
  <si>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</si>
  <si>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</si>
  <si>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</si>
  <si>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</si>
  <si>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</si>
  <si>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</si>
  <si>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</si>
  <si>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</si>
  <si>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</si>
  <si>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</si>
  <si>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</si>
  <si>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</si>
  <si>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</si>
  <si>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</si>
  <si>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</si>
  <si>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</si>
  <si>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</si>
  <si>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</si>
  <si>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</si>
  <si>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</si>
  <si>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</si>
  <si>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</si>
  <si>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</si>
  <si>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</si>
  <si>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</si>
  <si>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</si>
  <si>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</si>
  <si>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</si>
  <si>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</si>
  <si>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</si>
  <si>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</si>
  <si>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</si>
  <si>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</si>
  <si>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</si>
  <si>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</si>
  <si>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</si>
  <si>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</si>
  <si>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</si>
  <si>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</si>
  <si>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</si>
  <si>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</si>
  <si>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</si>
  <si>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</si>
  <si>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</si>
  <si>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</si>
  <si>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</si>
  <si>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</si>
  <si>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</si>
  <si>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</si>
  <si>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</si>
  <si>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</si>
  <si>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</si>
  <si>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</si>
  <si>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</si>
  <si>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</si>
  <si>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</si>
  <si>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</si>
  <si>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</si>
  <si>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</si>
  <si>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</si>
  <si>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</si>
  <si>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</si>
  <si>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</si>
  <si>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</si>
  <si>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</si>
  <si>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</si>
  <si>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</si>
  <si>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</si>
  <si>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</si>
  <si>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</si>
  <si>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</si>
  <si>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</si>
  <si>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</si>
  <si>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</si>
  <si>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</si>
  <si>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</si>
  <si>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</si>
  <si>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</si>
  <si>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</si>
  <si>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</si>
  <si>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</si>
  <si>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</si>
  <si>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</si>
  <si>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</si>
  <si>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</si>
  <si>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</si>
  <si>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</si>
  <si>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</si>
  <si>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</si>
  <si>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</si>
  <si>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</si>
  <si>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</si>
  <si>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</si>
  <si>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</si>
  <si>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</si>
  <si>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</si>
  <si>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</si>
  <si>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</si>
  <si>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</si>
  <si>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</si>
  <si>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</si>
  <si>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</si>
  <si>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</si>
  <si>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</si>
  <si>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</si>
  <si>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</si>
  <si>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</si>
  <si>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</si>
  <si>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</si>
  <si>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</si>
  <si>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</si>
  <si>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</si>
  <si>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</si>
  <si>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</si>
  <si>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</si>
  <si>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</si>
  <si>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</si>
  <si>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</si>
  <si>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</si>
  <si>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</si>
  <si>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</si>
  <si>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</si>
  <si>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</si>
  <si>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</si>
  <si>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</si>
  <si>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</si>
  <si>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</si>
  <si>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</si>
  <si>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</si>
  <si>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</si>
  <si>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</si>
  <si>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</si>
  <si>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</si>
  <si>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</si>
  <si>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</si>
  <si>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</si>
  <si>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</si>
  <si>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</si>
  <si>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</si>
  <si>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</si>
  <si>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</si>
  <si>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</si>
  <si>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</si>
  <si>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</si>
  <si>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</si>
  <si>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</si>
  <si>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</si>
  <si>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</si>
  <si>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</si>
  <si>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</si>
  <si>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</si>
  <si>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</si>
  <si>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</si>
  <si>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</si>
  <si>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</si>
  <si>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</si>
  <si>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</si>
  <si>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</si>
  <si>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</si>
  <si>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</si>
  <si>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</si>
  <si>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</si>
  <si>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</si>
  <si>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</si>
  <si>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</si>
  <si>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</si>
  <si>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</si>
  <si>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</si>
  <si>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</si>
  <si>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</si>
  <si>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</si>
  <si>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</si>
  <si>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</si>
  <si>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</si>
  <si>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</si>
  <si>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</si>
  <si>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</si>
  <si>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</si>
  <si>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</si>
  <si>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</si>
  <si>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</si>
  <si>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</si>
  <si>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</si>
  <si>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</si>
  <si>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</si>
  <si>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</si>
  <si>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</si>
  <si>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</si>
  <si>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</si>
  <si>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</si>
  <si>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</si>
  <si>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</si>
  <si>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</si>
  <si>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</si>
  <si>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</si>
  <si>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</si>
  <si>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</si>
  <si>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</si>
  <si>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</si>
  <si>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</si>
  <si>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</si>
  <si>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</si>
  <si>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</si>
  <si>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</si>
  <si>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</si>
  <si>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</si>
  <si>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</si>
  <si>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</si>
  <si>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</si>
  <si>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</si>
  <si>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</si>
  <si>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</si>
  <si>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</si>
  <si>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</si>
  <si>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</si>
  <si>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</si>
  <si>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</si>
  <si>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</si>
  <si>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</si>
  <si>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</si>
  <si>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</si>
  <si>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</si>
  <si>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</si>
  <si>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</si>
  <si>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</si>
  <si>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</si>
  <si>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</si>
  <si>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</si>
  <si>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</si>
  <si>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</si>
  <si>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</si>
  <si>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</si>
  <si>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</si>
  <si>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</si>
  <si>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</si>
  <si>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</si>
  <si>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</si>
  <si>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</si>
  <si>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</si>
  <si>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</si>
  <si>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</si>
  <si>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</si>
  <si>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</si>
  <si>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</si>
  <si>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</si>
  <si>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</si>
  <si>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</si>
  <si>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</si>
  <si>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</si>
  <si>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</si>
  <si>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</si>
  <si>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</si>
  <si>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</si>
  <si>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</si>
  <si>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</si>
  <si>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</si>
  <si>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</si>
  <si>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</si>
  <si>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</si>
  <si>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</si>
  <si>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</si>
  <si>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</si>
  <si>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</si>
  <si>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</si>
  <si>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</si>
  <si>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</si>
  <si>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</si>
  <si>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</si>
  <si>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</si>
  <si>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</si>
  <si>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</si>
  <si>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</si>
  <si>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</si>
  <si>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</si>
  <si>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</si>
  <si>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</si>
  <si>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</si>
  <si>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</si>
  <si>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</si>
  <si>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</si>
  <si>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</si>
  <si>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</si>
  <si>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</si>
  <si>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</si>
  <si>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</si>
  <si>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</si>
  <si>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</si>
  <si>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</si>
  <si>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</si>
  <si>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</si>
  <si>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</si>
  <si>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</si>
  <si>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</si>
  <si>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</si>
  <si>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</si>
  <si>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</si>
  <si>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</si>
  <si>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</si>
  <si>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</si>
  <si>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</si>
  <si>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</si>
  <si>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</si>
  <si>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</si>
  <si>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</si>
  <si>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</si>
  <si>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</si>
  <si>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</si>
  <si>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</si>
  <si>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</si>
  <si>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</si>
  <si>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</si>
  <si>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</si>
  <si>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</si>
  <si>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</si>
  <si>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</si>
  <si>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</si>
  <si>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</si>
  <si>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</si>
  <si>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</si>
  <si>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</si>
  <si>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</si>
  <si>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</si>
  <si>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</si>
  <si>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</si>
  <si>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</si>
  <si>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</si>
  <si>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</si>
  <si>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</si>
  <si>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</si>
  <si>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</si>
  <si>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</si>
  <si>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</si>
  <si>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</si>
  <si>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</si>
  <si>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</si>
  <si>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</si>
  <si>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</si>
  <si>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</si>
  <si>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</si>
  <si>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</si>
  <si>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</si>
  <si>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</si>
  <si>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</si>
  <si>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</si>
  <si>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</si>
  <si>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</si>
  <si>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</si>
  <si>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</si>
  <si>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</si>
  <si>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</si>
  <si>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</si>
  <si>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</si>
  <si>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</si>
  <si>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</si>
  <si>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</si>
  <si>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</si>
  <si>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</si>
  <si>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</si>
  <si>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</si>
  <si>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</si>
  <si>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</si>
  <si>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</si>
  <si>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</si>
  <si>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</si>
  <si>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</si>
  <si>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</si>
  <si>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</si>
  <si>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</si>
  <si>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</si>
  <si>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</si>
  <si>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</si>
  <si>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</si>
  <si>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</si>
  <si>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</si>
  <si>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</si>
  <si>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</si>
  <si>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</si>
  <si>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</si>
  <si>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</si>
  <si>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</si>
  <si>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</si>
  <si>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</si>
  <si>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</si>
  <si>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</si>
  <si>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</si>
  <si>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</si>
  <si>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</si>
  <si>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</si>
  <si>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</si>
  <si>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</si>
  <si>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</si>
  <si>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</si>
  <si>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</si>
  <si>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</si>
  <si>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</si>
  <si>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</si>
  <si>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</si>
  <si>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</si>
  <si>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</si>
  <si>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</si>
  <si>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</si>
  <si>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</si>
  <si>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</si>
  <si>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</si>
  <si>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</si>
  <si>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</si>
  <si>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</si>
  <si>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</si>
  <si>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</si>
  <si>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</si>
  <si>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</si>
  <si>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</si>
  <si>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</si>
  <si>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</si>
  <si>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</si>
  <si>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</si>
  <si>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</si>
  <si>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</si>
  <si>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</si>
  <si>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</si>
  <si>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</si>
  <si>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</si>
  <si>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</si>
  <si>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</si>
  <si>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</si>
  <si>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</si>
  <si>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</si>
  <si>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</si>
  <si>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</si>
  <si>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</si>
  <si>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</si>
  <si>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</si>
  <si>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</si>
  <si>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</si>
  <si>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</si>
  <si>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</si>
  <si>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</si>
  <si>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</si>
  <si>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</si>
  <si>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</si>
  <si>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</si>
  <si>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</si>
  <si>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</si>
  <si>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</si>
  <si>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</si>
  <si>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</si>
  <si>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</si>
  <si>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</si>
  <si>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</si>
  <si>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</si>
  <si>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</si>
  <si>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</si>
  <si>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</si>
  <si>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</si>
  <si>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</si>
  <si>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</si>
  <si>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</si>
  <si>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</si>
  <si>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</si>
  <si>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</si>
  <si>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</si>
  <si>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</si>
  <si>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</si>
  <si>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</si>
  <si>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</si>
  <si>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</si>
  <si>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</si>
  <si>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</si>
  <si>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</si>
  <si>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</si>
  <si>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</si>
  <si>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</si>
  <si>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</si>
  <si>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</si>
  <si>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</si>
  <si>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</si>
  <si>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</si>
  <si>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</si>
  <si>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</si>
  <si>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</si>
  <si>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</si>
  <si>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</si>
  <si>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</si>
  <si>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</si>
  <si>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</si>
  <si>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</si>
  <si>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</si>
  <si>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</si>
  <si>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</si>
  <si>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</si>
  <si>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</si>
  <si>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</si>
  <si>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</si>
  <si>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</si>
  <si>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</si>
  <si>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</si>
  <si>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</si>
  <si>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</si>
  <si>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</si>
  <si>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</si>
  <si>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</si>
  <si>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</si>
  <si>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</si>
  <si>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</si>
  <si>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</si>
  <si>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</si>
  <si>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</si>
  <si>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</si>
  <si>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</si>
  <si>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</si>
  <si>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</si>
  <si>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</si>
  <si>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</si>
  <si>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</si>
  <si>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</si>
  <si>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</si>
  <si>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</si>
  <si>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</si>
  <si>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</si>
  <si>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</si>
  <si>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</si>
  <si>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</si>
  <si>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</si>
  <si>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</si>
  <si>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</si>
  <si>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</si>
  <si>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</si>
  <si>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</si>
  <si>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</si>
  <si>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</si>
  <si>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</si>
  <si>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</si>
  <si>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</si>
  <si>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</si>
  <si>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</si>
  <si>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</si>
  <si>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</si>
  <si>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</si>
  <si>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</si>
  <si>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</si>
  <si>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</si>
  <si>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</si>
  <si>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</si>
  <si>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</si>
  <si>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</si>
  <si>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</si>
  <si>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</si>
  <si>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</si>
  <si>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</si>
  <si>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</si>
  <si>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</si>
  <si>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</si>
  <si>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</si>
  <si>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</si>
  <si>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</si>
  <si>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</si>
  <si>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</si>
  <si>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</si>
  <si>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</si>
  <si>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</si>
  <si>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</si>
  <si>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</si>
  <si>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</si>
  <si>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</si>
  <si>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</si>
  <si>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</si>
  <si>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</si>
  <si>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</si>
  <si>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</si>
  <si>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</si>
  <si>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</si>
  <si>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</si>
  <si>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</si>
  <si>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</si>
  <si>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</si>
  <si>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</si>
  <si>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</si>
  <si>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</si>
  <si>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</si>
  <si>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</si>
  <si>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</si>
  <si>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</si>
  <si>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</si>
  <si>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</si>
  <si>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</si>
  <si>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</si>
  <si>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</si>
  <si>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</si>
  <si>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</si>
  <si>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</si>
  <si>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</si>
  <si>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</si>
  <si>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</si>
  <si>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</si>
  <si>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</si>
  <si>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</si>
  <si>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</si>
  <si>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</si>
  <si>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</si>
  <si>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</si>
  <si>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</si>
  <si>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</si>
  <si>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</si>
  <si>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</si>
  <si>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</si>
  <si>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</si>
  <si>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</si>
  <si>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</si>
  <si>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</si>
  <si>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</si>
  <si>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</si>
  <si>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</si>
  <si>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</si>
  <si>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</si>
  <si>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</si>
  <si>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</si>
  <si>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</si>
  <si>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</si>
  <si>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</si>
  <si>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</si>
  <si>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</si>
  <si>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</si>
  <si>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</si>
  <si>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</si>
  <si>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</si>
  <si>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</si>
  <si>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</si>
  <si>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</si>
  <si>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</si>
  <si>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</si>
  <si>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</si>
  <si>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</si>
  <si>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</si>
  <si>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</si>
  <si>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</si>
  <si>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</si>
  <si>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</si>
  <si>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</si>
  <si>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</si>
  <si>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</si>
  <si>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</si>
  <si>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</si>
  <si>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</si>
  <si>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</si>
  <si>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</si>
  <si>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</si>
  <si>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</si>
  <si>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</si>
  <si>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</si>
  <si>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</si>
  <si>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</si>
  <si>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</si>
  <si>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</si>
  <si>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</si>
  <si>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</si>
  <si>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</si>
  <si>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</si>
  <si>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</si>
  <si>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</si>
  <si>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</si>
  <si>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</si>
  <si>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</si>
  <si>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</si>
  <si>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</si>
  <si>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</si>
  <si>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</si>
  <si>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</si>
  <si>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</si>
  <si>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</si>
  <si>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</si>
  <si>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</si>
  <si>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</si>
  <si>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</si>
  <si>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</si>
  <si>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</si>
  <si>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</si>
  <si>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</si>
  <si>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</si>
  <si>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</si>
  <si>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</si>
  <si>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</si>
  <si>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</si>
  <si>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</si>
  <si>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</si>
  <si>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</si>
  <si>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</si>
  <si>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</si>
  <si>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</si>
  <si>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</si>
  <si>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</si>
  <si>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</si>
  <si>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</si>
  <si>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</si>
  <si>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</si>
  <si>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</si>
  <si>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</si>
  <si>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</si>
  <si>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</si>
  <si>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</si>
  <si>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</si>
  <si>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</si>
  <si>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</si>
  <si>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</si>
  <si>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</si>
  <si>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</si>
  <si>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</si>
  <si>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</si>
  <si>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</si>
  <si>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</si>
  <si>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</si>
  <si>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</si>
  <si>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</si>
  <si>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</si>
  <si>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</si>
  <si>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</si>
  <si>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</si>
  <si>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</si>
  <si>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</si>
  <si>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</si>
  <si>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</si>
  <si>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</si>
  <si>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</si>
  <si>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</si>
  <si>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</si>
  <si>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</si>
  <si>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</si>
  <si>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</si>
  <si>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</si>
  <si>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</si>
  <si>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</si>
  <si>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</si>
  <si>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</si>
  <si>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</si>
  <si>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</si>
  <si>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</si>
  <si>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</si>
  <si>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</si>
  <si>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</si>
  <si>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</si>
  <si>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</si>
  <si>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</si>
  <si>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</si>
  <si>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</si>
  <si>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</si>
  <si>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</si>
  <si>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</si>
  <si>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</si>
  <si>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</si>
  <si>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</si>
  <si>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</si>
  <si>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</si>
  <si>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</si>
  <si>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</si>
  <si>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</si>
  <si>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</si>
  <si>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</si>
  <si>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</si>
  <si>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</si>
  <si>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</si>
  <si>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</si>
  <si>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</si>
  <si>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</si>
  <si>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</si>
  <si>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</si>
  <si>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</si>
  <si>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</si>
  <si>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</si>
  <si>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</si>
  <si>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</si>
  <si>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</si>
  <si>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</si>
  <si>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</si>
  <si>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</si>
  <si>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</si>
  <si>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</si>
  <si>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</si>
  <si>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</si>
  <si>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</si>
  <si>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</si>
  <si>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</si>
  <si>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</si>
  <si>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</si>
  <si>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</si>
  <si>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</si>
  <si>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</si>
  <si>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</si>
  <si>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</si>
  <si>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</si>
  <si>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</si>
  <si>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</si>
  <si>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</si>
  <si>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</si>
  <si>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</si>
  <si>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</si>
  <si>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</si>
  <si>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</si>
  <si>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</si>
  <si>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</si>
  <si>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</si>
  <si>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</si>
  <si>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</si>
  <si>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</si>
  <si>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</si>
  <si>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</si>
  <si>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</si>
  <si>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</si>
  <si>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</si>
  <si>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</si>
  <si>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</si>
  <si>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</si>
  <si>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</si>
  <si>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</si>
  <si>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</si>
  <si>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</si>
  <si>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</si>
  <si>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</si>
  <si>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</si>
  <si>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</si>
  <si>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</si>
  <si>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</si>
  <si>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</si>
  <si>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</si>
  <si>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</si>
  <si>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</si>
  <si>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</si>
  <si>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</si>
  <si>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</si>
  <si>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</si>
  <si>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</si>
  <si>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</si>
  <si>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</si>
  <si>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</si>
  <si>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</si>
  <si>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</si>
  <si>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</si>
  <si>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</si>
  <si>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</si>
  <si>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</si>
  <si>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</si>
  <si>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</si>
  <si>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</si>
  <si>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</si>
  <si>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</si>
  <si>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</si>
  <si>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</si>
  <si>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</si>
  <si>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</si>
  <si>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</si>
  <si>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</si>
  <si>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</si>
  <si>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</si>
  <si>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</si>
  <si>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</si>
  <si>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</si>
  <si>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</si>
  <si>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</si>
  <si>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</si>
  <si>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</si>
  <si>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</si>
  <si>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</si>
  <si>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</si>
  <si>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</si>
  <si>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</si>
  <si>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</si>
  <si>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</si>
  <si>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</si>
  <si>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</si>
  <si>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</si>
  <si>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</si>
  <si>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</si>
  <si>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</si>
  <si>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</si>
  <si>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</si>
  <si>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</si>
  <si>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</si>
  <si>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</si>
  <si>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</si>
  <si>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</si>
  <si>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</si>
  <si>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</si>
  <si>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</si>
  <si>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</si>
  <si>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</si>
  <si>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</si>
  <si>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</si>
  <si>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</si>
  <si>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</si>
  <si>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</si>
  <si>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</si>
  <si>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</si>
  <si>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</si>
  <si>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</si>
  <si>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</si>
  <si>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</si>
  <si>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</si>
  <si>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</si>
  <si>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</si>
  <si>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</si>
  <si>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</si>
  <si>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</si>
  <si>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</si>
  <si>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</si>
  <si>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</si>
  <si>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</si>
  <si>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</si>
  <si>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</si>
  <si>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</si>
  <si>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</si>
  <si>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</si>
  <si>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</si>
  <si>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</si>
  <si>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</si>
  <si>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</si>
  <si>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</si>
  <si>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</si>
  <si>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</si>
  <si>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</si>
  <si>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</si>
  <si>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</si>
  <si>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</si>
  <si>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</si>
  <si>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</si>
  <si>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</si>
  <si>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</si>
  <si>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</si>
  <si>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</si>
  <si>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</si>
  <si>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</si>
  <si>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</si>
  <si>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</si>
  <si>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</si>
  <si>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</si>
  <si>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</si>
  <si>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</si>
  <si>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</si>
  <si>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</si>
  <si>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</si>
  <si>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</si>
  <si>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</si>
  <si>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</si>
  <si>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</si>
  <si>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</si>
  <si>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</si>
  <si>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</si>
  <si>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</si>
  <si>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</si>
  <si>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</si>
  <si>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</si>
  <si>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</si>
  <si>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</si>
  <si>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</si>
  <si>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</si>
  <si>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</si>
  <si>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</si>
  <si>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</si>
  <si>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</si>
  <si>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</si>
  <si>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</si>
  <si>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</si>
  <si>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</si>
  <si>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</si>
  <si>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</si>
  <si>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</si>
  <si>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</si>
  <si>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</si>
  <si>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</si>
  <si>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</si>
  <si>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</si>
  <si>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</si>
  <si>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</si>
  <si>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</si>
  <si>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</si>
  <si>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</si>
  <si>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</si>
  <si>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</si>
  <si>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</si>
  <si>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</si>
  <si>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</si>
  <si>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</si>
  <si>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</si>
  <si>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</si>
  <si>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</si>
  <si>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</si>
  <si>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</si>
  <si>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</si>
  <si>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</si>
  <si>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</si>
  <si>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</si>
  <si>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</si>
  <si>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</si>
  <si>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</si>
  <si>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</si>
  <si>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</si>
  <si>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</si>
  <si>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</si>
  <si>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</si>
  <si>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</si>
  <si>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</si>
  <si>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</si>
  <si>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</si>
  <si>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</si>
  <si>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</si>
  <si>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</si>
  <si>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</si>
  <si>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</si>
  <si>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</si>
  <si>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</si>
  <si>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</si>
  <si>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</si>
  <si>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</si>
  <si>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</si>
  <si>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</si>
  <si>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</si>
  <si>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</si>
  <si>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</si>
  <si>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</si>
  <si>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</si>
  <si>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</si>
  <si>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</si>
  <si>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</si>
  <si>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</si>
  <si>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</si>
  <si>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</si>
  <si>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</si>
  <si>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</si>
  <si>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</si>
  <si>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</si>
  <si>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</si>
  <si>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</si>
  <si>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</si>
  <si>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</si>
  <si>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</si>
  <si>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</si>
  <si>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</si>
  <si>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</si>
  <si>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</si>
  <si>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</si>
  <si>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</si>
  <si>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</si>
  <si>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</si>
  <si>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</si>
  <si>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</si>
  <si>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</si>
  <si>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</si>
  <si>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</si>
  <si>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</si>
  <si>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</si>
  <si>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</si>
  <si>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</si>
  <si>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</si>
  <si>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</si>
  <si>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</si>
  <si>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</si>
  <si>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</si>
  <si>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</si>
  <si>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</si>
  <si>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</si>
  <si>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</si>
  <si>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</si>
  <si>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</si>
  <si>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</si>
  <si>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</si>
  <si>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</si>
  <si>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</si>
  <si>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</si>
  <si>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</si>
  <si>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</si>
  <si>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注册房地产估价师</t>
    </r>
  </si>
  <si>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</si>
  <si>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</si>
  <si>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</si>
  <si>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</si>
  <si>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</si>
  <si>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</si>
  <si>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</si>
  <si>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</si>
  <si>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</si>
  <si>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</si>
  <si>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</si>
  <si>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</si>
  <si>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</si>
  <si>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</si>
  <si>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</si>
  <si>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</si>
  <si>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</si>
  <si>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</si>
  <si>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</si>
  <si>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</si>
  <si>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</si>
  <si>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</si>
  <si>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</si>
  <si>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</si>
  <si>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</si>
  <si>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</si>
  <si>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</si>
  <si>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</si>
  <si>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</si>
  <si>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</si>
  <si>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</si>
  <si>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</si>
  <si>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</si>
  <si>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</si>
  <si>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</si>
  <si>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</si>
  <si>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</si>
  <si>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</si>
  <si>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</si>
  <si>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</si>
  <si>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</si>
  <si>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</si>
  <si>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</si>
  <si>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</si>
  <si>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</si>
  <si>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</si>
  <si>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</si>
  <si>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</si>
  <si>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</si>
  <si>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</si>
  <si>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</si>
  <si>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</si>
  <si>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</si>
  <si>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</si>
  <si>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</si>
  <si>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</si>
  <si>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</si>
  <si>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</si>
  <si>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</si>
  <si>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</si>
  <si>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</si>
  <si>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</si>
  <si>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</si>
  <si>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</si>
  <si>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</si>
  <si>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</si>
  <si>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</si>
  <si>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</si>
  <si>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</si>
  <si>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</si>
  <si>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</si>
  <si>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</si>
  <si>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</si>
  <si>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</si>
  <si>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</si>
  <si>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</si>
  <si>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</si>
  <si>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</si>
  <si>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</si>
  <si>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</si>
  <si>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</si>
  <si>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</si>
  <si>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</si>
  <si>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</si>
  <si>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</si>
  <si>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</si>
  <si>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</si>
  <si>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</si>
  <si>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</si>
  <si>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</si>
  <si>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</si>
  <si>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</si>
  <si>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</si>
  <si>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</si>
  <si>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</si>
  <si>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</si>
  <si>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</si>
  <si>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</si>
  <si>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</si>
  <si>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</si>
  <si>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</si>
  <si>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</si>
  <si>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</si>
  <si>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</si>
  <si>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</si>
  <si>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</si>
  <si>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</si>
  <si>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</si>
  <si>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</si>
  <si>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</si>
  <si>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</si>
  <si>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</si>
  <si>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</si>
  <si>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</si>
  <si>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</si>
  <si>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</si>
  <si>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</si>
  <si>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</si>
  <si>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</si>
  <si>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</si>
  <si>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</si>
  <si>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</si>
  <si>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</si>
  <si>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</si>
  <si>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</si>
  <si>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</si>
  <si>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</si>
  <si>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</si>
  <si>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</si>
  <si>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</si>
  <si>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</si>
  <si>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</si>
  <si>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</si>
  <si>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</si>
  <si>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</si>
  <si>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</si>
  <si>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</si>
  <si>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</si>
  <si>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</si>
  <si>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</si>
  <si>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</si>
  <si>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</si>
  <si>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</si>
  <si>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</si>
  <si>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</si>
  <si>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</si>
  <si>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</si>
  <si>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</si>
  <si>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</si>
  <si>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</si>
  <si>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</si>
  <si>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</si>
  <si>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</si>
  <si>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</si>
  <si>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</si>
  <si>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</si>
  <si>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</si>
  <si>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</si>
  <si>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</si>
  <si>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</si>
  <si>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</si>
  <si>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</si>
  <si>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</si>
  <si>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</si>
  <si>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</si>
  <si>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</si>
  <si>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</si>
  <si>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</si>
  <si>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</si>
  <si>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</si>
  <si>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</si>
  <si>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</si>
  <si>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</si>
  <si>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</si>
  <si>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</si>
  <si>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</si>
  <si>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</si>
  <si>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</si>
  <si>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</si>
  <si>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</si>
  <si>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</si>
  <si>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</si>
  <si>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</si>
  <si>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</si>
  <si>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</si>
  <si>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</si>
  <si>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</si>
  <si>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</si>
  <si>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</si>
  <si>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</si>
  <si>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</si>
  <si>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</si>
  <si>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</si>
  <si>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</si>
  <si>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</si>
  <si>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</si>
  <si>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</si>
  <si>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</si>
  <si>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</si>
  <si>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</si>
  <si>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</si>
  <si>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</si>
  <si>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</si>
  <si>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</si>
  <si>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</si>
  <si>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</si>
  <si>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</si>
  <si>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</si>
  <si>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</si>
  <si>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</si>
  <si>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</si>
  <si>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</si>
  <si>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</si>
  <si>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</si>
  <si>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</si>
  <si>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</si>
  <si>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</si>
  <si>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</si>
  <si>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</si>
  <si>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</si>
  <si>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</si>
  <si>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</si>
  <si>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</si>
  <si>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</si>
  <si>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</si>
  <si>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</si>
  <si>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</si>
  <si>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</si>
  <si>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</si>
  <si>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</si>
  <si>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</si>
  <si>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</si>
  <si>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</si>
  <si>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</si>
  <si>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</si>
  <si>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</si>
  <si>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</si>
  <si>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</si>
  <si>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</si>
  <si>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</si>
  <si>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</si>
  <si>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</si>
  <si>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</si>
  <si>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</si>
  <si>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</si>
  <si>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</si>
  <si>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</si>
  <si>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</si>
  <si>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</si>
  <si>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</si>
  <si>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</si>
  <si>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</si>
  <si>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</si>
  <si>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</si>
  <si>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</si>
  <si>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</si>
  <si>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</si>
  <si>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</si>
  <si>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</si>
  <si>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</si>
  <si>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</si>
  <si>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</si>
  <si>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</si>
  <si>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</si>
  <si>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</si>
  <si>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</si>
  <si>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</si>
  <si>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</si>
  <si>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</si>
  <si>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</si>
  <si>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</si>
  <si>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</si>
  <si>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</si>
  <si>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</si>
  <si>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</si>
  <si>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</si>
  <si>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</si>
  <si>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</si>
  <si>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</si>
  <si>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</si>
  <si>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</si>
  <si>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</si>
  <si>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</si>
  <si>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</si>
  <si>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</si>
  <si>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</si>
  <si>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</si>
  <si>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</si>
  <si>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</si>
  <si>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</si>
  <si>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</si>
  <si>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</si>
  <si>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</si>
  <si>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</si>
  <si>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</si>
  <si>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</si>
  <si>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</si>
  <si>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</si>
  <si>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</si>
  <si>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</si>
  <si>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</si>
  <si>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</si>
  <si>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</si>
  <si>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</si>
  <si>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</si>
  <si>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</si>
  <si>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</si>
  <si>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</si>
  <si>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</si>
  <si>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</si>
  <si>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</si>
  <si>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</si>
  <si>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</si>
  <si>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</si>
  <si>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</si>
  <si>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</si>
  <si>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</si>
  <si>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</si>
  <si>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</si>
  <si>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</si>
  <si>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</si>
  <si>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</si>
  <si>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</si>
  <si>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</si>
  <si>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</si>
  <si>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</si>
  <si>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</si>
  <si>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</si>
  <si>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</si>
  <si>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</si>
  <si>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</si>
  <si>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</si>
  <si>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</si>
  <si>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</si>
  <si>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</si>
  <si>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</si>
  <si>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</si>
  <si>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</si>
  <si>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</si>
  <si>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</si>
  <si>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</si>
  <si>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</si>
  <si>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</si>
  <si>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</si>
  <si>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</si>
  <si>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</si>
  <si>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</si>
  <si>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</si>
  <si>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</si>
  <si>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</si>
  <si>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</si>
  <si>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</si>
  <si>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</si>
  <si>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</si>
  <si>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</si>
  <si>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</si>
  <si>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</si>
  <si>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</si>
  <si>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</si>
  <si>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</si>
  <si>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</si>
  <si>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</si>
  <si>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</si>
  <si>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</si>
  <si>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</si>
  <si>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</si>
  <si>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</si>
  <si>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</si>
  <si>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</si>
  <si>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</si>
  <si>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</si>
  <si>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</si>
  <si>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</si>
  <si>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</si>
  <si>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</si>
  <si>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</si>
  <si>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</si>
  <si>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</si>
  <si>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</si>
  <si>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</si>
  <si>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</si>
  <si>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</si>
  <si>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</si>
  <si>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</si>
  <si>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</si>
  <si>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</si>
  <si>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</si>
  <si>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</si>
  <si>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</si>
  <si>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</si>
  <si>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</si>
  <si>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</si>
  <si>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</si>
  <si>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</si>
  <si>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</si>
  <si>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</si>
  <si>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</si>
  <si>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</si>
  <si>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</si>
  <si>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</si>
  <si>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</si>
  <si>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</si>
  <si>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</si>
  <si>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</si>
  <si>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</si>
  <si>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</si>
  <si>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</si>
  <si>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</si>
  <si>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</si>
  <si>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</si>
  <si>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</si>
  <si>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</si>
  <si>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</si>
  <si>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</si>
  <si>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</si>
  <si>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</si>
  <si>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</si>
  <si>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</si>
  <si>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</si>
  <si>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</si>
  <si>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</si>
  <si>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</si>
  <si>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</si>
  <si>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</si>
  <si>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</si>
  <si>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</si>
  <si>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</si>
  <si>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</si>
  <si>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</si>
  <si>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</si>
  <si>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</si>
  <si>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</si>
  <si>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</si>
  <si>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</si>
  <si>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</si>
  <si>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</si>
  <si>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</si>
  <si>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</si>
  <si>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</si>
  <si>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</si>
  <si>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</si>
  <si>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</si>
  <si>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</si>
  <si>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</si>
  <si>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</si>
  <si>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</si>
  <si>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</si>
  <si>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</si>
  <si>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</si>
  <si>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</si>
  <si>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</si>
  <si>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</si>
  <si>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</si>
  <si>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</si>
  <si>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</si>
  <si>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</si>
  <si>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</si>
  <si>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</si>
  <si>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</si>
  <si>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</si>
  <si>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</si>
  <si>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</si>
  <si>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</si>
  <si>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</si>
  <si>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</si>
  <si>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</si>
  <si>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</si>
  <si>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</si>
  <si>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</si>
  <si>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</si>
  <si>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</si>
  <si>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</si>
  <si>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</si>
  <si>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</si>
  <si>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</si>
  <si>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</si>
  <si>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</si>
  <si>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</si>
  <si>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</si>
  <si>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</si>
  <si>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</si>
  <si>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</si>
  <si>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</si>
  <si>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</si>
  <si>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</si>
  <si>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</si>
  <si>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</si>
  <si>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</si>
  <si>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</si>
  <si>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</si>
  <si>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</si>
  <si>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</si>
  <si>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</si>
  <si>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</si>
  <si>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</si>
  <si>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</si>
  <si>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</si>
  <si>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</si>
  <si>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</si>
  <si>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</si>
  <si>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</si>
  <si>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</si>
  <si>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</si>
  <si>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</si>
  <si>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</si>
  <si>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</si>
  <si>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</si>
  <si>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</si>
  <si>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</si>
  <si>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</si>
  <si>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</si>
  <si>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</si>
  <si>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</si>
  <si>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</si>
  <si>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</si>
  <si>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</si>
  <si>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</si>
  <si>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</si>
  <si>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</si>
  <si>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</si>
  <si>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</si>
  <si>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</si>
  <si>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</si>
  <si>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</si>
  <si>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</si>
  <si>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</si>
  <si>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</si>
  <si>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</si>
  <si>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</si>
  <si>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</si>
  <si>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</si>
  <si>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</si>
  <si>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</si>
  <si>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</si>
  <si>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</si>
  <si>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</si>
  <si>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</si>
  <si>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</si>
  <si>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</si>
  <si>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</si>
  <si>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</si>
  <si>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</si>
  <si>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</si>
  <si>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</si>
  <si>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</si>
  <si>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</si>
  <si>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</si>
  <si>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</si>
  <si>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</si>
  <si>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</si>
  <si>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</si>
  <si>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</si>
  <si>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</si>
  <si>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</si>
  <si>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</si>
  <si>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</si>
  <si>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</si>
  <si>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</si>
  <si>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</si>
  <si>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</si>
  <si>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</si>
  <si>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</si>
  <si>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</si>
  <si>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</si>
  <si>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</si>
  <si>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</si>
  <si>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</si>
  <si>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</si>
  <si>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</si>
  <si>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</si>
  <si>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</si>
  <si>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</si>
  <si>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</si>
  <si>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</si>
  <si>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</si>
  <si>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</si>
  <si>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</si>
  <si>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</si>
  <si>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</si>
  <si>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</si>
  <si>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</si>
  <si>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</si>
  <si>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</si>
  <si>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</si>
  <si>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</si>
  <si>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</si>
  <si>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</si>
  <si>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</si>
  <si>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</si>
  <si>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</si>
  <si>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</si>
  <si>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</si>
  <si>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</si>
  <si>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</si>
  <si>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</si>
  <si>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</si>
  <si>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</si>
  <si>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</si>
  <si>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</si>
  <si>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</si>
  <si>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</si>
  <si>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</si>
  <si>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</si>
  <si>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</si>
  <si>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</si>
  <si>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</si>
  <si>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</si>
  <si>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</si>
  <si>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</si>
  <si>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</si>
  <si>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</si>
  <si>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</si>
  <si>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</si>
  <si>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</si>
  <si>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</si>
  <si>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</si>
  <si>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</si>
  <si>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</si>
  <si>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</si>
  <si>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</si>
  <si>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</si>
  <si>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</si>
  <si>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</si>
  <si>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</si>
  <si>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</si>
  <si>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</si>
  <si>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</si>
  <si>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</si>
  <si>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</si>
  <si>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</si>
  <si>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</si>
  <si>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</si>
  <si>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</si>
  <si>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</si>
  <si>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</si>
  <si>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</si>
  <si>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</si>
  <si>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</si>
  <si>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</si>
  <si>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</si>
  <si>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</si>
  <si>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</si>
  <si>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</si>
  <si>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</si>
  <si>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</si>
  <si>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</si>
  <si>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</si>
  <si>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</si>
  <si>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</si>
  <si>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</si>
  <si>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</si>
  <si>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</si>
  <si>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</si>
  <si>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</si>
  <si>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</si>
  <si>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</si>
  <si>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</si>
  <si>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</si>
  <si>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</si>
  <si>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</si>
  <si>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</si>
  <si>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</si>
  <si>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</si>
  <si>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</si>
  <si>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</si>
  <si>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</si>
  <si>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</si>
  <si>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</si>
  <si>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</si>
  <si>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</si>
  <si>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</si>
  <si>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</si>
  <si>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</si>
  <si>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</si>
  <si>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</si>
  <si>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</si>
  <si>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</si>
  <si>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</si>
  <si>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</si>
  <si>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</si>
  <si>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</si>
  <si>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</si>
  <si>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</si>
  <si>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</si>
  <si>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</si>
  <si>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</si>
  <si>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</si>
  <si>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</si>
  <si>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</si>
  <si>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</si>
  <si>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</si>
  <si>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</si>
  <si>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</si>
  <si>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</si>
  <si>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</si>
  <si>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</si>
  <si>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</si>
  <si>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</si>
  <si>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</si>
  <si>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</si>
  <si>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</si>
  <si>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</si>
  <si>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</si>
  <si>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</si>
  <si>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</si>
  <si>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</si>
  <si>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</si>
  <si>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</si>
  <si>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</si>
  <si>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</si>
  <si>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</si>
  <si>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</si>
  <si>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</si>
  <si>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</si>
  <si>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</si>
  <si>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</si>
  <si>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</si>
  <si>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</si>
  <si>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</si>
  <si>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</si>
  <si>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</si>
  <si>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</si>
  <si>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</si>
  <si>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</si>
  <si>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</si>
  <si>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</si>
  <si>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</si>
  <si>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</si>
  <si>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</si>
  <si>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</si>
  <si>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</si>
  <si>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</si>
  <si>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</si>
  <si>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</si>
  <si>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</si>
  <si>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</si>
  <si>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</si>
  <si>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</si>
  <si>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</si>
  <si>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</si>
  <si>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</si>
  <si>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</si>
  <si>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</si>
  <si>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</si>
  <si>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</si>
  <si>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</si>
  <si>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</si>
  <si>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</si>
  <si>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</si>
  <si>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</si>
  <si>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</si>
  <si>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</si>
  <si>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</si>
  <si>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</si>
  <si>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</si>
  <si>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</si>
  <si>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</si>
  <si>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</si>
  <si>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</si>
  <si>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</si>
  <si>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</si>
  <si>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</si>
  <si>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</si>
  <si>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</si>
  <si>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</si>
  <si>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</si>
  <si>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</si>
  <si>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</si>
  <si>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</si>
  <si>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</si>
  <si>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</si>
  <si>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</si>
  <si>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</si>
  <si>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</si>
  <si>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</si>
  <si>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</si>
  <si>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</si>
  <si>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</si>
  <si>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</si>
  <si>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</si>
  <si>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</si>
  <si>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</si>
  <si>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</si>
  <si>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</si>
  <si>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</si>
  <si>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</si>
  <si>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</si>
  <si>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</si>
  <si>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</si>
  <si>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</si>
  <si>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</si>
  <si>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</si>
  <si>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</si>
  <si>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</si>
  <si>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</si>
  <si>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</si>
  <si>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</si>
  <si>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</si>
  <si>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</si>
  <si>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</si>
  <si>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</si>
  <si>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</si>
  <si>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</si>
  <si>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</si>
  <si>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</si>
  <si>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</si>
  <si>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</si>
  <si>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</si>
  <si>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</si>
  <si>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</si>
  <si>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</si>
  <si>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</si>
  <si>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</si>
  <si>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</si>
  <si>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</si>
  <si>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</si>
  <si>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</si>
  <si>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</si>
  <si>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</si>
  <si>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</si>
  <si>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</si>
  <si>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</si>
  <si>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</si>
  <si>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</si>
  <si>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</si>
  <si>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</si>
  <si>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</si>
  <si>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</si>
  <si>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</si>
  <si>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</si>
  <si>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</si>
  <si>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</si>
  <si>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</si>
  <si>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</si>
  <si>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</si>
  <si>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</si>
  <si>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</si>
  <si>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</si>
  <si>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</si>
  <si>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</si>
  <si>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</si>
  <si>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</si>
  <si>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</si>
  <si>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</si>
  <si>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</si>
  <si>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</si>
  <si>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</si>
  <si>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</si>
  <si>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</si>
  <si>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</si>
  <si>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</si>
  <si>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</si>
  <si>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</si>
  <si>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</si>
  <si>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</si>
  <si>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</si>
  <si>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</si>
  <si>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</si>
  <si>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</si>
  <si>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</si>
  <si>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</si>
  <si>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</si>
  <si>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</si>
  <si>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</si>
  <si>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</si>
  <si>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</si>
  <si>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</si>
  <si>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</si>
  <si>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</si>
  <si>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</si>
  <si>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</si>
  <si>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</si>
  <si>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</si>
  <si>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</si>
  <si>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</si>
  <si>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</si>
  <si>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</si>
  <si>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</si>
  <si>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</si>
  <si>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</si>
  <si>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</si>
  <si>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</si>
  <si>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</si>
  <si>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</si>
  <si>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</si>
  <si>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</si>
  <si>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</si>
  <si>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</si>
  <si>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</si>
  <si>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</si>
  <si>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</si>
  <si>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</si>
  <si>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</si>
  <si>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</si>
  <si>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</si>
  <si>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</si>
  <si>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</si>
  <si>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</si>
  <si>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</si>
  <si>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</si>
  <si>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</si>
  <si>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</si>
  <si>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</si>
  <si>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</si>
  <si>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</si>
  <si>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</si>
  <si>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</si>
  <si>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</si>
  <si>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</si>
  <si>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</si>
  <si>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</si>
  <si>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</si>
  <si>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</si>
  <si>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</si>
  <si>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</si>
  <si>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</si>
  <si>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</si>
  <si>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</si>
  <si>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</si>
  <si>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</si>
  <si>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</si>
  <si>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</si>
  <si>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</si>
  <si>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</si>
  <si>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</si>
  <si>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</si>
  <si>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</si>
  <si>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</si>
  <si>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</si>
  <si>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</si>
  <si>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</si>
  <si>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</si>
  <si>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</si>
  <si>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</si>
  <si>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</si>
  <si>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</si>
  <si>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</si>
  <si>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</si>
  <si>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</si>
  <si>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</si>
  <si>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</si>
  <si>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</si>
  <si>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</si>
  <si>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</si>
  <si>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</si>
  <si>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</si>
  <si>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</si>
  <si>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</si>
  <si>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</si>
  <si>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</si>
  <si>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</si>
  <si>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</si>
  <si>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</si>
  <si>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</si>
  <si>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</si>
  <si>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</si>
  <si>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</si>
  <si>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</si>
  <si>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</si>
  <si>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</si>
  <si>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</si>
  <si>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</si>
  <si>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</si>
  <si>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</si>
  <si>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</si>
  <si>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</si>
  <si>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</si>
  <si>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</si>
  <si>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</si>
  <si>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</si>
  <si>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</si>
  <si>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</si>
  <si>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</si>
  <si>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</si>
  <si>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</si>
  <si>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</si>
  <si>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</si>
  <si>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</si>
  <si>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</si>
  <si>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</si>
  <si>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</si>
  <si>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</si>
  <si>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</si>
  <si>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</si>
  <si>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</si>
  <si>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</si>
  <si>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</si>
  <si>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</si>
  <si>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</si>
  <si>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</si>
  <si>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</si>
  <si>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</si>
  <si>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</si>
  <si>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</si>
  <si>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</si>
  <si>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</si>
  <si>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</si>
  <si>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</si>
  <si>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</si>
  <si>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</si>
  <si>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</si>
  <si>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</si>
  <si>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</si>
  <si>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</si>
  <si>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</si>
  <si>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</si>
  <si>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</si>
  <si>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</si>
  <si>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</si>
  <si>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</si>
  <si>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</si>
  <si>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</si>
  <si>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</si>
  <si>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</si>
  <si>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</si>
  <si>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</si>
  <si>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</si>
  <si>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</si>
  <si>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</si>
  <si>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</si>
  <si>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</si>
  <si>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</si>
  <si>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</si>
  <si>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</si>
  <si>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</si>
  <si>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</si>
  <si>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</si>
  <si>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</si>
  <si>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</si>
  <si>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</si>
  <si>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</si>
  <si>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</si>
  <si>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</si>
  <si>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</si>
  <si>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</si>
  <si>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</si>
  <si>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</si>
  <si>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</si>
  <si>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</si>
  <si>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</si>
  <si>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</si>
  <si>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</si>
  <si>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</si>
  <si>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</si>
  <si>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</si>
  <si>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</si>
  <si>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</si>
  <si>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</si>
  <si>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</si>
  <si>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</si>
  <si>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</si>
  <si>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</si>
  <si>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</si>
  <si>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</si>
  <si>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</si>
  <si>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</si>
  <si>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</si>
  <si>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</si>
  <si>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</si>
  <si>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</si>
  <si>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</si>
  <si>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</si>
  <si>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</si>
  <si>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</si>
  <si>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</si>
  <si>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</si>
  <si>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</si>
  <si>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</si>
  <si>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</si>
  <si>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</si>
  <si>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</si>
  <si>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</si>
  <si>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</si>
  <si>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</si>
  <si>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</si>
  <si>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</si>
  <si>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</si>
  <si>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</si>
  <si>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</si>
  <si>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</si>
  <si>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</si>
  <si>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</si>
  <si>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</si>
  <si>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</si>
  <si>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</si>
  <si>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</si>
  <si>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</si>
  <si>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</si>
  <si>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</si>
  <si>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</si>
  <si>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</si>
  <si>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</si>
  <si>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</si>
  <si>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</si>
  <si>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</si>
  <si>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</si>
  <si>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</si>
  <si>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</si>
  <si>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</si>
  <si>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</si>
  <si>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</si>
  <si>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</si>
  <si>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</si>
  <si>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</si>
  <si>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</si>
  <si>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</si>
  <si>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</si>
  <si>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</si>
  <si>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</si>
  <si>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</si>
  <si>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</si>
  <si>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</si>
  <si>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</si>
  <si>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</si>
  <si>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</si>
  <si>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</si>
  <si>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</si>
  <si>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</si>
  <si>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</si>
  <si>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</si>
  <si>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</si>
  <si>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</si>
  <si>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</si>
  <si>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</si>
  <si>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</si>
  <si>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</si>
  <si>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</si>
  <si>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</si>
  <si>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</si>
  <si>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</si>
  <si>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</si>
  <si>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</si>
  <si>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</si>
  <si>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</si>
  <si>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</si>
  <si>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</si>
  <si>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</si>
  <si>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</si>
  <si>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</si>
  <si>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</si>
  <si>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</si>
  <si>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</si>
  <si>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</si>
  <si>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</si>
  <si>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</si>
  <si>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</si>
  <si>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</si>
  <si>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</si>
  <si>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</si>
  <si>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</si>
  <si>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</si>
  <si>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</si>
  <si>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</si>
  <si>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</si>
  <si>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</si>
  <si>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</si>
  <si>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</si>
  <si>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</si>
  <si>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</si>
  <si>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</si>
  <si>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</si>
  <si>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</si>
  <si>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</si>
  <si>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</si>
  <si>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</si>
  <si>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</si>
  <si>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</si>
  <si>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</si>
  <si>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</si>
  <si>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</si>
  <si>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</si>
  <si>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</si>
  <si>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</si>
  <si>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</si>
  <si>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</si>
  <si>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</si>
  <si>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</si>
  <si>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</si>
  <si>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</si>
  <si>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</si>
  <si>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</si>
  <si>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</si>
  <si>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</si>
  <si>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</si>
  <si>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</si>
  <si>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</si>
  <si>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</si>
  <si>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</si>
  <si>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</si>
  <si>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</si>
  <si>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</si>
  <si>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</si>
  <si>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</si>
  <si>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</si>
  <si>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</si>
  <si>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</si>
  <si>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</si>
  <si>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</si>
  <si>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</si>
  <si>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</si>
  <si>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</si>
  <si>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</si>
  <si>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</si>
  <si>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</si>
  <si>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</si>
  <si>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</si>
  <si>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</si>
  <si>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</si>
  <si>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</si>
  <si>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</si>
  <si>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</si>
  <si>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</si>
  <si>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</si>
  <si>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</si>
  <si>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</si>
  <si>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</si>
  <si>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</si>
  <si>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</si>
  <si>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</si>
  <si>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</si>
  <si>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</si>
  <si>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</si>
  <si>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</si>
  <si>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</si>
  <si>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</si>
  <si>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</si>
  <si>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</si>
  <si>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</si>
  <si>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</si>
  <si>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</si>
  <si>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</si>
  <si>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</si>
  <si>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</si>
  <si>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</si>
  <si>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</si>
  <si>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</si>
  <si>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</si>
  <si>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</si>
  <si>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</si>
  <si>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</si>
  <si>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</si>
  <si>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</si>
  <si>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</si>
  <si>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</si>
  <si>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</si>
  <si>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</si>
  <si>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</si>
  <si>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</si>
  <si>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</si>
  <si>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</si>
  <si>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</si>
  <si>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</si>
  <si>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</si>
  <si>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</si>
  <si>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</si>
  <si>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</si>
  <si>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</si>
  <si>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</si>
  <si>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</si>
  <si>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</si>
  <si>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</si>
  <si>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</si>
  <si>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</si>
  <si>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</si>
  <si>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</si>
  <si>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</si>
  <si>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</si>
  <si>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</si>
  <si>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住宅</t>
  </si>
  <si>
    <t>住宅</t>
    <phoneticPr fontId="7" type="noConversion"/>
  </si>
  <si>
    <t>元</t>
  </si>
  <si>
    <t>楼面单价</t>
  </si>
  <si>
    <t>无租约</t>
  </si>
  <si>
    <t>估价对象周边有府前东街、金台园小区、南华园村、东关家园等居住小区，小区规模和社区发展完善程度一般，综合评价居住社区成熟度一般</t>
    <phoneticPr fontId="4" type="noConversion"/>
  </si>
  <si>
    <t>估价对象所在区域公共配套设施齐备情况一般</t>
    <phoneticPr fontId="4" type="noConversion"/>
  </si>
  <si>
    <t>估价对象所在区域基础设施水平——七通</t>
    <phoneticPr fontId="4" type="noConversion"/>
  </si>
  <si>
    <t>估价对象所在区域基础设施水平——七通</t>
    <phoneticPr fontId="4" type="noConversion"/>
  </si>
  <si>
    <t>城市支路——下园一条</t>
    <phoneticPr fontId="4" type="noConversion"/>
  </si>
  <si>
    <t>估价对象</t>
  </si>
  <si>
    <t>设定收益年期(n)</t>
  </si>
  <si>
    <t>自然人</t>
  </si>
  <si>
    <t>北京市</t>
  </si>
  <si>
    <t>售价</t>
  </si>
  <si>
    <t>收益法</t>
  </si>
  <si>
    <t>北京市怀柔区南华园一区</t>
    <phoneticPr fontId="4" type="noConversion"/>
  </si>
  <si>
    <t>正常</t>
  </si>
  <si>
    <t>40-50（含）</t>
  </si>
  <si>
    <t>50-60（含）</t>
  </si>
  <si>
    <t>估价对象周边有府前东街、金台园小区、南华园村、东关家园等居住小区，小区规模和社区发展完善程度一般，综合评价居住社区成熟度一般</t>
  </si>
  <si>
    <t>估价对象紧邻城市支路——下园一条，周边无地铁、有868路、916路、h58路、h59路公交线路等，综合评价交通便捷度一般</t>
  </si>
  <si>
    <t>估价对象所在区域公共配套设施齐备情况一般</t>
    <phoneticPr fontId="4" type="noConversion"/>
  </si>
  <si>
    <t>估价对象所在区域公共配套设施齐备情况一般</t>
    <phoneticPr fontId="4" type="noConversion"/>
  </si>
  <si>
    <t>估价对象所在区域基础设施水平——七通</t>
    <phoneticPr fontId="4" type="noConversion"/>
  </si>
  <si>
    <t>估价对象所在区域基础设施水平——七通</t>
    <phoneticPr fontId="4" type="noConversion"/>
  </si>
  <si>
    <t>七通</t>
  </si>
  <si>
    <t>自然环境：普法公园、迎宾公园、怀柔水库等；人文环境：怀柔区博物馆等，综合评价环境状况一般</t>
  </si>
  <si>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</si>
  <si>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</si>
  <si>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</si>
  <si>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</si>
  <si>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</si>
  <si>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</si>
  <si>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</si>
  <si>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</si>
  <si>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</si>
  <si>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西</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</si>
  <si>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</si>
  <si>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</si>
  <si>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</si>
  <si>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</si>
  <si>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</si>
  <si>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r>
      <t>4/6</t>
    </r>
    <r>
      <rPr>
        <sz val="11"/>
        <rFont val="宋体"/>
        <family val="3"/>
        <charset val="134"/>
      </rPr>
      <t>（中楼层）</t>
    </r>
    <phoneticPr fontId="4" type="noConversion"/>
  </si>
  <si>
    <r>
      <rPr>
        <sz val="11"/>
        <rFont val="宋体"/>
        <family val="3"/>
        <charset val="134"/>
      </rPr>
      <t>低楼层</t>
    </r>
    <r>
      <rPr>
        <sz val="11"/>
        <rFont val="Arial"/>
        <family val="2"/>
      </rPr>
      <t>/6</t>
    </r>
    <phoneticPr fontId="4" type="noConversion"/>
  </si>
  <si>
    <t>楼层</t>
    <phoneticPr fontId="20" type="noConversion"/>
  </si>
  <si>
    <t>独栋</t>
    <phoneticPr fontId="4" type="noConversion"/>
  </si>
  <si>
    <t>联排</t>
    <phoneticPr fontId="4" type="noConversion"/>
  </si>
  <si>
    <t>蝶式楼</t>
    <phoneticPr fontId="4" type="noConversion"/>
  </si>
  <si>
    <t>板楼</t>
    <phoneticPr fontId="4" type="noConversion"/>
  </si>
  <si>
    <t>塔楼</t>
    <phoneticPr fontId="4" type="noConversion"/>
  </si>
  <si>
    <t>板塔结合</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</si>
  <si>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</si>
  <si>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</si>
  <si>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</si>
  <si>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</si>
  <si>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</si>
  <si>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</si>
  <si>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</si>
  <si>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</si>
  <si>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</si>
  <si>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</si>
  <si>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</si>
  <si>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</si>
  <si>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</si>
  <si>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</si>
  <si>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</si>
  <si>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</si>
  <si>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</si>
  <si>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跃层</t>
    <phoneticPr fontId="4" type="noConversion"/>
  </si>
  <si>
    <t>平层</t>
    <phoneticPr fontId="4" type="noConversion"/>
  </si>
  <si>
    <t>建成年代</t>
    <phoneticPr fontId="20" type="noConversion"/>
  </si>
  <si>
    <t>南北</t>
  </si>
  <si>
    <t>主</t>
    <phoneticPr fontId="4" type="noConversion"/>
  </si>
  <si>
    <t>主</t>
    <phoneticPr fontId="4" type="noConversion"/>
  </si>
  <si>
    <r>
      <t>4/6</t>
    </r>
    <r>
      <rPr>
        <sz val="11"/>
        <rFont val="宋体"/>
        <family val="3"/>
        <charset val="134"/>
      </rPr>
      <t>（中楼层）</t>
    </r>
    <phoneticPr fontId="4" type="noConversion"/>
  </si>
  <si>
    <r>
      <rPr>
        <sz val="11"/>
        <rFont val="宋体"/>
        <family val="3"/>
        <charset val="134"/>
      </rPr>
      <t>低楼层</t>
    </r>
    <r>
      <rPr>
        <sz val="11"/>
        <rFont val="Arial"/>
        <family val="2"/>
      </rPr>
      <t>/6</t>
    </r>
    <phoneticPr fontId="4" type="noConversion"/>
  </si>
  <si>
    <t>低楼层/6</t>
  </si>
  <si>
    <r>
      <rPr>
        <sz val="11"/>
        <rFont val="宋体"/>
        <family val="3"/>
        <charset val="134"/>
      </rPr>
      <t>低楼层</t>
    </r>
    <r>
      <rPr>
        <sz val="11"/>
        <rFont val="Arial"/>
        <family val="2"/>
      </rPr>
      <t>/6</t>
    </r>
    <phoneticPr fontId="4" type="noConversion"/>
  </si>
  <si>
    <t>板楼</t>
  </si>
  <si>
    <t>混合</t>
  </si>
  <si>
    <t>简装</t>
  </si>
  <si>
    <t>居委会</t>
  </si>
  <si>
    <t>居委会</t>
    <phoneticPr fontId="20" type="noConversion"/>
  </si>
  <si>
    <t>平层</t>
  </si>
  <si>
    <t>普通装修</t>
  </si>
  <si>
    <t>支路</t>
    <phoneticPr fontId="4" type="noConversion"/>
  </si>
  <si>
    <t>比较法-住宅</t>
  </si>
  <si>
    <t>六通</t>
  </si>
  <si>
    <t>估价对象紧邻城市支路——下园一条，周边无地铁、有868路、916路、h58路、h59路公交线路等，综合评价交通便捷度一般</t>
    <phoneticPr fontId="4" type="noConversion"/>
  </si>
  <si>
    <t>自然环境：普法公园、迎宾公园、怀柔水库等；人文环境：怀柔区博物馆等，综合评价环境状况一般</t>
    <phoneticPr fontId="4" type="noConversion"/>
  </si>
  <si>
    <t>北京市怀柔区下园一条10号楼4层2-401号住宅用房房地产市场价值评估</t>
    <phoneticPr fontId="4" type="noConversion"/>
  </si>
  <si>
    <t>北京市怀柔区南华园一区</t>
    <phoneticPr fontId="4" type="noConversion"/>
  </si>
  <si>
    <t>北京市怀柔区金台园小区</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</si>
</sst>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30" fillId="5" borderId="9" xfId="0" applyFont="1" applyFill="1" applyBorder="1" applyAlignment="1" applyProtection="1">
      <alignment vertical="center" wrapText="1"/>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49" fontId="92" fillId="0" borderId="31" xfId="0" applyNumberFormat="1" applyFont="1" applyFill="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'预评函-封皮'!B18</f>
        <v>注册房地产估价师（注册号:0）、注册房地产估价师（注册号:0)</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估价对象为北京市房地产，为所有。根据《不动产权证书》[]，估价对象建筑面积为60.74平方米，（分摊）出让国有建设用地使用权面积为平方米。估价对象用途为。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2018年5月22日</v>
      </c>
    </row>
    <row r="10" spans="1:2">
      <c r="A10" s="1702" t="s">
        <v>1116</v>
      </c>
      <c r="B10" s="1689" t="str">
        <f>'预评函-1'!A13</f>
        <v>本次估价的“房地产价值”是指在正常市场情况下，在价值时点2018年5月22日，估价对象规划用途为，假定未设立法定优先受偿款下的房地产市场价值。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60.74</v>
      </c>
    </row>
    <row r="19" spans="1:2">
      <c r="A19" s="1702" t="s">
        <v>1125</v>
      </c>
      <c r="B19" s="1689">
        <f ca="1">'预评函-2（1）'!D7</f>
        <v>1536601</v>
      </c>
    </row>
    <row r="20" spans="1:2">
      <c r="A20" s="1702" t="s">
        <v>1163</v>
      </c>
      <c r="B20" s="1689" t="str">
        <f>'预评函-2（1）'!C7</f>
        <v>总价（元）</v>
      </c>
    </row>
    <row r="21" spans="1:2">
      <c r="A21" s="1702" t="s">
        <v>1126</v>
      </c>
      <c r="B21" s="1689">
        <f ca="1">'预评函-2（1）'!D9</f>
        <v>25298</v>
      </c>
    </row>
    <row r="22" spans="1:2">
      <c r="A22" s="1702" t="s">
        <v>1127</v>
      </c>
      <c r="B22" s="1689" t="str">
        <f ca="1">'预评函-2（1）'!D8</f>
        <v>壹佰伍拾叁万陆仟陆佰零壹元整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1536601</v>
      </c>
    </row>
    <row r="30" spans="1:2">
      <c r="A30" s="1702" t="s">
        <v>1133</v>
      </c>
      <c r="B30" s="1689" t="str">
        <f ca="1">'预评函-2（1）'!D16</f>
        <v>壹佰伍拾叁万陆仟陆佰零壹元整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1241586</v>
      </c>
    </row>
    <row r="38" spans="1:2">
      <c r="A38" s="1702" t="s">
        <v>1141</v>
      </c>
      <c r="B38" s="1689">
        <f ca="1">'预评函-2（2）'!E4</f>
        <v>20441</v>
      </c>
    </row>
    <row r="39" spans="1:2">
      <c r="A39" s="1702" t="s">
        <v>1142</v>
      </c>
      <c r="B39" s="1689" t="str">
        <f ca="1">'预评函-2（2）'!D5</f>
        <v>壹佰贰拾肆万壹仟伍佰捌拾陆元整</v>
      </c>
    </row>
    <row r="40" spans="1:2">
      <c r="A40" s="1702" t="s">
        <v>1143</v>
      </c>
      <c r="B40" s="1689">
        <f ca="1">'预评函-2（2）'!F4</f>
        <v>295014</v>
      </c>
    </row>
    <row r="41" spans="1:2">
      <c r="A41" s="1702" t="s">
        <v>1144</v>
      </c>
      <c r="B41" s="1689">
        <f ca="1">'预评函-2（2）'!G4</f>
        <v>4857</v>
      </c>
    </row>
    <row r="42" spans="1:2" s="1699" customFormat="1" ht="15.75" thickBot="1">
      <c r="A42" s="1703" t="s">
        <v>1145</v>
      </c>
      <c r="B42" s="1691" t="str">
        <f ca="1">'预评函-2（2）'!F5</f>
        <v>贰拾玖万伍仟零壹拾肆元整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注册房地产估价师</v>
      </c>
    </row>
    <row r="53" spans="1:2">
      <c r="A53" s="1702" t="s">
        <v>1155</v>
      </c>
      <c r="B53" s="1689">
        <f>'预评函-3'!B4</f>
        <v>0</v>
      </c>
    </row>
    <row r="54" spans="1:2">
      <c r="A54" s="1702" t="s">
        <v>1156</v>
      </c>
      <c r="B54" s="1693" t="str">
        <f>'预评函-3'!A5</f>
        <v>注册房地产估价师</v>
      </c>
    </row>
    <row r="55" spans="1:2" s="1699" customFormat="1" ht="15.75" thickBot="1">
      <c r="A55" s="1703" t="s">
        <v>1157</v>
      </c>
      <c r="B55" s="1691">
        <f>'预评函-3'!B5</f>
        <v>0</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1257</v>
      </c>
      <c r="B62" s="1689">
        <f ca="1">'预评函-2（1）'!D38</f>
        <v>25298</v>
      </c>
    </row>
    <row r="63" spans="1:2" s="1701" customFormat="1" ht="28.5">
      <c r="A63" s="1705" t="s">
        <v>1258</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CONCATENATE(项目基本情况!B3,"（注册号:",项目基本情况!C3,"）、",项目基本情况!D3,"（注册号:",项目基本情况!E3,")")</f>
        <v>注册房地产估价师（注册号:0）、注册房地产估价师（注册号:0)</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估价对象为北京市房地产，为所有。根据《不动产权证书》[]，估价对象建筑面积为60.74平方米，（分摊）出让国有建设用地使用权面积为平方米。估价对象用途为。</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2018年5月22日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本次估价的“房地产价值”是指在正常市场情况下，在价值时点2018年5月22日，估价对象规划用途为，假定未设立法定优先受偿款下的房地产市场价值。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5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4"/>
      <c r="C2" s="2754"/>
      <c r="D2" s="2754"/>
      <c r="E2" s="2754"/>
    </row>
    <row r="3" spans="1:5" ht="13.5" customHeight="1">
      <c r="A3" s="1930"/>
      <c r="B3" s="1930"/>
      <c r="C3" s="1930"/>
      <c r="D3" s="1930"/>
      <c r="E3" s="1930"/>
    </row>
    <row r="4" spans="1:5" ht="19.5" thickBot="1">
      <c r="A4" s="2755" t="str">
        <f>IF(项目基本情况!D5="房地产市场价值","估价结果一览表（市场价值不需本页表格)","估价结果一览表")</f>
        <v>估价结果一览表</v>
      </c>
      <c r="B4" s="2755"/>
      <c r="C4" s="2755"/>
      <c r="D4" s="2755"/>
      <c r="E4" s="2755"/>
    </row>
    <row r="5" spans="1:5" ht="14.25" customHeight="1" thickTop="1">
      <c r="A5" s="1927"/>
      <c r="B5" s="1931" t="s">
        <v>742</v>
      </c>
      <c r="C5" s="2756" t="s">
        <v>783</v>
      </c>
      <c r="D5" s="2757"/>
      <c r="E5" s="1927"/>
    </row>
    <row r="6" spans="1:5" ht="14.25">
      <c r="A6" s="1927"/>
      <c r="B6" s="1932" t="str">
        <f>项目基本情况!I1</f>
        <v>北京市房地产</v>
      </c>
      <c r="C6" s="2758">
        <f>项目基本情况!C12</f>
        <v>60.74</v>
      </c>
      <c r="D6" s="2758"/>
      <c r="E6" s="1927"/>
    </row>
    <row r="7" spans="1:5" ht="14.25">
      <c r="A7" s="1927"/>
      <c r="B7" s="2752" t="s">
        <v>784</v>
      </c>
      <c r="C7" s="1933" t="str">
        <f>IF('数据-取费表'!B3="万元","总价（万元）","总价（元）")</f>
        <v>总价（元）</v>
      </c>
      <c r="D7" s="1934">
        <f ca="1">IF('数据-取费表'!E3="否",结果表!I102,'结果表 (1修多)'!I103)</f>
        <v>1536601</v>
      </c>
      <c r="E7" s="1927"/>
    </row>
    <row r="8" spans="1:5" ht="28.5">
      <c r="A8" s="1927"/>
      <c r="B8" s="2752"/>
      <c r="C8" s="1935" t="s">
        <v>1175</v>
      </c>
      <c r="D8" s="1936" t="str">
        <f ca="1">IF('数据-取费表'!B3="万元",NUMBERSTRING(INT(D7*10000),2)&amp;"元整",NUMBERSTRING(INT(D7),2)&amp;"元整")</f>
        <v>壹佰伍拾叁万陆仟陆佰零壹元整</v>
      </c>
      <c r="E8" s="1927"/>
    </row>
    <row r="9" spans="1:5" ht="14.25">
      <c r="A9" s="1927"/>
      <c r="B9" s="2752"/>
      <c r="C9" s="1937" t="s">
        <v>1274</v>
      </c>
      <c r="D9" s="1934">
        <f ca="1">IF('数据-取费表'!E3="否",结果表!I103,'结果表 (1修多)'!I104)</f>
        <v>25298</v>
      </c>
      <c r="E9" s="1927"/>
    </row>
    <row r="10" spans="1:5" ht="14.25">
      <c r="A10" s="1927"/>
      <c r="B10" s="2759"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59"/>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59" t="str">
        <f>IF('数据-取费表'!E3="否",结果表!F110,'结果表 (1修多)'!F111)</f>
        <v>3.房地产抵押价值</v>
      </c>
      <c r="C15" s="1928" t="str">
        <f>C7</f>
        <v>总价（元）</v>
      </c>
      <c r="D15" s="1934">
        <f ca="1">IF('数据-取费表'!E3="否",结果表!I110,'结果表 (1修多)'!I111)</f>
        <v>1536601</v>
      </c>
      <c r="E15" s="1927"/>
    </row>
    <row r="16" spans="1:5" ht="28.5">
      <c r="A16" s="1927"/>
      <c r="B16" s="2759"/>
      <c r="C16" s="1935" t="s">
        <v>1175</v>
      </c>
      <c r="D16" s="1934" t="str">
        <f ca="1">IF('数据-取费表'!B3="万元",NUMBERSTRING(INT(D15*10000),2)&amp;"元整",NUMBERSTRING(INT(D15),2)&amp;"元整")</f>
        <v>壹佰伍拾叁万陆仟陆佰零壹元整</v>
      </c>
      <c r="E16" s="1927"/>
    </row>
    <row r="17" spans="1:5" ht="14.25">
      <c r="A17" s="1927"/>
      <c r="B17" s="2759"/>
      <c r="C17" s="1937" t="s">
        <v>1274</v>
      </c>
      <c r="D17" s="1934">
        <f ca="1">IF('数据-取费表'!E3="否",结果表!I111,'结果表 (1修多)'!I112)</f>
        <v>25298</v>
      </c>
      <c r="E17" s="1927"/>
    </row>
    <row r="18" spans="1:5" ht="14.25">
      <c r="A18" s="1927"/>
      <c r="B18" s="2759" t="str">
        <f>IF('数据-取费表'!E3="否",结果表!F112,'结果表 (1修多)'!F113)</f>
        <v>——</v>
      </c>
      <c r="C18" s="1928" t="str">
        <f>C7</f>
        <v>总价（元）</v>
      </c>
      <c r="D18" s="1934" t="str">
        <f>IF('数据-取费表'!E3="否",结果表!I112,'结果表 (1修多)'!I113)</f>
        <v>——</v>
      </c>
      <c r="E18" s="1927"/>
    </row>
    <row r="19" spans="1:5" ht="14.25">
      <c r="A19" s="1927"/>
      <c r="B19" s="2759"/>
      <c r="C19" s="1935" t="s">
        <v>1175</v>
      </c>
      <c r="D19" s="1934" t="e">
        <f>IF('数据-取费表'!B3="万元",NUMBERSTRING(INT(D18*10000),2)&amp;"元整",NUMBERSTRING(INT(D18),2)&amp;"元整")</f>
        <v>#VALUE!</v>
      </c>
      <c r="E19" s="1927"/>
    </row>
    <row r="20" spans="1:5" ht="14.25">
      <c r="A20" s="1927"/>
      <c r="B20" s="2759"/>
      <c r="C20" s="1937" t="s">
        <v>1274</v>
      </c>
      <c r="D20" s="1934" t="str">
        <f>IF('数据-取费表'!E3="否",结果表!I113,'结果表 (1修多)'!I114)</f>
        <v>——</v>
      </c>
      <c r="E20" s="1927"/>
    </row>
    <row r="21" spans="1:5" ht="14.25">
      <c r="A21" s="1927"/>
      <c r="B21" s="2752" t="str">
        <f>IF('数据-取费表'!E3="否",结果表!F114,'结果表 (1修多)'!F115)</f>
        <v>——</v>
      </c>
      <c r="C21" s="1933" t="str">
        <f>C7</f>
        <v>总价（元）</v>
      </c>
      <c r="D21" s="1934" t="str">
        <f>IF('数据-取费表'!E3="否",结果表!I114,'结果表 (1修多)'!I115)</f>
        <v>——</v>
      </c>
      <c r="E21" s="1927"/>
    </row>
    <row r="22" spans="1:5" ht="14.25">
      <c r="A22" s="1927"/>
      <c r="B22" s="2752"/>
      <c r="C22" s="1935" t="s">
        <v>1175</v>
      </c>
      <c r="D22" s="1936" t="e">
        <f>IF('数据-取费表'!B3="万元",NUMBERSTRING(INT(D21*10000),2)&amp;"元整",NUMBERSTRING(INT(D21),2)&amp;"元整")</f>
        <v>#VALUE!</v>
      </c>
      <c r="E22" s="1927"/>
    </row>
    <row r="23" spans="1:5" ht="15" thickBot="1">
      <c r="A23" s="1927"/>
      <c r="B23" s="2753"/>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7" t="s">
        <v>1275</v>
      </c>
      <c r="C25" s="2767"/>
      <c r="D25" s="2767"/>
      <c r="E25" s="1927"/>
    </row>
    <row r="26" spans="1:5" ht="18.75" customHeight="1" thickTop="1">
      <c r="A26" s="1927"/>
      <c r="B26" s="2770" t="s">
        <v>1174</v>
      </c>
      <c r="C26" s="2771"/>
      <c r="D26" s="2768" t="s">
        <v>1173</v>
      </c>
      <c r="E26" s="1927"/>
    </row>
    <row r="27" spans="1:5" ht="18.75" customHeight="1">
      <c r="A27" s="1927"/>
      <c r="B27" s="2772"/>
      <c r="C27" s="2773"/>
      <c r="D27" s="2769"/>
      <c r="E27" s="1927"/>
    </row>
    <row r="28" spans="1:5" ht="14.25">
      <c r="A28" s="1927"/>
      <c r="B28" s="2760" t="s">
        <v>784</v>
      </c>
      <c r="C28" s="1944" t="s">
        <v>1176</v>
      </c>
      <c r="D28" s="1945">
        <f ca="1">IF('数据-取费表'!E3="否",结果表!I102,'结果表 (1修多)'!I103)</f>
        <v>1536601</v>
      </c>
      <c r="E28" s="1927"/>
    </row>
    <row r="29" spans="1:5" ht="28.5">
      <c r="A29" s="1927"/>
      <c r="B29" s="2761"/>
      <c r="C29" s="1946" t="s">
        <v>1175</v>
      </c>
      <c r="D29" s="1947" t="str">
        <f ca="1">IF('数据-取费表'!B3="万元",NUMBERSTRING(INT(D28*10000),2)&amp;"元整",NUMBERSTRING(INT(D28),2)&amp;"元整")</f>
        <v>壹佰伍拾叁万陆仟陆佰零壹元整</v>
      </c>
      <c r="E29" s="1927"/>
    </row>
    <row r="30" spans="1:5" ht="14.25">
      <c r="A30" s="1927"/>
      <c r="B30" s="2762"/>
      <c r="C30" s="1937" t="s">
        <v>1178</v>
      </c>
      <c r="D30" s="1948">
        <f ca="1">IF('数据-取费表'!E3="否",结果表!I103,'结果表 (1修多)'!I104)</f>
        <v>25298</v>
      </c>
      <c r="E30" s="1927"/>
    </row>
    <row r="31" spans="1:5" ht="14.25">
      <c r="A31" s="1927"/>
      <c r="B31" s="2765" t="str">
        <f>B10</f>
        <v>2.估价师所知悉的法定优先受偿款</v>
      </c>
      <c r="C31" s="1949" t="s">
        <v>1177</v>
      </c>
      <c r="D31" s="1950">
        <f>IF('数据-取费表'!E3="否",结果表!I105,'结果表 (1修多)'!I106)</f>
        <v>0</v>
      </c>
      <c r="E31" s="1927"/>
    </row>
    <row r="32" spans="1:5" ht="14.25">
      <c r="A32" s="1927"/>
      <c r="B32" s="2774"/>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3" t="str">
        <f>B15</f>
        <v>3.房地产抵押价值</v>
      </c>
      <c r="C36" s="1949" t="str">
        <f>C28</f>
        <v>总价</v>
      </c>
      <c r="D36" s="1950">
        <f ca="1">IF('数据-取费表'!E3="否",结果表!I110,'结果表 (1修多)'!I111)</f>
        <v>1536601</v>
      </c>
      <c r="E36" s="1927"/>
    </row>
    <row r="37" spans="1:5" ht="28.5">
      <c r="A37" s="1927"/>
      <c r="B37" s="2763"/>
      <c r="C37" s="1946" t="s">
        <v>1175</v>
      </c>
      <c r="D37" s="1951" t="str">
        <f ca="1">IF('数据-取费表'!B3="万元",NUMBERSTRING(INT(D36*10000),2)&amp;"元整",NUMBERSTRING(INT(D36),2)&amp;"元整")</f>
        <v>壹佰伍拾叁万陆仟陆佰零壹元整</v>
      </c>
      <c r="E37" s="1927"/>
    </row>
    <row r="38" spans="1:5" ht="14.25">
      <c r="A38" s="1927"/>
      <c r="B38" s="2763"/>
      <c r="C38" s="1937" t="s">
        <v>1179</v>
      </c>
      <c r="D38" s="1948">
        <f ca="1">IF('数据-取费表'!E3="否",结果表!D113,'结果表 (1修多)'!D116)</f>
        <v>25298</v>
      </c>
      <c r="E38" s="1927"/>
    </row>
    <row r="39" spans="1:5" ht="14.25">
      <c r="A39" s="1927"/>
      <c r="B39" s="2764" t="str">
        <f>B18</f>
        <v>——</v>
      </c>
      <c r="C39" s="1949" t="str">
        <f>C28</f>
        <v>总价</v>
      </c>
      <c r="D39" s="1950" t="str">
        <f>IF('数据-取费表'!E3="否",结果表!I112,'结果表 (1修多)'!I113)</f>
        <v>——</v>
      </c>
      <c r="E39" s="1927"/>
    </row>
    <row r="40" spans="1:5" ht="14.25">
      <c r="A40" s="1927"/>
      <c r="B40" s="2764"/>
      <c r="C40" s="1946" t="s">
        <v>1175</v>
      </c>
      <c r="D40" s="1951" t="e">
        <f>IF('数据-取费表'!B3="万元",NUMBERSTRING(INT(D39*10000),2)&amp;"元整",NUMBERSTRING(INT(D39),2)&amp;"元整")</f>
        <v>#VALUE!</v>
      </c>
      <c r="E40" s="1927"/>
    </row>
    <row r="41" spans="1:5" ht="14.25">
      <c r="A41" s="1927"/>
      <c r="B41" s="2764"/>
      <c r="C41" s="1937" t="s">
        <v>1179</v>
      </c>
      <c r="D41" s="1948" t="str">
        <f>IF('数据-取费表'!E3="否",结果表!D115,'结果表 (1修多)'!D118)</f>
        <v>——</v>
      </c>
      <c r="E41" s="1927"/>
    </row>
    <row r="42" spans="1:5" ht="14.25">
      <c r="A42" s="1927"/>
      <c r="B42" s="2763" t="str">
        <f>B21</f>
        <v>——</v>
      </c>
      <c r="C42" s="1949" t="str">
        <f>C28</f>
        <v>总价</v>
      </c>
      <c r="D42" s="1950" t="str">
        <f>IF('数据-取费表'!E3="否",结果表!I114,'结果表 (1修多)'!I115)</f>
        <v>——</v>
      </c>
      <c r="E42" s="1927"/>
    </row>
    <row r="43" spans="1:5" ht="14.25">
      <c r="A43" s="1927"/>
      <c r="B43" s="2765"/>
      <c r="C43" s="1946" t="s">
        <v>1175</v>
      </c>
      <c r="D43" s="1952" t="e">
        <f>IF('数据-取费表'!B3="万元",NUMBERSTRING(INT(D42*10000),2)&amp;"元整",NUMBERSTRING(INT(D42),2)&amp;"元整")</f>
        <v>#VALUE!</v>
      </c>
      <c r="E43" s="1927"/>
    </row>
    <row r="44" spans="1:5" ht="15" thickBot="1">
      <c r="A44" s="1927"/>
      <c r="B44" s="2766"/>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1" t="str">
        <f>IF(项目基本情况!D5="房地产市场价值","估价结果一览表","结果表-2")</f>
        <v>结果表-2</v>
      </c>
      <c r="B1" s="2781"/>
      <c r="C1" s="2781"/>
      <c r="D1" s="2781"/>
      <c r="E1" s="2781"/>
      <c r="F1" s="2781"/>
      <c r="G1" s="2781"/>
      <c r="H1" s="2781"/>
      <c r="I1" s="2781"/>
    </row>
    <row r="2" spans="1:9" ht="30" customHeight="1" thickTop="1">
      <c r="A2" s="2782" t="s">
        <v>1276</v>
      </c>
      <c r="B2" s="2782" t="s">
        <v>1277</v>
      </c>
      <c r="C2" s="2782" t="s">
        <v>1278</v>
      </c>
      <c r="D2" s="2782" t="str">
        <f>IF('数据-取费表'!E3="否",结果表!D119,'结果表 (1修多)'!D122)</f>
        <v>出让国有建设用地使用权价值</v>
      </c>
      <c r="E2" s="2782"/>
      <c r="F2" s="2782" t="s">
        <v>1279</v>
      </c>
      <c r="G2" s="2782"/>
      <c r="H2" s="2782" t="s">
        <v>1280</v>
      </c>
      <c r="I2" s="2782"/>
    </row>
    <row r="3" spans="1:9" ht="15">
      <c r="A3" s="2777"/>
      <c r="B3" s="2777"/>
      <c r="C3" s="2777"/>
      <c r="D3" s="1049" t="s">
        <v>1281</v>
      </c>
      <c r="E3" s="1049" t="s">
        <v>1282</v>
      </c>
      <c r="F3" s="1049" t="s">
        <v>1281</v>
      </c>
      <c r="G3" s="1049" t="s">
        <v>1283</v>
      </c>
      <c r="H3" s="1049" t="s">
        <v>1281</v>
      </c>
      <c r="I3" s="1049" t="s">
        <v>1283</v>
      </c>
    </row>
    <row r="4" spans="1:9" ht="46.5" customHeight="1">
      <c r="A4" s="1049" t="str">
        <f>项目基本情况!I1</f>
        <v>北京市房地产</v>
      </c>
      <c r="B4" s="1049">
        <f>结果表!B121</f>
        <v>60.74</v>
      </c>
      <c r="C4" s="1049">
        <f>结果表!C121</f>
        <v>0</v>
      </c>
      <c r="D4" s="1049">
        <f ca="1">IF('数据-取费表'!E3="否",结果表!D121,'结果表 (1修多)'!D124)</f>
        <v>1241586</v>
      </c>
      <c r="E4" s="1049">
        <f ca="1">IF('数据-取费表'!E3="否",结果表!E121,'结果表 (1修多)'!E124)</f>
        <v>20441</v>
      </c>
      <c r="F4" s="1049">
        <f ca="1">IF('数据-取费表'!E3="否",结果表!F121,'结果表 (1修多)'!F124)</f>
        <v>295014</v>
      </c>
      <c r="G4" s="1049">
        <f ca="1">IF('数据-取费表'!E3="否",结果表!G121,'结果表 (1修多)'!G124)</f>
        <v>4857</v>
      </c>
      <c r="H4" s="1049">
        <f ca="1">IF('数据-取费表'!E3="否",结果表!H121,'结果表 (1修多)'!H124)</f>
        <v>1536601</v>
      </c>
      <c r="I4" s="1049">
        <f ca="1">IF('数据-取费表'!E3="否",结果表!I121,'结果表 (1修多)'!I124)</f>
        <v>25298</v>
      </c>
    </row>
    <row r="5" spans="1:9" ht="15">
      <c r="A5" s="2777" t="s">
        <v>1284</v>
      </c>
      <c r="B5" s="2777"/>
      <c r="C5" s="2777"/>
      <c r="D5" s="2775" t="str">
        <f ca="1">IF('数据-取费表'!E3="否",结果表!D122,'结果表 (1修多)'!D125)</f>
        <v>壹佰贰拾肆万壹仟伍佰捌拾陆元整</v>
      </c>
      <c r="E5" s="2775"/>
      <c r="F5" s="2775" t="str">
        <f ca="1">IF('数据-取费表'!E3="否",结果表!F122,'结果表 (1修多)'!F125)</f>
        <v>贰拾玖万伍仟零壹拾肆元整</v>
      </c>
      <c r="G5" s="2775"/>
      <c r="H5" s="2775" t="str">
        <f ca="1">IF('数据-取费表'!E3="否",结果表!H122,'结果表 (1修多)'!H125)</f>
        <v>壹佰伍拾叁万陆仟陆佰零壹元整</v>
      </c>
      <c r="I5" s="2775"/>
    </row>
    <row r="6" spans="1:9" ht="15.75">
      <c r="A6" s="2776" t="str">
        <f>IF('数据-取费表'!E3="否",结果表!A123,'结果表 (1修多)'!A126)</f>
        <v>估价师所知悉的法定优先受偿款</v>
      </c>
      <c r="B6" s="2776"/>
      <c r="C6" s="2776"/>
      <c r="D6" s="2776">
        <f>IF('数据-取费表'!E3="否",结果表!D123,'结果表 (1修多)'!D126)</f>
        <v>0</v>
      </c>
      <c r="E6" s="2776"/>
      <c r="F6" s="2776"/>
      <c r="G6" s="2776"/>
      <c r="H6" s="2776"/>
      <c r="I6" s="2776"/>
    </row>
    <row r="7" spans="1:9" ht="15">
      <c r="A7" s="2777" t="s">
        <v>1284</v>
      </c>
      <c r="B7" s="2777"/>
      <c r="C7" s="2777"/>
      <c r="D7" s="2778">
        <f>IF('数据-取费表'!E3="否",结果表!D124,'结果表 (1修多)'!D127)</f>
        <v>0</v>
      </c>
      <c r="E7" s="2779"/>
      <c r="F7" s="2779"/>
      <c r="G7" s="2779"/>
      <c r="H7" s="2779"/>
      <c r="I7" s="2780"/>
    </row>
    <row r="8" spans="1:9" ht="15.75">
      <c r="A8" s="2776" t="str">
        <f>IF('数据-取费表'!E3="否",结果表!A125,'结果表 (1修多)'!A128)</f>
        <v>房地产抵押价值</v>
      </c>
      <c r="B8" s="2776"/>
      <c r="C8" s="2776"/>
      <c r="D8" s="2776">
        <f ca="1">IF('数据-取费表'!E3="否",结果表!D125,'结果表 (1修多)'!D128)</f>
        <v>1536601</v>
      </c>
      <c r="E8" s="2776"/>
      <c r="F8" s="2776"/>
      <c r="G8" s="2776"/>
      <c r="H8" s="2776"/>
      <c r="I8" s="2776"/>
    </row>
    <row r="9" spans="1:9" ht="15">
      <c r="A9" s="2777" t="s">
        <v>1284</v>
      </c>
      <c r="B9" s="2777"/>
      <c r="C9" s="2777"/>
      <c r="D9" s="2775">
        <f ca="1">IF('数据-取费表'!E3="否",结果表!D126,'结果表 (1修多)'!D129)</f>
        <v>25298</v>
      </c>
      <c r="E9" s="2775"/>
      <c r="F9" s="2775"/>
      <c r="G9" s="2775"/>
      <c r="H9" s="2775"/>
      <c r="I9" s="2775"/>
    </row>
    <row r="10" spans="1:9" ht="15.75">
      <c r="A10" s="2776" t="str">
        <f>IF('数据-取费表'!E3="否",结果表!A127,'结果表 (1修多)'!A130)</f>
        <v/>
      </c>
      <c r="B10" s="2776"/>
      <c r="C10" s="2776"/>
      <c r="D10" s="2776" t="str">
        <f>IF('数据-取费表'!E3="否",结果表!D127,'结果表 (1修多)'!D129)</f>
        <v>——</v>
      </c>
      <c r="E10" s="2776"/>
      <c r="F10" s="2776"/>
      <c r="G10" s="2776"/>
      <c r="H10" s="2776"/>
      <c r="I10" s="2776"/>
    </row>
    <row r="11" spans="1:9" ht="15">
      <c r="A11" s="2777" t="s">
        <v>1284</v>
      </c>
      <c r="B11" s="2777"/>
      <c r="C11" s="2777"/>
      <c r="D11" s="2775" t="str">
        <f>IF('数据-取费表'!E3="否",结果表!D128,'结果表 (1修多)'!D131)</f>
        <v>——</v>
      </c>
      <c r="E11" s="2775"/>
      <c r="F11" s="2775"/>
      <c r="G11" s="2775"/>
      <c r="H11" s="2775"/>
      <c r="I11" s="2775"/>
    </row>
    <row r="12" spans="1:9" ht="15.75">
      <c r="A12" s="2776" t="str">
        <f>IF('数据-取费表'!E3="否",结果表!A129,'结果表 (1修多)'!A132)</f>
        <v/>
      </c>
      <c r="B12" s="2776"/>
      <c r="C12" s="2776"/>
      <c r="D12" s="2776" t="str">
        <f>IF('数据-取费表'!E3="否",结果表!D129,'结果表 (1修多)'!D132)</f>
        <v>——</v>
      </c>
      <c r="E12" s="2776"/>
      <c r="F12" s="2776"/>
      <c r="G12" s="2776"/>
      <c r="H12" s="2776"/>
      <c r="I12" s="2776"/>
    </row>
    <row r="13" spans="1:9" ht="15.75" thickBot="1">
      <c r="A13" s="2783" t="s">
        <v>1284</v>
      </c>
      <c r="B13" s="2783"/>
      <c r="C13" s="2783"/>
      <c r="D13" s="2784">
        <f>IF('数据-取费表'!E3="否",结果表!D130,'结果表 (1修多)'!D133)</f>
        <v>0</v>
      </c>
      <c r="E13" s="2784"/>
      <c r="F13" s="2784"/>
      <c r="G13" s="2784"/>
      <c r="H13" s="2784"/>
      <c r="I13" s="2784"/>
    </row>
    <row r="14" spans="1:9" ht="15" thickTop="1">
      <c r="A14" s="2785" t="str">
        <f>IF('数据-取费表'!E3="否",结果表!A131,'结果表 (1修多)'!A134)</f>
        <v>单位：平方米、元、元/平方米（币种：人民币）</v>
      </c>
      <c r="B14" s="2785"/>
      <c r="C14" s="2785"/>
      <c r="D14" s="2785"/>
      <c r="E14" s="2785"/>
      <c r="F14" s="2785"/>
      <c r="G14" s="2785"/>
      <c r="H14" s="2785"/>
      <c r="I14" s="2785"/>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0" t="s">
        <v>1298</v>
      </c>
      <c r="B1" s="2790"/>
      <c r="C1" s="2790"/>
      <c r="D1" s="2790"/>
    </row>
    <row r="2" spans="1:4" ht="18">
      <c r="A2" s="2789" t="s">
        <v>1286</v>
      </c>
      <c r="B2" s="2789"/>
      <c r="C2" s="2789"/>
      <c r="D2" s="2789"/>
    </row>
    <row r="3" spans="1:4" ht="18.75">
      <c r="A3" s="1956" t="s">
        <v>1287</v>
      </c>
      <c r="B3" s="1956" t="s">
        <v>1288</v>
      </c>
      <c r="C3" s="1956" t="s">
        <v>1289</v>
      </c>
      <c r="D3" s="1956" t="s">
        <v>1290</v>
      </c>
    </row>
    <row r="4" spans="1:4" ht="56.25" customHeight="1">
      <c r="A4" s="1957" t="str">
        <f>项目基本情况!B3</f>
        <v>注册房地产估价师</v>
      </c>
      <c r="B4" s="1958">
        <f>项目基本情况!C3</f>
        <v>0</v>
      </c>
      <c r="C4" s="1959"/>
      <c r="D4" s="1960" t="s">
        <v>1299</v>
      </c>
    </row>
    <row r="5" spans="1:4" ht="56.25" customHeight="1">
      <c r="A5" s="1957" t="str">
        <f>项目基本情况!D3</f>
        <v>注册房地产估价师</v>
      </c>
      <c r="B5" s="1958">
        <f>项目基本情况!E3</f>
        <v>0</v>
      </c>
      <c r="C5" s="1961"/>
      <c r="D5" s="1960" t="s">
        <v>1299</v>
      </c>
    </row>
    <row r="6" spans="1:4" ht="12" customHeight="1">
      <c r="A6" s="1957"/>
      <c r="B6" s="1958"/>
      <c r="C6" s="1962"/>
      <c r="D6" s="1960"/>
    </row>
    <row r="7" spans="1:4" ht="18">
      <c r="A7" s="2789" t="s">
        <v>1291</v>
      </c>
      <c r="B7" s="2789"/>
      <c r="C7" s="2789"/>
      <c r="D7" s="2789"/>
    </row>
    <row r="8" spans="1:4" ht="18.75">
      <c r="A8" s="1956" t="s">
        <v>1287</v>
      </c>
      <c r="B8" s="1958" t="s">
        <v>1292</v>
      </c>
      <c r="C8" s="1956" t="s">
        <v>1289</v>
      </c>
      <c r="D8" s="1956" t="s">
        <v>1290</v>
      </c>
    </row>
    <row r="9" spans="1:4" ht="56.25" customHeight="1">
      <c r="A9" s="1963" t="s">
        <v>785</v>
      </c>
      <c r="B9" s="1963" t="s">
        <v>786</v>
      </c>
      <c r="C9" s="1959"/>
      <c r="D9" s="1960" t="s">
        <v>1299</v>
      </c>
    </row>
    <row r="11" spans="1:4" ht="18.75">
      <c r="A11" s="1964" t="s">
        <v>1293</v>
      </c>
    </row>
    <row r="12" spans="1:4" ht="30" customHeight="1">
      <c r="A12" s="2786" t="s">
        <v>1300</v>
      </c>
      <c r="B12" s="2788"/>
      <c r="C12" s="2788"/>
      <c r="D12" s="2788"/>
    </row>
    <row r="13" spans="1:4" ht="15.75">
      <c r="A13" s="278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88"/>
      <c r="C13" s="2788"/>
      <c r="D13" s="2788"/>
    </row>
    <row r="14" spans="1:4" ht="30" customHeight="1">
      <c r="A14" s="2786" t="str">
        <f>IF(项目基本情况!D4="抵押","3.抵押双方在办理抵押登记手续时，应使用本公司出具的正式《房地产评估报告》，特提醒报告使用者注意。","——")</f>
        <v>——</v>
      </c>
      <c r="B14" s="2788"/>
      <c r="C14" s="2788"/>
      <c r="D14" s="2788"/>
    </row>
    <row r="15" spans="1:4" ht="15.75" customHeight="1">
      <c r="A15" s="2786" t="str">
        <f>IF(项目基本情况!D4="抵押","4.本次评估估价师所知悉的法定优先受偿款情况说明如下：","——")</f>
        <v>——</v>
      </c>
      <c r="B15" s="2788"/>
      <c r="C15" s="2788"/>
      <c r="D15" s="2788"/>
    </row>
    <row r="16" spans="1:4" ht="75" customHeight="1">
      <c r="A16" s="2786" t="str">
        <f>IF(项目基本情况!D4="抵押",CONCATENATE(项目基本情况!J13,项目基本情况!J14,项目基本情况!J15),"——")</f>
        <v>——</v>
      </c>
      <c r="B16" s="2786"/>
      <c r="C16" s="2786"/>
      <c r="D16" s="2786"/>
    </row>
    <row r="17" spans="1:4" ht="63.75" customHeight="1">
      <c r="A17" s="2787" t="s">
        <v>1301</v>
      </c>
      <c r="B17" s="2787"/>
      <c r="C17" s="2787"/>
      <c r="D17" s="2787"/>
    </row>
    <row r="18" spans="1:4" ht="15.75" customHeight="1">
      <c r="A18" s="2786" t="str">
        <f>IF(项目基本情况!D4="抵押",结果表!K106,"——")</f>
        <v>——</v>
      </c>
      <c r="B18" s="2786"/>
      <c r="C18" s="2786"/>
      <c r="D18" s="2786"/>
    </row>
    <row r="19" spans="1:4" ht="46.5" customHeight="1">
      <c r="A19" s="278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6"/>
      <c r="C19" s="2786"/>
      <c r="D19" s="2786"/>
    </row>
    <row r="20" spans="1:4" ht="15">
      <c r="A20" s="2787" t="s">
        <v>1294</v>
      </c>
      <c r="B20" s="2787"/>
      <c r="C20" s="2787"/>
      <c r="D20" s="2787"/>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796" t="s">
        <v>1380</v>
      </c>
      <c r="B15" s="2791" t="s">
        <v>1381</v>
      </c>
      <c r="C15" s="2792"/>
    </row>
    <row r="16" spans="1:7" ht="14.25">
      <c r="A16" s="2797"/>
      <c r="B16" s="2791" t="s">
        <v>1382</v>
      </c>
      <c r="C16" s="2792"/>
    </row>
    <row r="17" spans="1:3" ht="14.25">
      <c r="A17" s="2797"/>
      <c r="B17" s="2791" t="s">
        <v>1383</v>
      </c>
      <c r="C17" s="2792"/>
    </row>
    <row r="18" spans="1:3" ht="14.25">
      <c r="A18" s="2798"/>
      <c r="B18" s="2793" t="s">
        <v>1384</v>
      </c>
      <c r="C18" s="2792"/>
    </row>
    <row r="19" spans="1:3" ht="14.25">
      <c r="A19" s="1980" t="s">
        <v>1385</v>
      </c>
      <c r="B19" s="1981"/>
      <c r="C19" s="1982"/>
    </row>
    <row r="20" spans="1:3" ht="14.25">
      <c r="A20" s="2794" t="s">
        <v>1386</v>
      </c>
      <c r="B20" s="2793" t="s">
        <v>1387</v>
      </c>
      <c r="C20" s="2792"/>
    </row>
    <row r="21" spans="1:3" ht="14.25">
      <c r="A21" s="2794"/>
      <c r="B21" s="2793" t="s">
        <v>1388</v>
      </c>
      <c r="C21" s="2792"/>
    </row>
    <row r="22" spans="1:3" ht="14.25">
      <c r="A22" s="2794"/>
      <c r="B22" s="2793" t="s">
        <v>1389</v>
      </c>
      <c r="C22" s="2792"/>
    </row>
    <row r="23" spans="1:3" ht="14.25">
      <c r="A23" s="2794"/>
      <c r="B23" s="2795" t="s">
        <v>1390</v>
      </c>
      <c r="C23" s="1983" t="s">
        <v>1391</v>
      </c>
    </row>
    <row r="24" spans="1:3" ht="14.25">
      <c r="A24" s="2794"/>
      <c r="B24" s="2795"/>
      <c r="C24" s="1983" t="s">
        <v>1392</v>
      </c>
    </row>
    <row r="25" spans="1:3" ht="14.25">
      <c r="A25" s="2794"/>
      <c r="B25" s="2795"/>
      <c r="C25" s="1983" t="s">
        <v>1393</v>
      </c>
    </row>
    <row r="26" spans="1:3" ht="14.25">
      <c r="A26" s="2794"/>
      <c r="B26" s="2795"/>
      <c r="C26" s="1983" t="s">
        <v>1394</v>
      </c>
    </row>
    <row r="27" spans="1:3" ht="14.25">
      <c r="A27" s="2794"/>
      <c r="B27" s="2795"/>
      <c r="C27" s="1983" t="s">
        <v>1395</v>
      </c>
    </row>
    <row r="28" spans="1:3" ht="14.25">
      <c r="A28" s="2794"/>
      <c r="B28" s="2795"/>
      <c r="C28" s="1983" t="s">
        <v>1396</v>
      </c>
    </row>
    <row r="29" spans="1:3" ht="14.25">
      <c r="A29" s="2794"/>
      <c r="B29" s="2795"/>
      <c r="C29" s="1983" t="s">
        <v>1397</v>
      </c>
    </row>
    <row r="30" spans="1:3" ht="14.25">
      <c r="A30" s="2794"/>
      <c r="B30" s="2795"/>
      <c r="C30" s="1983" t="s">
        <v>1398</v>
      </c>
    </row>
    <row r="31" spans="1:3" ht="14.25">
      <c r="A31" s="2794"/>
      <c r="B31" s="2795"/>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43279</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2816</v>
      </c>
      <c r="B12" s="1031">
        <v>1120110054</v>
      </c>
      <c r="C12" s="1811">
        <v>43937</v>
      </c>
      <c r="D12" s="1812" t="str">
        <f t="shared" si="0"/>
        <v>白景生（注册号：1120110054）</v>
      </c>
      <c r="E12" s="1810" t="s">
        <v>2816</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799" t="s">
        <v>768</v>
      </c>
      <c r="B25" s="2799"/>
      <c r="C25" s="2799"/>
      <c r="D25" s="2799"/>
      <c r="E25" s="2799"/>
      <c r="F25" s="2799"/>
      <c r="G25" s="2799"/>
      <c r="H25" s="2799"/>
    </row>
    <row r="26" spans="1:8" s="1034" customFormat="1" ht="24" customHeight="1">
      <c r="A26" s="2800" t="s">
        <v>769</v>
      </c>
      <c r="B26" s="2800"/>
      <c r="C26" s="2800"/>
      <c r="D26" s="1062"/>
      <c r="E26" s="1062"/>
      <c r="F26" s="2800" t="s">
        <v>770</v>
      </c>
      <c r="G26" s="2800"/>
      <c r="H26" s="2800"/>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801"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本次估价的“房地产价值”是指在正常市场情况下，在价值时点2018年5月22日，估价对象规划用途为，假定未设立法定优先受偿款下的房地产市场价值。</v>
      </c>
    </row>
    <row r="54" spans="1:4">
      <c r="A54" s="2801"/>
      <c r="B54" s="9" t="s">
        <v>1536</v>
      </c>
      <c r="C54" s="9" t="s">
        <v>1537</v>
      </c>
    </row>
    <row r="55" spans="1:4">
      <c r="A55" s="2801"/>
      <c r="B55" s="9" t="s">
        <v>1538</v>
      </c>
      <c r="C55" s="9" t="s">
        <v>1539</v>
      </c>
    </row>
    <row r="56" spans="1:4">
      <c r="A56" s="2801"/>
      <c r="B56" s="9" t="s">
        <v>1540</v>
      </c>
      <c r="C56" s="9" t="s">
        <v>1541</v>
      </c>
    </row>
    <row r="57" spans="1:4">
      <c r="A57" s="2801"/>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北京市预评估</v>
      </c>
      <c r="C1" s="1063"/>
      <c r="D1" s="1996"/>
      <c r="E1" s="1063"/>
      <c r="F1" s="1997" t="s">
        <v>1545</v>
      </c>
      <c r="G1" s="1682"/>
      <c r="I1" s="1020" t="str">
        <f>IF(B6="北京市","北京市",C6)&amp;IF(E12="房屋所有权证",B28,E28)&amp;"房地产"</f>
        <v>北京市房地产</v>
      </c>
    </row>
    <row r="2" spans="1:10" ht="13.5" thickTop="1">
      <c r="A2" s="1998" t="s">
        <v>1546</v>
      </c>
      <c r="B2" s="1088">
        <v>43259</v>
      </c>
      <c r="C2" s="1999" t="s">
        <v>1547</v>
      </c>
      <c r="D2" s="1088">
        <v>43242</v>
      </c>
      <c r="E2" s="1064"/>
      <c r="F2" s="1064"/>
      <c r="G2" s="1683"/>
      <c r="H2" s="1020"/>
    </row>
    <row r="3" spans="1:10" ht="13.5" thickBot="1">
      <c r="A3" s="2000" t="s">
        <v>1548</v>
      </c>
      <c r="B3" s="2001" t="s">
        <v>1549</v>
      </c>
      <c r="C3" s="1065">
        <f>SUMIF(注册房地产估价师,B3,估价师及机构信息!B3:B24)</f>
        <v>0</v>
      </c>
      <c r="D3" s="2001" t="s">
        <v>1549</v>
      </c>
      <c r="E3" s="1066">
        <f>SUMIF(注册房地产估价师,D3,估价师及机构信息!B3:B24)</f>
        <v>0</v>
      </c>
      <c r="F3" s="1067"/>
      <c r="G3" s="1684"/>
      <c r="H3" s="1020"/>
    </row>
    <row r="4" spans="1:10" ht="13.5" customHeight="1" thickTop="1">
      <c r="A4" s="2002" t="s">
        <v>1550</v>
      </c>
      <c r="B4" s="2003"/>
      <c r="C4" s="2004" t="s">
        <v>1551</v>
      </c>
      <c r="D4" s="2005"/>
      <c r="E4" s="1064"/>
      <c r="F4" s="1064"/>
      <c r="G4" s="1683"/>
    </row>
    <row r="5" spans="1:10">
      <c r="A5" s="2006" t="s">
        <v>1552</v>
      </c>
      <c r="B5" s="2007"/>
      <c r="C5" s="2008" t="s">
        <v>1553</v>
      </c>
      <c r="D5" s="2009"/>
      <c r="E5" s="2010" t="s">
        <v>1554</v>
      </c>
      <c r="F5" s="2011"/>
      <c r="G5" s="2012"/>
      <c r="I5" s="1020" t="str">
        <f>IF(C16="否","截至估价时点，估价对象抵押权未见登记。","截至价值时点，估价对象已设定抵押。")</f>
        <v>截至价值时点，估价对象已设定抵押。</v>
      </c>
    </row>
    <row r="6" spans="1:10">
      <c r="A6" s="2013" t="s">
        <v>1555</v>
      </c>
      <c r="B6" s="2014" t="s">
        <v>2831</v>
      </c>
      <c r="C6" s="2015"/>
      <c r="D6" s="2016" t="s">
        <v>1556</v>
      </c>
      <c r="E6" s="1022"/>
      <c r="F6" s="1021"/>
      <c r="G6" s="1074"/>
      <c r="I6" s="1070" t="str">
        <f>IF(COUNTIF(B5,"*上海银行*"),"上海银行","")</f>
        <v/>
      </c>
    </row>
    <row r="7" spans="1:10" ht="13.5" thickBot="1">
      <c r="A7" s="2000" t="s">
        <v>1557</v>
      </c>
      <c r="B7" s="2017" t="s">
        <v>2830</v>
      </c>
      <c r="C7" s="2018" t="str">
        <f>IF(B7="自然人","姓名","名称")</f>
        <v>姓名</v>
      </c>
      <c r="D7" s="2019"/>
      <c r="E7" s="1068"/>
      <c r="F7" s="1067"/>
      <c r="G7" s="1684"/>
    </row>
    <row r="8" spans="1:10" ht="13.5" thickTop="1">
      <c r="A8" s="2802" t="s">
        <v>1558</v>
      </c>
      <c r="B8" s="2020" t="s">
        <v>1559</v>
      </c>
      <c r="C8" s="2815"/>
      <c r="D8" s="2816"/>
      <c r="E8" s="2021" t="s">
        <v>1560</v>
      </c>
      <c r="F8" s="2022" t="s">
        <v>1561</v>
      </c>
      <c r="G8" s="690">
        <f>C6</f>
        <v>0</v>
      </c>
    </row>
    <row r="9" spans="1:10">
      <c r="A9" s="2802"/>
      <c r="B9" s="344" t="s">
        <v>1562</v>
      </c>
      <c r="C9" s="2734" t="s">
        <v>2819</v>
      </c>
      <c r="D9" s="2023"/>
      <c r="E9" s="1010" t="s">
        <v>1563</v>
      </c>
      <c r="F9" s="996"/>
      <c r="G9" s="1012"/>
    </row>
    <row r="10" spans="1:10" ht="13.5" thickBot="1">
      <c r="A10" s="2802"/>
      <c r="B10" s="344" t="s">
        <v>1564</v>
      </c>
      <c r="C10" s="2817"/>
      <c r="D10" s="2818"/>
      <c r="E10" s="2024" t="s">
        <v>1565</v>
      </c>
      <c r="F10" s="1013"/>
      <c r="G10" s="1014"/>
    </row>
    <row r="11" spans="1:10" ht="13.5" thickBot="1">
      <c r="A11" s="2802"/>
      <c r="B11" s="2025" t="s">
        <v>1566</v>
      </c>
      <c r="C11" s="2819"/>
      <c r="D11" s="2820"/>
      <c r="E11" s="1022"/>
      <c r="F11" s="1021"/>
      <c r="G11" s="1074"/>
    </row>
    <row r="12" spans="1:10" ht="24.75" thickBot="1">
      <c r="A12" s="2806" t="s">
        <v>1567</v>
      </c>
      <c r="B12" s="2026" t="s">
        <v>1568</v>
      </c>
      <c r="C12" s="1016">
        <v>60.74</v>
      </c>
      <c r="D12" s="2026" t="s">
        <v>1569</v>
      </c>
      <c r="E12" s="2027" t="s">
        <v>1570</v>
      </c>
      <c r="F12" s="2028" t="s">
        <v>1571</v>
      </c>
      <c r="G12" s="1074"/>
    </row>
    <row r="13" spans="1:10" ht="21" customHeight="1" thickBot="1">
      <c r="A13" s="2807"/>
      <c r="B13" s="2029" t="s">
        <v>1572</v>
      </c>
      <c r="C13" s="1017"/>
      <c r="D13" s="2029" t="s">
        <v>1573</v>
      </c>
      <c r="E13" s="2030" t="s">
        <v>1570</v>
      </c>
      <c r="F13" s="1021"/>
      <c r="G13" s="1074"/>
      <c r="I13" s="2825" t="s">
        <v>1574</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1575</v>
      </c>
      <c r="C14" s="2034"/>
      <c r="D14" s="1021"/>
      <c r="E14" s="1021"/>
      <c r="F14" s="1021"/>
      <c r="G14" s="1074"/>
      <c r="I14" s="2825"/>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c r="D15" s="1067"/>
      <c r="E15" s="1067"/>
      <c r="F15" s="1067"/>
      <c r="G15" s="1684"/>
      <c r="I15" s="2825"/>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c r="D16" s="2039" t="s">
        <v>1579</v>
      </c>
      <c r="E16" s="2040"/>
      <c r="F16" s="2041" t="str">
        <f>IF(AND(C16="是",E16="否"),"是否提供他项权证或相关说明","")</f>
        <v/>
      </c>
      <c r="G16" s="2040"/>
      <c r="I16" s="1071"/>
      <c r="J16" s="1020"/>
    </row>
    <row r="17" spans="1:15" ht="13.5" customHeight="1">
      <c r="A17" s="2042" t="s">
        <v>1580</v>
      </c>
      <c r="B17" s="2821" t="s">
        <v>1581</v>
      </c>
      <c r="C17" s="2822"/>
      <c r="D17" s="2823" t="s">
        <v>1582</v>
      </c>
      <c r="E17" s="2824"/>
      <c r="F17" s="2043" t="s">
        <v>1583</v>
      </c>
      <c r="G17" s="2044"/>
      <c r="J17" s="1020"/>
    </row>
    <row r="18" spans="1:15" ht="24">
      <c r="A18" s="2042"/>
      <c r="B18" s="2045" t="s">
        <v>1584</v>
      </c>
      <c r="C18" s="2012" t="s">
        <v>1585</v>
      </c>
      <c r="D18" s="2046" t="s">
        <v>1586</v>
      </c>
      <c r="E18" s="2047" t="s">
        <v>1587</v>
      </c>
      <c r="F18" s="2048"/>
      <c r="G18" s="1868"/>
      <c r="H18" s="1020"/>
      <c r="J18" s="1020"/>
    </row>
    <row r="19" spans="1:15" ht="21.75" customHeight="1" thickBot="1">
      <c r="A19" s="2042"/>
      <c r="B19" s="2049"/>
      <c r="C19" s="2030"/>
      <c r="D19" s="2050"/>
      <c r="E19" s="1021"/>
      <c r="F19" s="1021"/>
      <c r="G19" s="1868"/>
    </row>
    <row r="20" spans="1:15">
      <c r="A20" s="2051" t="s">
        <v>1588</v>
      </c>
      <c r="B20" s="2052" t="s">
        <v>1589</v>
      </c>
      <c r="C20" s="2053"/>
      <c r="D20" s="2054" t="s">
        <v>1589</v>
      </c>
      <c r="E20" s="2053"/>
      <c r="F20" s="1021"/>
      <c r="G20" s="1868"/>
    </row>
    <row r="21" spans="1:15">
      <c r="A21" s="2055"/>
      <c r="B21" s="2056" t="s">
        <v>1590</v>
      </c>
      <c r="C21" s="2057"/>
      <c r="D21" s="2042" t="s">
        <v>1590</v>
      </c>
      <c r="E21" s="2058"/>
      <c r="F21" s="1021"/>
      <c r="G21" s="1868"/>
    </row>
    <row r="22" spans="1:15">
      <c r="A22" s="2055"/>
      <c r="B22" s="2059" t="s">
        <v>1591</v>
      </c>
      <c r="C22" s="2060"/>
      <c r="D22" s="2059" t="s">
        <v>1591</v>
      </c>
      <c r="E22" s="2058"/>
      <c r="F22" s="1021"/>
      <c r="G22" s="1868"/>
    </row>
    <row r="23" spans="1:15" s="1866" customFormat="1" ht="21" thickBot="1">
      <c r="A23" s="2061"/>
      <c r="B23" s="2062" t="s">
        <v>1592</v>
      </c>
      <c r="C23" s="2063"/>
      <c r="D23" s="2062" t="s">
        <v>1593</v>
      </c>
      <c r="E23" s="2064"/>
      <c r="F23" s="1021"/>
      <c r="G23" s="1868"/>
      <c r="H23" s="2065"/>
      <c r="I23" s="1867"/>
      <c r="K23" s="1865"/>
      <c r="L23" s="1865"/>
      <c r="M23" s="1865"/>
      <c r="O23" s="1867"/>
    </row>
    <row r="24" spans="1:15" ht="13.5" thickBot="1">
      <c r="A24" s="1072" t="s">
        <v>1594</v>
      </c>
      <c r="B24" s="1021"/>
      <c r="C24" s="1021"/>
      <c r="D24" s="1021"/>
      <c r="E24" s="1021"/>
      <c r="F24" s="1021"/>
      <c r="G24" s="1869"/>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5"/>
      <c r="L26" s="1082"/>
      <c r="M26" s="1082"/>
      <c r="O26" s="1083"/>
    </row>
    <row r="27" spans="1:15">
      <c r="A27" s="1007" t="s">
        <v>1598</v>
      </c>
      <c r="B27" s="1004"/>
      <c r="C27" s="2809" t="s">
        <v>1598</v>
      </c>
      <c r="D27" s="2810"/>
      <c r="E27" s="1004"/>
      <c r="F27" s="1011" t="s">
        <v>1598</v>
      </c>
      <c r="G27" s="1004"/>
      <c r="I27" s="1071"/>
      <c r="K27" s="1071"/>
    </row>
    <row r="28" spans="1:15">
      <c r="A28" s="1008" t="s">
        <v>1599</v>
      </c>
      <c r="B28" s="978"/>
      <c r="C28" s="2811" t="s">
        <v>1600</v>
      </c>
      <c r="D28" s="2812"/>
      <c r="E28" s="978"/>
      <c r="F28" s="1894" t="s">
        <v>1600</v>
      </c>
      <c r="G28" s="978"/>
      <c r="I28" s="1071"/>
      <c r="K28" s="1071"/>
    </row>
    <row r="29" spans="1:15">
      <c r="A29" s="1008" t="s">
        <v>1601</v>
      </c>
      <c r="B29" s="978"/>
      <c r="C29" s="2811" t="s">
        <v>1601</v>
      </c>
      <c r="D29" s="2812"/>
      <c r="E29" s="978"/>
      <c r="F29" s="1894" t="s">
        <v>1602</v>
      </c>
      <c r="G29" s="978"/>
      <c r="I29" s="1071"/>
      <c r="K29" s="1071"/>
    </row>
    <row r="30" spans="1:15">
      <c r="A30" s="1008" t="s">
        <v>1603</v>
      </c>
      <c r="B30" s="978"/>
      <c r="C30" s="2831" t="s">
        <v>1604</v>
      </c>
      <c r="D30" s="2068"/>
      <c r="E30" s="1023" t="str">
        <f>E31&amp;" "&amp;E32&amp;" "&amp;E33&amp;" "&amp;E34</f>
        <v xml:space="preserve">   </v>
      </c>
      <c r="F30" s="1894" t="s">
        <v>1605</v>
      </c>
      <c r="G30" s="978"/>
    </row>
    <row r="31" spans="1:15">
      <c r="A31" s="1008" t="s">
        <v>1606</v>
      </c>
      <c r="B31" s="978"/>
      <c r="C31" s="2832"/>
      <c r="D31" s="1893" t="s">
        <v>1607</v>
      </c>
      <c r="E31" s="978"/>
      <c r="F31" s="1894" t="s">
        <v>1608</v>
      </c>
      <c r="G31" s="978"/>
    </row>
    <row r="32" spans="1:15" ht="24.75" thickBot="1">
      <c r="A32" s="1009" t="s">
        <v>1609</v>
      </c>
      <c r="B32" s="1005"/>
      <c r="C32" s="2832"/>
      <c r="D32" s="1893" t="s">
        <v>1610</v>
      </c>
      <c r="E32" s="978"/>
      <c r="F32" s="1894" t="s">
        <v>1611</v>
      </c>
      <c r="G32" s="978"/>
    </row>
    <row r="33" spans="1:7">
      <c r="A33" s="1007" t="s">
        <v>1612</v>
      </c>
      <c r="B33" s="1004"/>
      <c r="C33" s="2832"/>
      <c r="D33" s="1893" t="s">
        <v>1613</v>
      </c>
      <c r="E33" s="978"/>
      <c r="F33" s="1894" t="s">
        <v>1614</v>
      </c>
      <c r="G33" s="978"/>
    </row>
    <row r="34" spans="1:7" ht="13.5" thickBot="1">
      <c r="A34" s="1008" t="s">
        <v>1615</v>
      </c>
      <c r="B34" s="978"/>
      <c r="C34" s="2833"/>
      <c r="D34" s="1893" t="s">
        <v>1616</v>
      </c>
      <c r="E34" s="978"/>
      <c r="F34" s="1895" t="s">
        <v>1617</v>
      </c>
      <c r="G34" s="1006"/>
    </row>
    <row r="35" spans="1:7">
      <c r="A35" s="1008" t="s">
        <v>1568</v>
      </c>
      <c r="B35" s="978"/>
      <c r="C35" s="2811" t="s">
        <v>1618</v>
      </c>
      <c r="D35" s="2812"/>
      <c r="E35" s="978"/>
      <c r="F35" s="1019" t="s">
        <v>1619</v>
      </c>
      <c r="G35" s="1004"/>
    </row>
    <row r="36" spans="1:7" ht="13.5" thickBot="1">
      <c r="A36" s="1008" t="s">
        <v>1620</v>
      </c>
      <c r="B36" s="978"/>
      <c r="C36" s="2813" t="s">
        <v>1621</v>
      </c>
      <c r="D36" s="2814"/>
      <c r="E36" s="1005"/>
      <c r="F36" s="1891" t="s">
        <v>1622</v>
      </c>
      <c r="G36" s="978"/>
    </row>
    <row r="37" spans="1:7" ht="13.5" thickBot="1">
      <c r="A37" s="1008" t="s">
        <v>1623</v>
      </c>
      <c r="B37" s="978"/>
      <c r="C37" s="2803" t="s">
        <v>1624</v>
      </c>
      <c r="D37" s="2069" t="s">
        <v>1608</v>
      </c>
      <c r="E37" s="1004"/>
      <c r="F37" s="1895" t="s">
        <v>1625</v>
      </c>
      <c r="G37" s="1005"/>
    </row>
    <row r="38" spans="1:7">
      <c r="A38" s="1008" t="s">
        <v>1626</v>
      </c>
      <c r="B38" s="978"/>
      <c r="C38" s="2804"/>
      <c r="D38" s="1893" t="s">
        <v>1615</v>
      </c>
      <c r="E38" s="978"/>
      <c r="F38" s="1011" t="s">
        <v>1627</v>
      </c>
      <c r="G38" s="1004"/>
    </row>
    <row r="39" spans="1:7">
      <c r="A39" s="1008" t="s">
        <v>1628</v>
      </c>
      <c r="B39" s="978"/>
      <c r="C39" s="2804" t="s">
        <v>1629</v>
      </c>
      <c r="D39" s="1893" t="s">
        <v>1568</v>
      </c>
      <c r="E39" s="978"/>
      <c r="F39" s="1894" t="s">
        <v>1630</v>
      </c>
      <c r="G39" s="978"/>
    </row>
    <row r="40" spans="1:7" ht="24.75" customHeight="1" thickBot="1">
      <c r="A40" s="1009" t="s">
        <v>1631</v>
      </c>
      <c r="B40" s="1005"/>
      <c r="C40" s="2805"/>
      <c r="D40" s="1896" t="s">
        <v>1572</v>
      </c>
      <c r="E40" s="1005"/>
      <c r="F40" s="1895" t="s">
        <v>1632</v>
      </c>
      <c r="G40" s="1005"/>
    </row>
    <row r="41" spans="1:7">
      <c r="A41" s="1010" t="s">
        <v>1633</v>
      </c>
      <c r="B41" s="1060"/>
      <c r="C41" s="2826" t="s">
        <v>1633</v>
      </c>
      <c r="D41" s="2827"/>
      <c r="E41" s="1060"/>
      <c r="F41" s="1011" t="s">
        <v>1634</v>
      </c>
      <c r="G41" s="1060"/>
    </row>
    <row r="42" spans="1:7">
      <c r="A42" s="1057" t="s">
        <v>1635</v>
      </c>
      <c r="B42" s="1061"/>
      <c r="C42" s="2070"/>
      <c r="D42" s="2071"/>
      <c r="E42" s="1061"/>
      <c r="F42" s="1059"/>
      <c r="G42" s="1061"/>
    </row>
    <row r="43" spans="1:7">
      <c r="A43" s="94" t="s">
        <v>1589</v>
      </c>
      <c r="B43" s="1058"/>
      <c r="C43" s="2070"/>
      <c r="D43" s="2072" t="s">
        <v>1589</v>
      </c>
      <c r="E43" s="1058"/>
      <c r="F43" s="94" t="s">
        <v>1589</v>
      </c>
      <c r="G43" s="1058"/>
    </row>
    <row r="44" spans="1:7">
      <c r="A44" s="94" t="s">
        <v>1590</v>
      </c>
      <c r="B44" s="1058"/>
      <c r="C44" s="2070"/>
      <c r="D44" s="2056" t="s">
        <v>1590</v>
      </c>
      <c r="E44" s="1058"/>
      <c r="F44" s="94" t="s">
        <v>1590</v>
      </c>
      <c r="G44" s="1058"/>
    </row>
    <row r="45" spans="1:7">
      <c r="A45" s="94" t="s">
        <v>1591</v>
      </c>
      <c r="B45" s="1058"/>
      <c r="C45" s="2070"/>
      <c r="D45" s="2056" t="s">
        <v>1591</v>
      </c>
      <c r="E45" s="1058"/>
      <c r="F45" s="94" t="s">
        <v>1591</v>
      </c>
      <c r="G45" s="1058"/>
    </row>
    <row r="46" spans="1:7">
      <c r="A46" s="94" t="s">
        <v>1592</v>
      </c>
      <c r="B46" s="1058"/>
      <c r="C46" s="2070"/>
      <c r="D46" s="2056" t="s">
        <v>1592</v>
      </c>
      <c r="E46" s="1058"/>
      <c r="F46" s="94" t="s">
        <v>1592</v>
      </c>
      <c r="G46" s="1058"/>
    </row>
    <row r="47" spans="1:7">
      <c r="A47" s="1057"/>
      <c r="B47" s="1058"/>
      <c r="C47" s="2070"/>
      <c r="D47" s="2071"/>
      <c r="E47" s="1058"/>
      <c r="F47" s="1059"/>
      <c r="G47" s="1058"/>
    </row>
    <row r="48" spans="1:7" ht="13.5" thickBot="1">
      <c r="A48" s="1009" t="s">
        <v>1636</v>
      </c>
      <c r="B48" s="1005"/>
      <c r="C48" s="2828" t="s">
        <v>1636</v>
      </c>
      <c r="D48" s="2829"/>
      <c r="E48" s="1055"/>
      <c r="F48" s="1895" t="s">
        <v>1637</v>
      </c>
      <c r="G48" s="1005"/>
    </row>
    <row r="49" spans="1:15">
      <c r="A49" s="1008" t="s">
        <v>1638</v>
      </c>
      <c r="B49" s="1054"/>
      <c r="C49" s="2803" t="s">
        <v>1639</v>
      </c>
      <c r="D49" s="2830"/>
      <c r="E49" s="1056"/>
      <c r="F49" s="1084"/>
      <c r="G49" s="1085"/>
    </row>
    <row r="50" spans="1:15" ht="13.5" thickBot="1">
      <c r="A50" s="1008" t="s">
        <v>1640</v>
      </c>
      <c r="B50" s="1054"/>
      <c r="C50" s="2805" t="s">
        <v>1641</v>
      </c>
      <c r="D50" s="2808"/>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4" t="s">
        <v>0</v>
      </c>
      <c r="B1" s="2834" t="s">
        <v>2</v>
      </c>
      <c r="C1" s="2834" t="s">
        <v>3</v>
      </c>
      <c r="D1" s="2835" t="s">
        <v>67</v>
      </c>
      <c r="E1" s="2835" t="s">
        <v>68</v>
      </c>
      <c r="F1" s="2835"/>
      <c r="G1" s="2835"/>
      <c r="H1" s="2835"/>
      <c r="I1" s="2835"/>
      <c r="J1" s="2835"/>
      <c r="K1" s="2835"/>
      <c r="L1" s="2835"/>
      <c r="M1" s="2835"/>
    </row>
    <row r="2" spans="1:13" ht="27" customHeight="1">
      <c r="A2" s="2834"/>
      <c r="B2" s="2834"/>
      <c r="C2" s="2834"/>
      <c r="D2" s="2835"/>
      <c r="E2" s="2835" t="s">
        <v>51</v>
      </c>
      <c r="F2" s="2835" t="s">
        <v>52</v>
      </c>
      <c r="G2" s="2835"/>
      <c r="H2" s="2835"/>
      <c r="I2" s="2835"/>
      <c r="J2" s="2835" t="s">
        <v>53</v>
      </c>
      <c r="K2" s="2835"/>
      <c r="L2" s="2835"/>
      <c r="M2" s="2835"/>
    </row>
    <row r="3" spans="1:13" ht="28.5">
      <c r="A3" s="2834"/>
      <c r="B3" s="2834"/>
      <c r="C3" s="2834"/>
      <c r="D3" s="2835"/>
      <c r="E3" s="283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5" t="s">
        <v>69</v>
      </c>
      <c r="B9" s="2835"/>
      <c r="C9" s="283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B12" sqref="B12"/>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7"/>
      <c r="C1" s="1237"/>
      <c r="D1" s="1853"/>
      <c r="E1" s="1853"/>
      <c r="AE1" s="1237"/>
      <c r="AF1" s="1237"/>
      <c r="AG1" s="1237"/>
      <c r="AH1" s="1237"/>
      <c r="AI1" s="1237"/>
      <c r="AJ1" s="1237"/>
      <c r="AK1" s="1237"/>
      <c r="AL1" s="1237"/>
      <c r="AM1" s="1237"/>
      <c r="AN1" s="1237"/>
      <c r="AO1" s="1237"/>
    </row>
    <row r="2" spans="1:41" s="2078" customFormat="1" ht="15.75" thickBot="1">
      <c r="A2" s="2075" t="s">
        <v>1644</v>
      </c>
      <c r="B2" s="1209">
        <f>项目基本情况!D2</f>
        <v>43242</v>
      </c>
      <c r="C2" s="1855"/>
      <c r="D2" s="2836" t="s">
        <v>1645</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1646</v>
      </c>
      <c r="B3" s="2079" t="s">
        <v>2820</v>
      </c>
      <c r="C3" s="1855"/>
      <c r="D3" s="2837"/>
      <c r="E3" s="1188" t="s">
        <v>1647</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1648</v>
      </c>
      <c r="B4" s="2079" t="s">
        <v>2821</v>
      </c>
      <c r="C4" s="1855"/>
      <c r="D4" s="2837"/>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1649</v>
      </c>
      <c r="B5" s="1318">
        <f>项目基本情况!C12</f>
        <v>60.74</v>
      </c>
      <c r="C5" s="1855"/>
      <c r="D5" s="2081" t="s">
        <v>1650</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1651</v>
      </c>
      <c r="B6" s="1319">
        <f>项目基本情况!C13</f>
        <v>0</v>
      </c>
      <c r="C6" s="1855"/>
      <c r="D6" s="2081" t="s">
        <v>1652</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1653</v>
      </c>
      <c r="B10" s="2086" t="s">
        <v>2818</v>
      </c>
      <c r="C10" s="1855"/>
      <c r="D10" s="2075" t="s">
        <v>1654</v>
      </c>
      <c r="E10" s="2087" t="s">
        <v>1655</v>
      </c>
      <c r="F10" s="1145"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1657</v>
      </c>
      <c r="B11" s="990">
        <v>70</v>
      </c>
      <c r="C11" s="1855"/>
      <c r="D11" s="2089" t="s">
        <v>1658</v>
      </c>
      <c r="E11" s="34"/>
      <c r="F11" s="1854" t="s">
        <v>1659</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1660</v>
      </c>
      <c r="B12" s="2093"/>
      <c r="C12" s="1855"/>
      <c r="D12" s="2094" t="s">
        <v>1661</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1662</v>
      </c>
      <c r="B13" s="991">
        <f>IF(B12="",B11-(YEAR($B$2)-B26+B23),ROUNDDOWN(MIN((B12-$B$2)/365,B11),2))</f>
        <v>44</v>
      </c>
      <c r="C13" s="2096"/>
      <c r="D13" s="2097" t="s">
        <v>1663</v>
      </c>
      <c r="E13" s="39"/>
      <c r="F13" s="1849" t="s">
        <v>1664</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1665</v>
      </c>
      <c r="B14" s="992">
        <f>IF(ISERROR(ROUND(POWER(1+B15,B11-B13)*(POWER(1+B15,B13)-1)/(POWER(1+B15,B11)-1),3)),0,ROUND(POWER(1+B15,B11-B13)*(POWER(1+B15,B13)-1)/(POWER(1+B15,B11)-1),3))</f>
        <v>0.878</v>
      </c>
      <c r="C14" s="1855"/>
      <c r="D14" s="2098" t="s">
        <v>1666</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1667</v>
      </c>
      <c r="B15" s="30">
        <v>0.04</v>
      </c>
      <c r="C15" s="1855"/>
      <c r="D15" s="2094" t="s">
        <v>1668</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1669</v>
      </c>
      <c r="B16" s="30">
        <v>0.04</v>
      </c>
      <c r="C16" s="1855"/>
      <c r="D16" s="2099" t="s">
        <v>1670</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1671</v>
      </c>
      <c r="B17" s="997">
        <v>0.08</v>
      </c>
      <c r="C17" s="1855"/>
      <c r="D17" s="2085" t="s">
        <v>1672</v>
      </c>
      <c r="E17" s="985">
        <v>1800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109332</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1673</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1674</v>
      </c>
      <c r="B20" s="31">
        <v>0</v>
      </c>
      <c r="C20" s="1855"/>
      <c r="D20" s="2103" t="str">
        <f>IF(B25=0,"成新率","工程进度")</f>
        <v>成新率</v>
      </c>
      <c r="E20" s="987">
        <v>0.6</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1675</v>
      </c>
      <c r="B21" s="32">
        <v>1</v>
      </c>
      <c r="C21" s="1855"/>
      <c r="D21" s="2094" t="s">
        <v>1676</v>
      </c>
      <c r="E21" s="711">
        <v>0.03</v>
      </c>
      <c r="F21" s="1852" t="s">
        <v>1677</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1678</v>
      </c>
      <c r="B22" s="1454">
        <v>1</v>
      </c>
      <c r="C22" s="1855"/>
      <c r="D22" s="2094" t="s">
        <v>1679</v>
      </c>
      <c r="E22" s="40">
        <v>0.05</v>
      </c>
      <c r="F22" s="1852" t="s">
        <v>1680</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1681</v>
      </c>
      <c r="B23" s="33">
        <f>B20+B21</f>
        <v>1</v>
      </c>
      <c r="C23" s="1855"/>
      <c r="D23" s="2094" t="s">
        <v>1682</v>
      </c>
      <c r="E23" s="37">
        <v>200</v>
      </c>
      <c r="F23" s="1852" t="s">
        <v>1683</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1684</v>
      </c>
      <c r="B24" s="1742">
        <f>B20+B22</f>
        <v>1</v>
      </c>
      <c r="C24" s="1855"/>
      <c r="D24" s="2099" t="s">
        <v>1685</v>
      </c>
      <c r="E24" s="1818">
        <v>1.4999999999999999E-2</v>
      </c>
      <c r="F24" s="1852" t="s">
        <v>1686</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1687</v>
      </c>
      <c r="B25" s="1453">
        <f>B21-B22</f>
        <v>0</v>
      </c>
      <c r="C25" s="1237"/>
      <c r="D25" s="2089" t="s">
        <v>1688</v>
      </c>
      <c r="E25" s="711">
        <v>0.02</v>
      </c>
      <c r="F25" s="1852" t="s">
        <v>1689</v>
      </c>
      <c r="I25" s="1853"/>
      <c r="AE25" s="1237"/>
      <c r="AF25" s="1237"/>
      <c r="AG25" s="1237"/>
      <c r="AH25" s="1237"/>
      <c r="AI25" s="1237"/>
      <c r="AJ25" s="1237"/>
      <c r="AK25" s="1237"/>
      <c r="AL25" s="1237"/>
      <c r="AM25" s="1237"/>
      <c r="AN25" s="1237"/>
      <c r="AO25" s="1237"/>
    </row>
    <row r="26" spans="1:41" ht="15.75" thickBot="1">
      <c r="A26" s="2108" t="s">
        <v>1690</v>
      </c>
      <c r="B26" s="1094">
        <v>1993</v>
      </c>
      <c r="C26" s="1855"/>
      <c r="D26" s="2094" t="s">
        <v>1691</v>
      </c>
      <c r="E26" s="40">
        <v>0.02</v>
      </c>
      <c r="F26" s="1852" t="s">
        <v>1689</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1692</v>
      </c>
      <c r="E27" s="352">
        <f ca="1">存贷款利率!G1</f>
        <v>4.3499999999999997E-2</v>
      </c>
      <c r="F27" s="1852" t="s">
        <v>1693</v>
      </c>
      <c r="G27" s="2077"/>
      <c r="H27" s="2077"/>
      <c r="K27" s="1855"/>
      <c r="N27" s="1855"/>
      <c r="AE27" s="1237"/>
      <c r="AF27" s="1237"/>
      <c r="AG27" s="1237"/>
      <c r="AH27" s="1237"/>
      <c r="AI27" s="1237"/>
      <c r="AJ27" s="1237"/>
      <c r="AK27" s="1237"/>
      <c r="AL27" s="1237"/>
      <c r="AM27" s="1237"/>
      <c r="AN27" s="1237"/>
      <c r="AO27" s="1237"/>
    </row>
    <row r="28" spans="1:41" ht="15" thickBot="1">
      <c r="A28" s="2109" t="s">
        <v>1694</v>
      </c>
      <c r="B28" s="2110" t="s">
        <v>2822</v>
      </c>
      <c r="C28" s="1237"/>
      <c r="D28" s="2111" t="s">
        <v>1695</v>
      </c>
      <c r="E28" s="989">
        <v>0.25</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2000</v>
      </c>
      <c r="C29" s="1237"/>
      <c r="D29" s="2098" t="s">
        <v>1696</v>
      </c>
      <c r="E29" s="988">
        <f>E30+E31</f>
        <v>5.5000000000000007E-2</v>
      </c>
      <c r="F29" s="1849"/>
      <c r="G29" s="2077"/>
      <c r="H29" s="2077"/>
      <c r="K29" s="1855"/>
      <c r="N29" s="1855"/>
      <c r="AE29" s="1237"/>
      <c r="AF29" s="1237"/>
      <c r="AG29" s="1237"/>
      <c r="AH29" s="1237"/>
      <c r="AI29" s="1237"/>
      <c r="AJ29" s="1237"/>
      <c r="AK29" s="1237"/>
      <c r="AL29" s="1237"/>
      <c r="AM29" s="1237"/>
      <c r="AN29" s="1237"/>
      <c r="AO29" s="1237"/>
    </row>
    <row r="30" spans="1:41" ht="14.25">
      <c r="A30" s="2092" t="s">
        <v>1697</v>
      </c>
      <c r="B30" s="1419">
        <f ca="1">存贷款利率!I1</f>
        <v>1.4999999999999999E-2</v>
      </c>
      <c r="C30" s="1237"/>
      <c r="D30" s="2112" t="s">
        <v>1698</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1699</v>
      </c>
      <c r="B31" s="30">
        <v>2.5000000000000001E-2</v>
      </c>
      <c r="C31" s="1237"/>
      <c r="D31" s="2112" t="s">
        <v>1700</v>
      </c>
      <c r="E31" s="42">
        <f>E30*(E32+E33+E34)+E35</f>
        <v>5.000000000000001E-3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1701</v>
      </c>
      <c r="B32" s="30">
        <v>0.1</v>
      </c>
      <c r="C32" s="1237"/>
      <c r="D32" s="2113" t="s">
        <v>1702</v>
      </c>
      <c r="E32" s="43">
        <v>0.05</v>
      </c>
      <c r="F32" s="1847" t="s">
        <v>1703</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1704</v>
      </c>
      <c r="B33" s="1380">
        <f>收益法!J54</f>
        <v>44</v>
      </c>
      <c r="C33" s="1237"/>
      <c r="D33" s="2113" t="s">
        <v>1705</v>
      </c>
      <c r="E33" s="41">
        <v>0.03</v>
      </c>
      <c r="F33" s="1846" t="s">
        <v>1706</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1707</v>
      </c>
      <c r="E34" s="41">
        <v>0.02</v>
      </c>
      <c r="F34" s="1846" t="s">
        <v>1708</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1709</v>
      </c>
      <c r="B35" s="994"/>
      <c r="C35" s="1237"/>
      <c r="D35" s="2117" t="s">
        <v>1710</v>
      </c>
      <c r="E35" s="44"/>
      <c r="F35" s="1854" t="s">
        <v>1711</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1712</v>
      </c>
      <c r="E36" s="45">
        <v>0.03</v>
      </c>
      <c r="F36" s="1850" t="s">
        <v>1713</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1714</v>
      </c>
      <c r="E37" s="41">
        <v>5.0000000000000001E-4</v>
      </c>
      <c r="F37" s="1850" t="s">
        <v>1715</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1716</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1717</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1718</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1719</v>
      </c>
      <c r="B41" s="1000">
        <v>1</v>
      </c>
      <c r="C41" s="1237"/>
      <c r="D41" s="2094" t="s">
        <v>1720</v>
      </c>
      <c r="E41" s="2122"/>
      <c r="F41" s="1848" t="s">
        <v>1721</v>
      </c>
      <c r="G41" s="2123" t="s">
        <v>1722</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1723</v>
      </c>
      <c r="B42" s="993">
        <v>12</v>
      </c>
      <c r="C42" s="1237"/>
      <c r="D42" s="2124" t="s">
        <v>1724</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1725</v>
      </c>
      <c r="B43" s="29"/>
      <c r="C43" s="1237"/>
      <c r="D43" s="2124" t="s">
        <v>1726</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1727</v>
      </c>
      <c r="B44" s="1001">
        <v>0.01</v>
      </c>
      <c r="C44" s="1237" t="s">
        <v>969</v>
      </c>
      <c r="D44" s="2124" t="s">
        <v>1728</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1729</v>
      </c>
      <c r="B45" s="1002">
        <v>1E-3</v>
      </c>
      <c r="C45" s="1237" t="s">
        <v>970</v>
      </c>
      <c r="D45" s="2124" t="s">
        <v>1730</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1731</v>
      </c>
      <c r="B46" s="1003">
        <v>0.01</v>
      </c>
      <c r="C46" s="1237" t="s">
        <v>971</v>
      </c>
      <c r="D46" s="2124"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1732</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1733</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1734</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1735</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1736</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38" t="s">
        <v>1737</v>
      </c>
      <c r="B1" s="2839"/>
      <c r="C1" s="2839"/>
      <c r="D1" s="2839"/>
      <c r="E1" s="2839"/>
      <c r="F1" s="2839"/>
      <c r="G1" s="2839"/>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81">
      <c r="A3" s="395" t="s">
        <v>1740</v>
      </c>
      <c r="B3" s="2144" t="s">
        <v>1741</v>
      </c>
      <c r="C3" s="2735" t="s">
        <v>2823</v>
      </c>
      <c r="D3" s="2145"/>
      <c r="E3" s="411" t="s">
        <v>1740</v>
      </c>
      <c r="F3" s="2146" t="s">
        <v>1742</v>
      </c>
      <c r="G3" s="2147" t="s">
        <v>1743</v>
      </c>
      <c r="H3" s="2142"/>
      <c r="I3" s="2142"/>
      <c r="J3" s="2142"/>
      <c r="K3" s="2142"/>
      <c r="L3" s="2142"/>
      <c r="M3" s="2142"/>
      <c r="N3" s="2142"/>
      <c r="O3" s="2142"/>
      <c r="P3" s="2142"/>
      <c r="Q3" s="2142"/>
      <c r="R3" s="2142"/>
    </row>
    <row r="4" spans="1:29" ht="40.5">
      <c r="A4" s="411"/>
      <c r="B4" s="1887" t="s">
        <v>1744</v>
      </c>
      <c r="C4" s="2148"/>
      <c r="D4" s="2145"/>
      <c r="E4" s="2149"/>
      <c r="F4" s="2150" t="s">
        <v>1745</v>
      </c>
      <c r="G4" s="2151" t="s">
        <v>1746</v>
      </c>
      <c r="H4" s="2142"/>
      <c r="I4" s="2142"/>
      <c r="J4" s="2142"/>
      <c r="K4" s="2142"/>
      <c r="L4" s="2142"/>
      <c r="M4" s="2142"/>
      <c r="N4" s="2142"/>
      <c r="O4" s="2142"/>
      <c r="P4" s="2142"/>
      <c r="Q4" s="2142"/>
      <c r="R4" s="2142"/>
    </row>
    <row r="5" spans="1:29" ht="27">
      <c r="A5" s="411"/>
      <c r="B5" s="1887" t="s">
        <v>1747</v>
      </c>
      <c r="C5" s="2148"/>
      <c r="D5" s="2145"/>
      <c r="E5" s="2149"/>
      <c r="F5" s="1887" t="s">
        <v>1748</v>
      </c>
      <c r="G5" s="2151" t="s">
        <v>1749</v>
      </c>
      <c r="H5" s="2142"/>
      <c r="I5" s="2142"/>
      <c r="J5" s="2142"/>
      <c r="K5" s="2142"/>
      <c r="L5" s="2142"/>
      <c r="M5" s="2142"/>
      <c r="N5" s="2142"/>
      <c r="O5" s="2142"/>
      <c r="P5" s="2142"/>
      <c r="Q5" s="2142"/>
      <c r="R5" s="2142"/>
    </row>
    <row r="6" spans="1:29" ht="67.5">
      <c r="A6" s="411"/>
      <c r="B6" s="1887" t="s">
        <v>1750</v>
      </c>
      <c r="C6" s="2736" t="s">
        <v>2907</v>
      </c>
      <c r="D6" s="2145"/>
      <c r="E6" s="2149"/>
      <c r="F6" s="1887" t="s">
        <v>1751</v>
      </c>
      <c r="G6" s="2151" t="s">
        <v>1752</v>
      </c>
      <c r="H6" s="2142"/>
      <c r="I6" s="2142"/>
      <c r="J6" s="2142"/>
      <c r="K6" s="2142"/>
      <c r="L6" s="2142"/>
      <c r="M6" s="2142"/>
      <c r="N6" s="2142"/>
      <c r="O6" s="2142"/>
      <c r="P6" s="2142"/>
      <c r="Q6" s="2142"/>
      <c r="R6" s="2142"/>
    </row>
    <row r="7" spans="1:29" ht="41.25" thickBot="1">
      <c r="A7" s="411"/>
      <c r="B7" s="1887" t="s">
        <v>1748</v>
      </c>
      <c r="C7" s="2736" t="s">
        <v>2824</v>
      </c>
      <c r="D7" s="2152"/>
      <c r="E7" s="2153"/>
      <c r="F7" s="2154" t="s">
        <v>1753</v>
      </c>
      <c r="G7" s="2155" t="s">
        <v>1754</v>
      </c>
      <c r="H7" s="2142"/>
      <c r="I7" s="2142"/>
      <c r="J7" s="2142"/>
      <c r="K7" s="2142"/>
      <c r="L7" s="2142"/>
      <c r="M7" s="2142"/>
      <c r="N7" s="2142"/>
      <c r="O7" s="2142"/>
      <c r="P7" s="2142"/>
      <c r="Q7" s="2142"/>
      <c r="R7" s="2142"/>
    </row>
    <row r="8" spans="1:29" ht="27">
      <c r="A8" s="411"/>
      <c r="B8" s="1887" t="s">
        <v>1751</v>
      </c>
      <c r="C8" s="2736" t="s">
        <v>2826</v>
      </c>
      <c r="D8" s="2152"/>
      <c r="E8" s="2152"/>
      <c r="F8" s="1246"/>
      <c r="G8" s="1246"/>
      <c r="H8" s="2142"/>
      <c r="I8" s="2142"/>
      <c r="J8" s="2142"/>
      <c r="K8" s="2142"/>
      <c r="L8" s="2142"/>
      <c r="M8" s="2142"/>
      <c r="N8" s="2142"/>
      <c r="O8" s="2142"/>
      <c r="P8" s="2142"/>
      <c r="Q8" s="2142"/>
      <c r="R8" s="2142"/>
    </row>
    <row r="9" spans="1:29" ht="54">
      <c r="A9" s="411"/>
      <c r="B9" s="1887" t="s">
        <v>1755</v>
      </c>
      <c r="C9" s="2737" t="s">
        <v>2908</v>
      </c>
      <c r="D9" s="2145"/>
      <c r="E9" s="2152"/>
      <c r="F9" s="1246"/>
      <c r="G9" s="1246"/>
      <c r="H9" s="2142"/>
      <c r="I9" s="2142"/>
      <c r="J9" s="2142"/>
      <c r="K9" s="2142"/>
      <c r="L9" s="2142"/>
      <c r="M9" s="2142"/>
      <c r="N9" s="2142"/>
      <c r="O9" s="2142"/>
      <c r="P9" s="2142"/>
      <c r="Q9" s="2142"/>
      <c r="R9" s="2142"/>
    </row>
    <row r="10" spans="1:29" s="35" customFormat="1" ht="15.75" thickBot="1">
      <c r="A10" s="2156"/>
      <c r="B10" s="2157" t="s">
        <v>1756</v>
      </c>
      <c r="C10" s="2738" t="s">
        <v>2827</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1757</v>
      </c>
      <c r="B13" s="2162"/>
      <c r="C13" s="2162"/>
      <c r="D13" s="2139"/>
      <c r="E13" s="2162"/>
      <c r="F13" s="2162"/>
      <c r="G13" s="2162"/>
    </row>
    <row r="14" spans="1:29" ht="15.75" thickBot="1">
      <c r="A14" s="2172"/>
      <c r="B14" s="2173"/>
      <c r="C14" s="2174" t="s">
        <v>1758</v>
      </c>
      <c r="D14" s="2145"/>
      <c r="E14" s="2175"/>
      <c r="F14" s="2175"/>
      <c r="G14" s="2138" t="s">
        <v>1759</v>
      </c>
    </row>
    <row r="15" spans="1:29" ht="85.5">
      <c r="A15" s="25" t="s">
        <v>1760</v>
      </c>
      <c r="B15" s="2176" t="s">
        <v>1741</v>
      </c>
      <c r="C15" s="2177" t="str">
        <f>C3</f>
        <v>估价对象周边有府前东街、金台园小区、南华园村、东关家园等居住小区，小区规模和社区发展完善程度一般，综合评价居住社区成熟度一般</v>
      </c>
      <c r="D15" s="2145"/>
      <c r="E15" s="2178" t="s">
        <v>1761</v>
      </c>
      <c r="F15" s="2176" t="s">
        <v>1762</v>
      </c>
      <c r="G15" s="51" t="str">
        <f>G3</f>
        <v>估价对象位于XX开发区，园区建设成熟度XX，产业集聚程度XX</v>
      </c>
    </row>
    <row r="16" spans="1:29" ht="42.75">
      <c r="A16" s="629"/>
      <c r="B16" s="1493" t="s">
        <v>1744</v>
      </c>
      <c r="C16" s="2179">
        <f>C4</f>
        <v>0</v>
      </c>
      <c r="D16" s="2145"/>
      <c r="E16" s="2180"/>
      <c r="F16" s="2181" t="s">
        <v>1745</v>
      </c>
      <c r="G16" s="52" t="str">
        <f>G4</f>
        <v>估价对象周边道路状况、公共交通通达情况、停车便捷程度，综合评价交通便捷度较好</v>
      </c>
    </row>
    <row r="17" spans="1:18" ht="15">
      <c r="A17" s="629"/>
      <c r="B17" s="1493" t="s">
        <v>1747</v>
      </c>
      <c r="C17" s="2179">
        <f>C5</f>
        <v>0</v>
      </c>
      <c r="D17" s="2152"/>
      <c r="E17" s="2180"/>
      <c r="F17" s="2181" t="s">
        <v>1763</v>
      </c>
      <c r="G17" s="2182"/>
    </row>
    <row r="18" spans="1:18" ht="71.25">
      <c r="A18" s="629"/>
      <c r="B18" s="2181" t="s">
        <v>1750</v>
      </c>
      <c r="C18" s="52" t="str">
        <f>C6</f>
        <v>估价对象紧邻城市支路——下园一条，周边无地铁、有868路、916路、h58路、h59路公交线路等，综合评价交通便捷度一般</v>
      </c>
      <c r="D18" s="2152"/>
      <c r="E18" s="2180"/>
      <c r="F18" s="2181" t="s">
        <v>1753</v>
      </c>
      <c r="G18" s="52" t="str">
        <f>G7</f>
        <v>该园区内是否有污染型企业，绿化情况，卫生条件，整体环境状况判断</v>
      </c>
    </row>
    <row r="19" spans="1:18" ht="28.5">
      <c r="A19" s="629"/>
      <c r="B19" s="2181" t="s">
        <v>1764</v>
      </c>
      <c r="C19" s="2182"/>
      <c r="D19" s="2145"/>
      <c r="E19" s="2180"/>
      <c r="F19" s="1887" t="s">
        <v>1748</v>
      </c>
      <c r="G19" s="52" t="str">
        <f>G5</f>
        <v>估价对象所在区域公共配套设施齐备情况</v>
      </c>
    </row>
    <row r="20" spans="1:18" ht="57">
      <c r="A20" s="629"/>
      <c r="B20" s="2181" t="s">
        <v>1765</v>
      </c>
      <c r="C20" s="2179" t="str">
        <f>C9</f>
        <v>自然环境：普法公园、迎宾公园、怀柔水库等；人文环境：怀柔区博物馆等，综合评价环境状况一般</v>
      </c>
      <c r="D20" s="2152"/>
      <c r="E20" s="2180"/>
      <c r="F20" s="1887" t="s">
        <v>1766</v>
      </c>
      <c r="G20" s="52" t="str">
        <f>G6</f>
        <v>估价对象所在区域基础设施水平</v>
      </c>
    </row>
    <row r="21" spans="1:18" ht="28.5">
      <c r="A21" s="629"/>
      <c r="B21" s="1887" t="s">
        <v>1748</v>
      </c>
      <c r="C21" s="52" t="str">
        <f>C7</f>
        <v>估价对象所在区域公共配套设施齐备情况一般</v>
      </c>
      <c r="D21" s="2145"/>
      <c r="E21" s="2180"/>
      <c r="F21" s="2181" t="s">
        <v>1767</v>
      </c>
      <c r="G21" s="2183"/>
    </row>
    <row r="22" spans="1:18" ht="28.5">
      <c r="A22" s="629"/>
      <c r="B22" s="1887" t="s">
        <v>1751</v>
      </c>
      <c r="C22" s="52" t="str">
        <f>C8</f>
        <v>估价对象所在区域基础设施水平——七通</v>
      </c>
      <c r="D22" s="2145"/>
      <c r="E22" s="2180"/>
      <c r="F22" s="2181" t="s">
        <v>1756</v>
      </c>
      <c r="G22" s="2184"/>
    </row>
    <row r="23" spans="1:18" s="2142"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2" customFormat="1" ht="15.75" thickBot="1">
      <c r="A24" s="2188"/>
      <c r="B24" s="2186" t="s">
        <v>1769</v>
      </c>
      <c r="C24" s="53" t="str">
        <f>C10</f>
        <v>城市支路——下园一条</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15" sqref="E15"/>
    </sheetView>
  </sheetViews>
  <sheetFormatPr defaultColWidth="14.625" defaultRowHeight="13.5"/>
  <cols>
    <col min="1" max="1" width="24.375" customWidth="1"/>
  </cols>
  <sheetData>
    <row r="1" spans="1:9" ht="16.5">
      <c r="A1" s="1830" t="s">
        <v>1225</v>
      </c>
      <c r="B1" s="1830">
        <f>SUM(B14:B23)</f>
        <v>60.74</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43242</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153.6601</v>
      </c>
      <c r="C5" s="1830">
        <f ca="1">ROUND(B5*10000/$B$1,0)</f>
        <v>25298</v>
      </c>
      <c r="D5" s="1830" t="e">
        <f ca="1">ROUND(B5*10000/$B$2,0)</f>
        <v>#DIV/0!</v>
      </c>
      <c r="E5" s="1831"/>
      <c r="F5" s="1835"/>
      <c r="G5" s="1835"/>
    </row>
    <row r="6" spans="1:9" ht="16.5">
      <c r="A6" s="1830" t="s">
        <v>1233</v>
      </c>
      <c r="B6" s="1830">
        <f>SUM(G14:G23)</f>
        <v>0</v>
      </c>
      <c r="C6" s="1830">
        <f t="shared" ref="C6:C8" si="0">ROUND(B6*10000/$B$1,0)</f>
        <v>0</v>
      </c>
      <c r="D6" s="1830" t="e">
        <f t="shared" ref="D6:D8"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1225</v>
      </c>
      <c r="C13" s="1834" t="s">
        <v>1226</v>
      </c>
      <c r="D13" s="1834" t="s">
        <v>1238</v>
      </c>
      <c r="E13" s="1830" t="s">
        <v>1230</v>
      </c>
      <c r="F13" s="1830" t="s">
        <v>1231</v>
      </c>
      <c r="G13" s="1834" t="s">
        <v>1239</v>
      </c>
      <c r="H13" s="1834" t="s">
        <v>1240</v>
      </c>
      <c r="I13" s="1834" t="s">
        <v>1241</v>
      </c>
    </row>
    <row r="14" spans="1:9" ht="16.5">
      <c r="A14" s="1837" t="s">
        <v>1251</v>
      </c>
      <c r="B14" s="1834">
        <f>项目基本情况!C12</f>
        <v>60.74</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f ca="1">ROUND(结果表!G20*系统读取表!B14,0)/10000</f>
        <v>153.6601</v>
      </c>
      <c r="E15" s="1834" t="e">
        <f t="shared" ref="E15:E23" ca="1" si="2">ROUND(D15*10000/B15,0)</f>
        <v>#DIV/0!</v>
      </c>
      <c r="F15" s="1834" t="e">
        <f t="shared" ref="F15:F23" ca="1"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4" zoomScaleNormal="100" zoomScaleSheetLayoutView="100" zoomScalePageLayoutView="80" workbookViewId="0">
      <selection activeCell="F20" sqref="F20"/>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2916" t="str">
        <f>项目基本情况!B1</f>
        <v>北京市预评估</v>
      </c>
      <c r="B2" s="2916"/>
      <c r="C2" s="2916"/>
      <c r="D2" s="2916"/>
      <c r="E2" s="2916"/>
      <c r="F2" s="2916"/>
      <c r="G2" s="2916"/>
      <c r="H2" s="2916"/>
      <c r="I2" s="2916"/>
    </row>
    <row r="3" spans="1:12" ht="12.75">
      <c r="A3" s="2922" t="s">
        <v>1771</v>
      </c>
      <c r="B3" s="2923"/>
      <c r="C3" s="2923"/>
      <c r="D3" s="2923"/>
      <c r="E3" s="2923"/>
      <c r="F3" s="2923"/>
      <c r="G3" s="2923"/>
      <c r="H3" s="2923"/>
      <c r="I3" s="2923"/>
    </row>
    <row r="4" spans="1:12" ht="14.25">
      <c r="A4" s="2197" t="s">
        <v>1772</v>
      </c>
      <c r="B4" s="2198" t="s">
        <v>1773</v>
      </c>
      <c r="C4" s="2199" t="s">
        <v>2905</v>
      </c>
      <c r="D4" s="2199" t="s">
        <v>2833</v>
      </c>
      <c r="E4" s="2927" t="s">
        <v>1774</v>
      </c>
      <c r="F4" s="2928"/>
      <c r="G4" s="2928"/>
      <c r="H4" s="2928"/>
      <c r="I4" s="2929"/>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17" t="s">
        <v>1775</v>
      </c>
      <c r="B5" s="2862">
        <v>25</v>
      </c>
      <c r="C5" s="2924">
        <v>80</v>
      </c>
      <c r="D5" s="2921">
        <f>100-C5</f>
        <v>20</v>
      </c>
      <c r="E5" s="56" t="s">
        <v>1776</v>
      </c>
      <c r="F5" s="2200"/>
      <c r="G5" s="2200"/>
      <c r="H5" s="2200"/>
      <c r="I5" s="2201"/>
    </row>
    <row r="6" spans="1:12" ht="12.75">
      <c r="A6" s="2917"/>
      <c r="B6" s="2862"/>
      <c r="C6" s="2925"/>
      <c r="D6" s="2921"/>
      <c r="E6" s="56" t="s">
        <v>1777</v>
      </c>
      <c r="F6" s="2200"/>
      <c r="G6" s="2200"/>
      <c r="H6" s="2200"/>
      <c r="I6" s="2201"/>
    </row>
    <row r="7" spans="1:12" ht="12.75">
      <c r="A7" s="2917"/>
      <c r="B7" s="2862"/>
      <c r="C7" s="2926"/>
      <c r="D7" s="2921"/>
      <c r="E7" s="56" t="s">
        <v>1778</v>
      </c>
      <c r="F7" s="2200"/>
      <c r="G7" s="2200"/>
      <c r="H7" s="2200"/>
      <c r="I7" s="2201"/>
    </row>
    <row r="8" spans="1:12" ht="12.75">
      <c r="A8" s="2917" t="s">
        <v>1779</v>
      </c>
      <c r="B8" s="2862">
        <v>15</v>
      </c>
      <c r="C8" s="2924"/>
      <c r="D8" s="2921"/>
      <c r="E8" s="56" t="s">
        <v>1780</v>
      </c>
      <c r="F8" s="2200"/>
      <c r="G8" s="2200"/>
      <c r="H8" s="2200"/>
      <c r="I8" s="2201"/>
    </row>
    <row r="9" spans="1:12" ht="12.75">
      <c r="A9" s="2917"/>
      <c r="B9" s="2862"/>
      <c r="C9" s="2926"/>
      <c r="D9" s="2921"/>
      <c r="E9" s="56" t="s">
        <v>1781</v>
      </c>
      <c r="F9" s="2200"/>
      <c r="G9" s="2200"/>
      <c r="H9" s="2200"/>
      <c r="I9" s="2201"/>
    </row>
    <row r="10" spans="1:12" ht="12.75">
      <c r="A10" s="2917" t="s">
        <v>1782</v>
      </c>
      <c r="B10" s="2862">
        <v>15</v>
      </c>
      <c r="C10" s="2924"/>
      <c r="D10" s="2921"/>
      <c r="E10" s="56" t="s">
        <v>1783</v>
      </c>
      <c r="F10" s="2200"/>
      <c r="G10" s="2200"/>
      <c r="H10" s="2200"/>
      <c r="I10" s="2201"/>
    </row>
    <row r="11" spans="1:12" ht="12.75">
      <c r="A11" s="2917"/>
      <c r="B11" s="2862"/>
      <c r="C11" s="2926"/>
      <c r="D11" s="2921"/>
      <c r="E11" s="56" t="s">
        <v>1784</v>
      </c>
      <c r="F11" s="2200"/>
      <c r="G11" s="2200"/>
      <c r="H11" s="2200"/>
      <c r="I11" s="2201"/>
    </row>
    <row r="12" spans="1:12" ht="12.75">
      <c r="A12" s="2917" t="s">
        <v>1785</v>
      </c>
      <c r="B12" s="2862">
        <v>15</v>
      </c>
      <c r="C12" s="2924"/>
      <c r="D12" s="2921"/>
      <c r="E12" s="56" t="s">
        <v>1786</v>
      </c>
      <c r="F12" s="2200"/>
      <c r="G12" s="2200"/>
      <c r="H12" s="2200"/>
      <c r="I12" s="2201"/>
    </row>
    <row r="13" spans="1:12" ht="12.75">
      <c r="A13" s="2917"/>
      <c r="B13" s="2862"/>
      <c r="C13" s="2926"/>
      <c r="D13" s="2921"/>
      <c r="E13" s="56" t="s">
        <v>1787</v>
      </c>
      <c r="F13" s="2200"/>
      <c r="G13" s="2200"/>
      <c r="H13" s="2200"/>
      <c r="I13" s="2201"/>
    </row>
    <row r="14" spans="1:12" ht="12.75">
      <c r="A14" s="2917" t="s">
        <v>1788</v>
      </c>
      <c r="B14" s="2862">
        <v>30</v>
      </c>
      <c r="C14" s="2924"/>
      <c r="D14" s="2921"/>
      <c r="E14" s="56" t="s">
        <v>1789</v>
      </c>
      <c r="F14" s="2200"/>
      <c r="G14" s="2200"/>
      <c r="H14" s="2200"/>
      <c r="I14" s="2201"/>
    </row>
    <row r="15" spans="1:12" ht="12.75">
      <c r="A15" s="2917"/>
      <c r="B15" s="2862"/>
      <c r="C15" s="2925"/>
      <c r="D15" s="2921"/>
      <c r="E15" s="56" t="s">
        <v>1790</v>
      </c>
      <c r="F15" s="2200"/>
      <c r="G15" s="2200"/>
      <c r="H15" s="2200"/>
      <c r="I15" s="2201"/>
    </row>
    <row r="16" spans="1:12" ht="12.75">
      <c r="A16" s="2917"/>
      <c r="B16" s="2862"/>
      <c r="C16" s="2926"/>
      <c r="D16" s="2921"/>
      <c r="E16" s="56" t="s">
        <v>1791</v>
      </c>
      <c r="F16" s="2200"/>
      <c r="G16" s="2200"/>
      <c r="H16" s="2200"/>
      <c r="I16" s="2201"/>
    </row>
    <row r="17" spans="1:35" ht="15">
      <c r="A17" s="2202" t="s">
        <v>1792</v>
      </c>
      <c r="B17" s="2203"/>
      <c r="C17" s="57">
        <f>SUM(C5:C16)</f>
        <v>80</v>
      </c>
      <c r="D17" s="57">
        <f>SUM(D5:D16)</f>
        <v>20</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1776159</v>
      </c>
      <c r="D19" s="60">
        <f ca="1">SUMIF(INDIRECT("'"&amp;D4&amp;"'"&amp;"!A:A"),结果表!B19,INDIRECT("'"&amp;D4&amp;"'"&amp;"!B:B"))</f>
        <v>578227</v>
      </c>
      <c r="E19" s="2206" t="s">
        <v>1796</v>
      </c>
      <c r="F19" s="2207" t="s">
        <v>1795</v>
      </c>
      <c r="G19" s="61">
        <f ca="1">ROUND(C19*$C$18+D19*$D$18,0)</f>
        <v>1536573</v>
      </c>
      <c r="H19" s="2208" t="str">
        <f>'数据-取费表'!B3</f>
        <v>元</v>
      </c>
      <c r="I19" s="2195"/>
    </row>
    <row r="20" spans="1:35" ht="15">
      <c r="A20" s="2209"/>
      <c r="B20" s="2210" t="s">
        <v>1797</v>
      </c>
      <c r="C20" s="62">
        <f ca="1">SUMIF(INDIRECT("'"&amp;C4&amp;"'"&amp;"!A:A"),结果表!B20,INDIRECT("'"&amp;C4&amp;"'"&amp;"!B:B"))</f>
        <v>29242</v>
      </c>
      <c r="D20" s="63">
        <f ca="1">SUMIF(INDIRECT("'"&amp;D4&amp;"'"&amp;"!A:A"),结果表!B20,INDIRECT("'"&amp;D4&amp;"'"&amp;"!B:B"))</f>
        <v>9520</v>
      </c>
      <c r="E20" s="2209"/>
      <c r="F20" s="2210" t="s">
        <v>1797</v>
      </c>
      <c r="G20" s="64">
        <f ca="1">ROUND(C20*$C$18+D20*$D$18,0)</f>
        <v>25298</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2.0717330736890531</v>
      </c>
      <c r="E22" s="2195"/>
      <c r="F22" s="2195"/>
      <c r="G22" s="2195"/>
      <c r="H22" s="2195"/>
      <c r="I22" s="2195"/>
    </row>
    <row r="23" spans="1:35" ht="13.5" thickBot="1">
      <c r="A23" s="2195"/>
      <c r="B23" s="2195"/>
      <c r="C23" s="2195"/>
      <c r="D23" s="2195"/>
      <c r="E23" s="2195"/>
      <c r="F23" s="2195"/>
      <c r="G23" s="2195"/>
      <c r="H23" s="2195"/>
      <c r="I23" s="2195"/>
    </row>
    <row r="24" spans="1:35" ht="21.75" customHeight="1">
      <c r="A24" s="2930" t="s">
        <v>1800</v>
      </c>
      <c r="B24" s="2207" t="s">
        <v>1795</v>
      </c>
      <c r="C24" s="61">
        <f>D30</f>
        <v>0</v>
      </c>
      <c r="D24" s="994"/>
      <c r="E24" s="2195"/>
      <c r="F24" s="2195"/>
      <c r="G24" s="2195"/>
      <c r="H24" s="2195"/>
      <c r="I24" s="2195"/>
    </row>
    <row r="25" spans="1:35" ht="21.75" customHeight="1">
      <c r="A25" s="2931"/>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7"/>
      <c r="E30" s="2715" t="s">
        <v>2807</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t="str">
        <f>'数据-取费表'!B4</f>
        <v>楼面单价</v>
      </c>
      <c r="C32" s="1145">
        <f ca="1">IF(B32="总价",G19-C24,G20-C25)</f>
        <v>25298</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20441</v>
      </c>
      <c r="D34" s="1091">
        <f ca="1">IF(D33="自定义",ROUND(C34/C32,3),1-D35)</f>
        <v>0.80800000000000005</v>
      </c>
      <c r="E34" s="2233" t="s">
        <v>1810</v>
      </c>
      <c r="F34" s="1828">
        <v>2000</v>
      </c>
      <c r="G34" s="2195"/>
      <c r="H34" s="2195"/>
      <c r="I34" s="2195"/>
    </row>
    <row r="35" spans="1:16" ht="15.75" thickBot="1">
      <c r="A35" s="2234"/>
      <c r="B35" s="2235" t="s">
        <v>1811</v>
      </c>
      <c r="C35" s="73">
        <f ca="1">IF(D33="自定义",F35,ROUND(C32*D35,0))</f>
        <v>4857</v>
      </c>
      <c r="D35" s="1090">
        <f ca="1">IF(D33="自定义",ROUND(C35/C32,3),IF(D33="成本法成本比率",成本法!C56,IF(D33="收益法收益比率",收益法!J38,收益法!J41)))</f>
        <v>0.192</v>
      </c>
      <c r="E35" s="2236" t="s">
        <v>1812</v>
      </c>
      <c r="F35" s="79">
        <v>4460</v>
      </c>
      <c r="G35" s="2195"/>
      <c r="H35" s="2195"/>
      <c r="I35" s="2195"/>
    </row>
    <row r="36" spans="1:16" ht="15.75" thickBot="1">
      <c r="A36" s="2935" t="s">
        <v>1813</v>
      </c>
      <c r="B36" s="2237" t="s">
        <v>1814</v>
      </c>
      <c r="C36" s="69">
        <v>0</v>
      </c>
      <c r="D36" s="2238"/>
      <c r="E36" s="2239"/>
      <c r="F36" s="2239"/>
      <c r="G36" s="2195"/>
      <c r="H36" s="2195"/>
      <c r="I36" s="2195"/>
    </row>
    <row r="37" spans="1:16" ht="15.75" thickBot="1">
      <c r="A37" s="2936"/>
      <c r="B37" s="2240" t="s">
        <v>1815</v>
      </c>
      <c r="C37" s="71">
        <v>0</v>
      </c>
      <c r="D37" s="2205"/>
      <c r="E37" s="2205"/>
      <c r="F37" s="2239"/>
      <c r="G37" s="2205"/>
      <c r="H37" s="2205"/>
      <c r="I37" s="2205"/>
    </row>
    <row r="38" spans="1:16" ht="15.75" thickBot="1">
      <c r="A38" s="2937"/>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940" t="s">
        <v>1824</v>
      </c>
      <c r="B45" s="2941"/>
      <c r="C45" s="2942"/>
      <c r="D45" s="80">
        <f ca="1">ROUND(I102*F45,0)</f>
        <v>1536601</v>
      </c>
      <c r="E45" s="81" t="s">
        <v>1825</v>
      </c>
      <c r="F45" s="82">
        <v>1</v>
      </c>
      <c r="G45" s="83" t="s">
        <v>1826</v>
      </c>
      <c r="H45" s="2195"/>
      <c r="I45" s="2195"/>
      <c r="J45" s="2852" t="s">
        <v>1827</v>
      </c>
      <c r="K45" s="2852"/>
      <c r="L45" s="2852"/>
      <c r="M45" s="2852"/>
      <c r="N45" s="2852"/>
      <c r="O45" s="2852"/>
      <c r="P45" s="1845"/>
    </row>
    <row r="46" spans="1:16" ht="14.25" customHeight="1">
      <c r="A46" s="2932" t="s">
        <v>1828</v>
      </c>
      <c r="B46" s="2933"/>
      <c r="C46" s="2933"/>
      <c r="D46" s="2933"/>
      <c r="E46" s="2933"/>
      <c r="F46" s="2933"/>
      <c r="G46" s="2934"/>
      <c r="H46" s="2257"/>
      <c r="I46" s="1144"/>
      <c r="J46" s="1883">
        <v>1</v>
      </c>
      <c r="K46" s="2852" t="s">
        <v>1829</v>
      </c>
      <c r="L46" s="2852"/>
      <c r="M46" s="2853" t="str">
        <f>项目基本情况!B1</f>
        <v>北京市预评估</v>
      </c>
      <c r="N46" s="2853"/>
      <c r="O46" s="2853"/>
      <c r="P46" s="1845"/>
    </row>
    <row r="47" spans="1:16" ht="12" customHeight="1">
      <c r="A47" s="85" t="s">
        <v>1830</v>
      </c>
      <c r="B47" s="86"/>
      <c r="C47" s="87"/>
      <c r="D47" s="88" t="s">
        <v>1831</v>
      </c>
      <c r="E47" s="14" t="s">
        <v>1832</v>
      </c>
      <c r="F47" s="89" t="s">
        <v>1833</v>
      </c>
      <c r="G47" s="90" t="s">
        <v>1834</v>
      </c>
      <c r="H47" s="2257"/>
      <c r="I47" s="1144"/>
      <c r="J47" s="1883">
        <v>2</v>
      </c>
      <c r="K47" s="2852" t="s">
        <v>1835</v>
      </c>
      <c r="L47" s="2852"/>
      <c r="M47" s="2854">
        <f>'数据-取费表'!B2</f>
        <v>43242</v>
      </c>
      <c r="N47" s="2854"/>
      <c r="O47" s="2854"/>
      <c r="P47" s="1845"/>
    </row>
    <row r="48" spans="1:16" ht="25.5">
      <c r="A48" s="2938" t="s">
        <v>1836</v>
      </c>
      <c r="B48" s="2939"/>
      <c r="C48" s="2939"/>
      <c r="D48" s="56">
        <f ca="1">IF(H48="情况1",0,IF(H48="情况2",D52,IF(H48="情况3",D53,IF(H48="情况4",D54))))</f>
        <v>80489</v>
      </c>
      <c r="E48" s="1893" t="str">
        <f>IF(H48="情况4","(销售额-原购置价)×税（费）率","销售额×税（费）率")</f>
        <v>销售额×税（费）率</v>
      </c>
      <c r="F48" s="91">
        <f>IF(H48="情况1","免征",'数据-取费表'!E29)</f>
        <v>5.5000000000000007E-2</v>
      </c>
      <c r="G48" s="2258" t="s">
        <v>1837</v>
      </c>
      <c r="H48" s="2259" t="s">
        <v>1838</v>
      </c>
      <c r="I48" s="2257"/>
      <c r="J48" s="1883">
        <v>3</v>
      </c>
      <c r="K48" s="2852" t="s">
        <v>1839</v>
      </c>
      <c r="L48" s="2852"/>
      <c r="M48" s="2853">
        <f ca="1">I102</f>
        <v>1536601</v>
      </c>
      <c r="N48" s="2853"/>
      <c r="O48" s="2853"/>
      <c r="P48" s="1845"/>
    </row>
    <row r="49" spans="1:16" ht="25.5" customHeight="1">
      <c r="A49" s="92" t="s">
        <v>1840</v>
      </c>
      <c r="B49" s="2919" t="s">
        <v>1841</v>
      </c>
      <c r="C49" s="2919"/>
      <c r="D49" s="93">
        <v>0</v>
      </c>
      <c r="E49" s="13" t="s">
        <v>1842</v>
      </c>
      <c r="F49" s="18" t="s">
        <v>48</v>
      </c>
      <c r="G49" s="2843"/>
      <c r="H49" s="2195"/>
      <c r="I49" s="2260"/>
      <c r="J49" s="1883">
        <v>4</v>
      </c>
      <c r="K49" s="2852" t="str">
        <f>IF(项目基本情况!F5="房地产抵押价值","房地产抵押价值","抵押担保权已注销时的房地产抵押价值")</f>
        <v>抵押担保权已注销时的房地产抵押价值</v>
      </c>
      <c r="L49" s="2852"/>
      <c r="M49" s="2853" t="str">
        <f>IF(项目基本情况!F5="房地产抵押价值",I110,I112)</f>
        <v>——</v>
      </c>
      <c r="N49" s="2853"/>
      <c r="O49" s="2853"/>
      <c r="P49" s="1845"/>
    </row>
    <row r="50" spans="1:16" ht="25.5" customHeight="1">
      <c r="A50" s="94"/>
      <c r="B50" s="2919" t="s">
        <v>1843</v>
      </c>
      <c r="C50" s="2919"/>
      <c r="D50" s="95"/>
      <c r="E50" s="21"/>
      <c r="F50" s="96"/>
      <c r="G50" s="2844"/>
      <c r="H50" s="2195"/>
      <c r="I50" s="2260"/>
      <c r="J50" s="2852" t="s">
        <v>1844</v>
      </c>
      <c r="K50" s="2852"/>
      <c r="L50" s="2852"/>
      <c r="M50" s="2852"/>
      <c r="N50" s="2852"/>
      <c r="O50" s="2852"/>
      <c r="P50" s="1845"/>
    </row>
    <row r="51" spans="1:16" ht="12" customHeight="1">
      <c r="A51" s="97"/>
      <c r="B51" s="2919" t="s">
        <v>1845</v>
      </c>
      <c r="C51" s="2919"/>
      <c r="D51" s="98"/>
      <c r="E51" s="20"/>
      <c r="F51" s="96"/>
      <c r="G51" s="2845"/>
      <c r="H51" s="2195"/>
      <c r="I51" s="2260"/>
      <c r="J51" s="2261" t="s">
        <v>1846</v>
      </c>
      <c r="K51" s="2852" t="s">
        <v>1847</v>
      </c>
      <c r="L51" s="2852"/>
      <c r="M51" s="2261" t="s">
        <v>1848</v>
      </c>
      <c r="N51" s="2261" t="s">
        <v>1849</v>
      </c>
      <c r="O51" s="2261" t="s">
        <v>1850</v>
      </c>
      <c r="P51" s="1845"/>
    </row>
    <row r="52" spans="1:16" ht="24" customHeight="1">
      <c r="A52" s="99" t="s">
        <v>1851</v>
      </c>
      <c r="B52" s="2919" t="s">
        <v>1852</v>
      </c>
      <c r="C52" s="2919"/>
      <c r="D52" s="98">
        <f ca="1">ROUND(D45*'数据-取费表'!E29/(1+'数据-取费表'!F30),0)</f>
        <v>80489</v>
      </c>
      <c r="E52" s="10" t="s">
        <v>1853</v>
      </c>
      <c r="F52" s="100">
        <f>'数据-取费表'!E29</f>
        <v>5.5000000000000007E-2</v>
      </c>
      <c r="G52" s="2262"/>
      <c r="H52" s="2195"/>
      <c r="I52" s="2260"/>
      <c r="J52" s="1883">
        <v>1</v>
      </c>
      <c r="K52" s="2842" t="s">
        <v>1854</v>
      </c>
      <c r="L52" s="2842"/>
      <c r="M52" s="778">
        <f ca="1">D48</f>
        <v>80489</v>
      </c>
      <c r="N52" s="1883" t="str">
        <f>E48</f>
        <v>销售额×税（费）率</v>
      </c>
      <c r="O52" s="779">
        <f>F48</f>
        <v>5.5000000000000007E-2</v>
      </c>
      <c r="P52" s="1845"/>
    </row>
    <row r="53" spans="1:16" ht="12" customHeight="1">
      <c r="A53" s="99" t="s">
        <v>1855</v>
      </c>
      <c r="B53" s="2918" t="s">
        <v>1856</v>
      </c>
      <c r="C53" s="2812"/>
      <c r="D53" s="98">
        <f ca="1">ROUND(D45*'数据-取费表'!E29/(1+'数据-取费表'!F30),0)</f>
        <v>80489</v>
      </c>
      <c r="E53" s="10" t="s">
        <v>1853</v>
      </c>
      <c r="F53" s="100">
        <f>'数据-取费表'!E29</f>
        <v>5.5000000000000007E-2</v>
      </c>
      <c r="G53" s="2262"/>
      <c r="H53" s="2195"/>
      <c r="I53" s="2260"/>
      <c r="J53" s="1883">
        <v>2</v>
      </c>
      <c r="K53" s="2842" t="s">
        <v>1857</v>
      </c>
      <c r="L53" s="2842"/>
      <c r="M53" s="778">
        <f t="shared" ref="M53:O54" ca="1" si="1">D55</f>
        <v>768</v>
      </c>
      <c r="N53" s="1883" t="str">
        <f t="shared" si="1"/>
        <v>销售额×税（费）率</v>
      </c>
      <c r="O53" s="779">
        <f t="shared" si="1"/>
        <v>5.0000000000000001E-4</v>
      </c>
      <c r="P53" s="1845"/>
    </row>
    <row r="54" spans="1:16" ht="12" customHeight="1">
      <c r="A54" s="99" t="s">
        <v>1858</v>
      </c>
      <c r="B54" s="2918" t="s">
        <v>1859</v>
      </c>
      <c r="C54" s="2812"/>
      <c r="D54" s="98">
        <f ca="1">C68</f>
        <v>80489</v>
      </c>
      <c r="E54" s="20" t="s">
        <v>1860</v>
      </c>
      <c r="F54" s="100">
        <f>'数据-取费表'!E29</f>
        <v>5.5000000000000007E-2</v>
      </c>
      <c r="G54" s="2262"/>
      <c r="H54" s="2263"/>
      <c r="I54" s="2260"/>
      <c r="J54" s="1883">
        <v>3</v>
      </c>
      <c r="K54" s="2842" t="s">
        <v>1861</v>
      </c>
      <c r="L54" s="2842"/>
      <c r="M54" s="778">
        <f t="shared" ca="1" si="1"/>
        <v>871107</v>
      </c>
      <c r="N54" s="1883" t="str">
        <f t="shared" si="1"/>
        <v>增值额×税（费）率</v>
      </c>
      <c r="O54" s="780" t="str">
        <f t="shared" si="1"/>
        <v>——</v>
      </c>
      <c r="P54" s="1845"/>
    </row>
    <row r="55" spans="1:16" ht="24" customHeight="1">
      <c r="A55" s="2804" t="s">
        <v>1862</v>
      </c>
      <c r="B55" s="2939"/>
      <c r="C55" s="2939"/>
      <c r="D55" s="101">
        <f ca="1">IF(H55="个人住宅",0,ROUND(D45*I55,0))</f>
        <v>768</v>
      </c>
      <c r="E55" s="10" t="s">
        <v>1863</v>
      </c>
      <c r="F55" s="100">
        <f>IF(H55="正常",I55,"免征")</f>
        <v>5.0000000000000001E-4</v>
      </c>
      <c r="G55" s="2262"/>
      <c r="H55" s="2259" t="s">
        <v>1864</v>
      </c>
      <c r="I55" s="102">
        <f>'数据-取费表'!E37</f>
        <v>5.0000000000000001E-4</v>
      </c>
      <c r="J55" s="1883">
        <f>IF(H59="非个人房产","",4)</f>
        <v>4</v>
      </c>
      <c r="K55" s="2842" t="str">
        <f>IF(H59="非个人房产","——","个人所得税")</f>
        <v>个人所得税</v>
      </c>
      <c r="L55" s="2842"/>
      <c r="M55" s="781">
        <f ca="1">D59</f>
        <v>15366</v>
      </c>
      <c r="N55" s="1886" t="str">
        <f>E59</f>
        <v>销售额×税（费）率</v>
      </c>
      <c r="O55" s="782">
        <f>F59</f>
        <v>0.01</v>
      </c>
      <c r="P55" s="1845"/>
    </row>
    <row r="56" spans="1:16" ht="24.75">
      <c r="A56" s="2804" t="s">
        <v>1865</v>
      </c>
      <c r="B56" s="2939"/>
      <c r="C56" s="2939"/>
      <c r="D56" s="101">
        <f ca="1">IF(H56="个人住宅",D57,D58)</f>
        <v>871107</v>
      </c>
      <c r="E56" s="10" t="s">
        <v>1866</v>
      </c>
      <c r="F56" s="100" t="str">
        <f>IF(H56="正常",F58,"免征")</f>
        <v>——</v>
      </c>
      <c r="G56" s="2264" t="s">
        <v>1867</v>
      </c>
      <c r="H56" s="2265" t="s">
        <v>1864</v>
      </c>
      <c r="I56" s="1022"/>
      <c r="J56" s="1883" t="str">
        <f>IF(项目基本情况!I6="上海银行",IF(J55="",4,J55+1),"")</f>
        <v/>
      </c>
      <c r="K56" s="2859" t="str">
        <f>IF(项目基本情况!I6="上海银行","其他处置费用","")</f>
        <v/>
      </c>
      <c r="L56" s="2860"/>
      <c r="M56" s="778" t="str">
        <f>IF(项目基本情况!I6="上海银行",M69,"")</f>
        <v/>
      </c>
      <c r="N56" s="2840" t="str">
        <f>IF(项目基本情况!I6="上海银行","包含处置中涉及的律师、诉讼、拍卖、评估等费用","")</f>
        <v/>
      </c>
      <c r="O56" s="2841"/>
      <c r="P56" s="1845"/>
    </row>
    <row r="57" spans="1:16" ht="12.75">
      <c r="A57" s="99" t="s">
        <v>1840</v>
      </c>
      <c r="B57" s="2927" t="s">
        <v>1868</v>
      </c>
      <c r="C57" s="2929"/>
      <c r="D57" s="103">
        <v>0</v>
      </c>
      <c r="E57" s="13" t="s">
        <v>1842</v>
      </c>
      <c r="F57" s="70"/>
      <c r="G57" s="2262"/>
      <c r="H57" s="1022"/>
      <c r="I57" s="1022"/>
      <c r="J57" s="2842">
        <f>IF(AND(J55="",J56=""),4,IF(项目基本情况!I6="上海银行",J56+1,J55+1))</f>
        <v>5</v>
      </c>
      <c r="K57" s="2842" t="s">
        <v>1869</v>
      </c>
      <c r="L57" s="2266" t="s">
        <v>1870</v>
      </c>
      <c r="M57" s="783"/>
      <c r="N57" s="784">
        <f ca="1">SUMIF(M52:M56,"&lt;9e307")</f>
        <v>967730</v>
      </c>
      <c r="O57" s="2267"/>
      <c r="P57" s="1841" t="e">
        <f ca="1">N57/M49</f>
        <v>#VALUE!</v>
      </c>
    </row>
    <row r="58" spans="1:16" ht="24.75">
      <c r="A58" s="99" t="s">
        <v>1851</v>
      </c>
      <c r="B58" s="2927" t="s">
        <v>1871</v>
      </c>
      <c r="C58" s="2928"/>
      <c r="D58" s="101">
        <f ca="1">IF(H58="转让取得",C81,C97)</f>
        <v>871107</v>
      </c>
      <c r="E58" s="10" t="s">
        <v>1866</v>
      </c>
      <c r="F58" s="14" t="s">
        <v>48</v>
      </c>
      <c r="G58" s="2262"/>
      <c r="H58" s="2265" t="s">
        <v>1872</v>
      </c>
      <c r="I58" s="1022"/>
      <c r="J58" s="2842"/>
      <c r="K58" s="2842"/>
      <c r="L58" s="2266" t="s">
        <v>1873</v>
      </c>
      <c r="M58" s="785"/>
      <c r="N58" s="2268" t="str">
        <f ca="1">IF(H19="元",NUMBERSTRING(INT(N57),2)&amp;"元整",NUMBERSTRING(INT(N57*10000),2)&amp;"元整")</f>
        <v>玖拾陆万柒仟柒佰叁拾元整</v>
      </c>
      <c r="O58" s="2269"/>
      <c r="P58" s="1845"/>
    </row>
    <row r="59" spans="1:16" ht="26.25" thickBot="1">
      <c r="A59" s="2805" t="s">
        <v>1874</v>
      </c>
      <c r="B59" s="2808"/>
      <c r="C59" s="2808"/>
      <c r="D59" s="104">
        <f ca="1">IF(H59="非个人房产","——",IF(H59="个人住宅",0,ROUND(D45*I59,0)))</f>
        <v>15366</v>
      </c>
      <c r="E59" s="105" t="str">
        <f>IF(H59="非个人房产","——","销售额×税（费）率")</f>
        <v>销售额×税（费）率</v>
      </c>
      <c r="F59" s="106">
        <f>IF(H59="非个人房产","——",IF(H59="个人住宅","免征",I59))</f>
        <v>0.01</v>
      </c>
      <c r="G59" s="2270" t="s">
        <v>1867</v>
      </c>
      <c r="H59" s="2265" t="s">
        <v>1875</v>
      </c>
      <c r="I59" s="107">
        <v>0.01</v>
      </c>
      <c r="J59" s="2896">
        <f>J57+1</f>
        <v>6</v>
      </c>
      <c r="K59" s="2842" t="s">
        <v>1876</v>
      </c>
      <c r="L59" s="1883" t="s">
        <v>1870</v>
      </c>
      <c r="M59" s="786"/>
      <c r="N59" s="787" t="e">
        <f ca="1">M49-N57</f>
        <v>#VALUE!</v>
      </c>
      <c r="O59" s="2271"/>
      <c r="P59" s="1845"/>
    </row>
    <row r="60" spans="1:16" ht="12" customHeight="1">
      <c r="A60" s="2068"/>
      <c r="B60" s="2195"/>
      <c r="C60" s="2195"/>
      <c r="D60" s="2195"/>
      <c r="E60" s="1022"/>
      <c r="F60" s="1022"/>
      <c r="G60" s="1022"/>
      <c r="H60" s="2248"/>
      <c r="I60" s="2195"/>
      <c r="J60" s="2897"/>
      <c r="K60" s="2842"/>
      <c r="L60" s="2266" t="s">
        <v>1873</v>
      </c>
      <c r="M60" s="785"/>
      <c r="N60" s="2268" t="e">
        <f ca="1">IF(H19="元",NUMBERSTRING(INT(N59),2)&amp;"元整",NUMBERSTRING(INT(N59*10000),2)&amp;"元整")</f>
        <v>#VALUE!</v>
      </c>
      <c r="O60" s="2269"/>
      <c r="P60" s="1845"/>
    </row>
    <row r="61" spans="1:16" ht="13.5" thickBot="1">
      <c r="A61" s="2943" t="s">
        <v>1877</v>
      </c>
      <c r="B61" s="2943"/>
      <c r="C61" s="2943"/>
      <c r="D61" s="2943"/>
      <c r="E61" s="2943"/>
      <c r="F61" s="1022"/>
      <c r="G61" s="1022"/>
      <c r="H61" s="2248"/>
      <c r="I61" s="2195"/>
      <c r="J61" s="1883">
        <f>J59+1</f>
        <v>7</v>
      </c>
      <c r="K61" s="2842" t="s">
        <v>1878</v>
      </c>
      <c r="L61" s="2842"/>
      <c r="M61" s="788"/>
      <c r="N61" s="789" t="e">
        <f ca="1">IF(H19="元",ROUND(N59/项目基本情况!C12,0),ROUND(N59*10000/项目基本情况!C12,0))</f>
        <v>#VALUE!</v>
      </c>
      <c r="O61" s="2272"/>
      <c r="P61" s="1845"/>
    </row>
    <row r="62" spans="1:16" ht="12.75">
      <c r="A62" s="2880" t="s">
        <v>1879</v>
      </c>
      <c r="B62" s="2881"/>
      <c r="C62" s="1885"/>
      <c r="D62" s="1885" t="s">
        <v>1880</v>
      </c>
      <c r="E62" s="108" t="s">
        <v>1881</v>
      </c>
      <c r="F62" s="1022"/>
      <c r="G62" s="1022"/>
      <c r="H62" s="2248"/>
      <c r="I62" s="2195"/>
      <c r="J62" s="1845"/>
      <c r="K62" s="1845"/>
      <c r="L62" s="1845"/>
      <c r="M62" s="1845"/>
      <c r="N62" s="1845"/>
      <c r="O62" s="1845"/>
      <c r="P62" s="1845"/>
    </row>
    <row r="63" spans="1:16" ht="12.75">
      <c r="A63" s="109">
        <v>1</v>
      </c>
      <c r="B63" s="110" t="s">
        <v>1882</v>
      </c>
      <c r="C63" s="111">
        <f ca="1">ROUND((C64+C65)/(1+'数据-取费表'!F30),0)</f>
        <v>1463430</v>
      </c>
      <c r="D63" s="112"/>
      <c r="E63" s="113"/>
      <c r="F63" s="1022"/>
      <c r="G63" s="1022"/>
      <c r="H63" s="2248"/>
      <c r="I63" s="2195"/>
      <c r="J63" s="2861"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1536601</v>
      </c>
      <c r="D64" s="117" t="s">
        <v>41</v>
      </c>
      <c r="E64" s="118"/>
      <c r="F64" s="1022"/>
      <c r="G64" s="1022"/>
      <c r="H64" s="2248"/>
      <c r="I64" s="2195"/>
      <c r="J64" s="2861"/>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8"/>
      <c r="I65" s="2195"/>
      <c r="J65" s="2861"/>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8"/>
      <c r="I66" s="2195"/>
      <c r="J66" s="2861"/>
      <c r="K66" s="2273" t="s">
        <v>1892</v>
      </c>
      <c r="L66" s="1844" t="e">
        <f>M49*0.5%</f>
        <v>#VALUE!</v>
      </c>
      <c r="M66" s="14" t="e">
        <f>IF(L66&gt;0.5,0.5,ROUND(L66,0))</f>
        <v>#VALUE!</v>
      </c>
      <c r="N66" s="1845" t="s">
        <v>1893</v>
      </c>
      <c r="O66" s="1845"/>
      <c r="P66" s="1845"/>
    </row>
    <row r="67" spans="1:35" ht="12.75">
      <c r="A67" s="120" t="s">
        <v>42</v>
      </c>
      <c r="B67" s="121" t="s">
        <v>1894</v>
      </c>
      <c r="C67" s="124">
        <f ca="1">C63-C66</f>
        <v>1463430</v>
      </c>
      <c r="D67" s="117" t="s">
        <v>41</v>
      </c>
      <c r="E67" s="118"/>
      <c r="F67" s="1022"/>
      <c r="G67" s="1022"/>
      <c r="H67" s="2248"/>
      <c r="I67" s="2195"/>
      <c r="J67" s="2861"/>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80489</v>
      </c>
      <c r="D68" s="128">
        <f>'数据-取费表'!E29</f>
        <v>5.5000000000000007E-2</v>
      </c>
      <c r="E68" s="129"/>
      <c r="F68" s="1022"/>
      <c r="G68" s="1022"/>
      <c r="H68" s="2248"/>
      <c r="I68" s="2195"/>
      <c r="J68" s="2861"/>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861"/>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882" t="s">
        <v>1899</v>
      </c>
      <c r="B70" s="2883"/>
      <c r="C70" s="2883"/>
      <c r="D70" s="2883"/>
      <c r="E70" s="2883"/>
      <c r="F70" s="2883"/>
      <c r="G70" s="2883"/>
      <c r="H70" s="2883"/>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880" t="s">
        <v>1879</v>
      </c>
      <c r="B71" s="2881"/>
      <c r="C71" s="1885"/>
      <c r="D71" s="1885"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f ca="1">ROUND(D45/(1+'数据-取费表'!F30),0)</f>
        <v>1463430</v>
      </c>
      <c r="D72" s="117" t="s">
        <v>41</v>
      </c>
      <c r="E72" s="12" t="s">
        <v>1901</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f ca="1">C74+C78</f>
        <v>7317</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918" t="s">
        <v>1909</v>
      </c>
      <c r="F76" s="2919"/>
      <c r="G76" s="2919"/>
      <c r="H76" s="2920"/>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5" t="s">
        <v>1912</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7317</v>
      </c>
      <c r="D78" s="145">
        <f>'数据-取费表'!E31</f>
        <v>5.000000000000001E-3</v>
      </c>
      <c r="E78" s="2849" t="s">
        <v>1914</v>
      </c>
      <c r="F78" s="2850"/>
      <c r="G78" s="2850"/>
      <c r="H78" s="2870"/>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f ca="1">C72-C73</f>
        <v>1456113</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f ca="1">IF(C79&lt;=0,0,C79/C73)</f>
        <v>199.00410004100041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871107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882" t="s">
        <v>1918</v>
      </c>
      <c r="B83" s="2883"/>
      <c r="C83" s="2883"/>
      <c r="D83" s="2883"/>
      <c r="E83" s="2883"/>
      <c r="F83" s="2883"/>
      <c r="G83" s="2883"/>
      <c r="H83" s="2883"/>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880" t="s">
        <v>1879</v>
      </c>
      <c r="B84" s="2881"/>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f ca="1">ROUND(D45/(1+'数据-取费表'!F30),0)</f>
        <v>1463430</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7317</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849" t="s">
        <v>1926</v>
      </c>
      <c r="F91" s="2850"/>
      <c r="G91" s="2850"/>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849" t="s">
        <v>1929</v>
      </c>
      <c r="F92" s="2850"/>
      <c r="G92" s="2850"/>
      <c r="H92" s="2870"/>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7317</v>
      </c>
      <c r="D93" s="145">
        <f>'数据-取费表'!E31</f>
        <v>5.000000000000001E-3</v>
      </c>
      <c r="E93" s="2849" t="s">
        <v>1914</v>
      </c>
      <c r="F93" s="2850"/>
      <c r="G93" s="2850"/>
      <c r="H93" s="2870"/>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849" t="s">
        <v>1931</v>
      </c>
      <c r="F94" s="2850"/>
      <c r="G94" s="2850"/>
      <c r="H94" s="2870"/>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f ca="1">ROUND(C85-C86,0)</f>
        <v>1456113</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f ca="1">IF(C95&lt;=0,0,C95/C86)</f>
        <v>199.00410004100041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871107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867" t="s">
        <v>1933</v>
      </c>
      <c r="B99" s="2868"/>
      <c r="C99" s="2868"/>
      <c r="D99" s="2869"/>
      <c r="E99" s="2195"/>
      <c r="F99" s="2877" t="s">
        <v>1934</v>
      </c>
      <c r="G99" s="2878"/>
      <c r="H99" s="2878"/>
      <c r="I99" s="2879"/>
    </row>
    <row r="100" spans="1:35" ht="15.75">
      <c r="A100" s="2884" t="s">
        <v>1935</v>
      </c>
      <c r="B100" s="2885"/>
      <c r="C100" s="720" t="str">
        <f>C4</f>
        <v>比较法-住宅</v>
      </c>
      <c r="D100" s="721" t="str">
        <f>D4</f>
        <v>收益法</v>
      </c>
      <c r="E100" s="2195"/>
      <c r="F100" s="2886" t="s">
        <v>1936</v>
      </c>
      <c r="G100" s="2888"/>
      <c r="H100" s="2886" t="s">
        <v>1937</v>
      </c>
      <c r="I100" s="2887"/>
    </row>
    <row r="101" spans="1:35" ht="15.75">
      <c r="A101" s="2906" t="s">
        <v>1938</v>
      </c>
      <c r="B101" s="2290" t="str">
        <f>IF(H19="元","总价（元）","总价（万元）")</f>
        <v>总价（元）</v>
      </c>
      <c r="C101" s="720">
        <f ca="1">C19</f>
        <v>1776159</v>
      </c>
      <c r="D101" s="721">
        <f ca="1">D19</f>
        <v>578227</v>
      </c>
      <c r="E101" s="2195"/>
      <c r="F101" s="2886" t="str">
        <f>项目基本情况!I1</f>
        <v>北京市房地产</v>
      </c>
      <c r="G101" s="2888"/>
      <c r="H101" s="2947">
        <f>项目基本情况!C12</f>
        <v>60.74</v>
      </c>
      <c r="I101" s="2887"/>
    </row>
    <row r="102" spans="1:35" ht="15.75">
      <c r="A102" s="2906"/>
      <c r="B102" s="2290" t="s">
        <v>1939</v>
      </c>
      <c r="C102" s="722">
        <f ca="1">C20</f>
        <v>29242</v>
      </c>
      <c r="D102" s="723">
        <f ca="1">D20</f>
        <v>9520</v>
      </c>
      <c r="E102" s="2195"/>
      <c r="F102" s="2961" t="s">
        <v>1940</v>
      </c>
      <c r="G102" s="2962"/>
      <c r="H102" s="2291" t="str">
        <f>C106</f>
        <v>总价（元）</v>
      </c>
      <c r="I102" s="1862">
        <f ca="1">H121</f>
        <v>1536601</v>
      </c>
    </row>
    <row r="103" spans="1:35" ht="15">
      <c r="A103" s="2906" t="s">
        <v>1941</v>
      </c>
      <c r="B103" s="2292" t="str">
        <f>B101</f>
        <v>总价（元）</v>
      </c>
      <c r="C103" s="724">
        <f ca="1">H121</f>
        <v>1536601</v>
      </c>
      <c r="D103" s="725"/>
      <c r="E103" s="2195"/>
      <c r="F103" s="2961"/>
      <c r="G103" s="2962"/>
      <c r="H103" s="2291" t="s">
        <v>1939</v>
      </c>
      <c r="I103" s="1050">
        <f ca="1">I121</f>
        <v>25298</v>
      </c>
    </row>
    <row r="104" spans="1:35" ht="16.5" thickBot="1">
      <c r="A104" s="2907"/>
      <c r="B104" s="2293" t="s">
        <v>1939</v>
      </c>
      <c r="C104" s="726">
        <f ca="1">I121</f>
        <v>25298</v>
      </c>
      <c r="D104" s="727"/>
      <c r="E104" s="2195"/>
      <c r="F104" s="2873"/>
      <c r="G104" s="2874"/>
      <c r="H104" s="2908"/>
      <c r="I104" s="2909"/>
    </row>
    <row r="105" spans="1:35" ht="15.75">
      <c r="A105" s="2867" t="s">
        <v>1942</v>
      </c>
      <c r="B105" s="2868"/>
      <c r="C105" s="2868"/>
      <c r="D105" s="2869"/>
      <c r="E105" s="2195"/>
      <c r="F105" s="2912" t="s">
        <v>1943</v>
      </c>
      <c r="G105" s="2913"/>
      <c r="H105" s="2294" t="str">
        <f>C108</f>
        <v>总额（元）</v>
      </c>
      <c r="I105" s="1862">
        <f>SUMIF(I106:I108,"&lt;9E307")</f>
        <v>0</v>
      </c>
    </row>
    <row r="106" spans="1:35" ht="15">
      <c r="A106" s="2914" t="s">
        <v>1944</v>
      </c>
      <c r="B106" s="2915"/>
      <c r="C106" s="2291" t="str">
        <f>B101</f>
        <v>总价（元）</v>
      </c>
      <c r="D106" s="1051">
        <f ca="1">H121</f>
        <v>1536601</v>
      </c>
      <c r="E106" s="2195"/>
      <c r="F106" s="2875" t="s">
        <v>1945</v>
      </c>
      <c r="G106" s="2876"/>
      <c r="H106" s="2294" t="str">
        <f>C109</f>
        <v>总额（元）</v>
      </c>
      <c r="I106" s="1050">
        <f>IF(D36="同一抵押权人同一抵押物续贷",C36&amp;"（未扣减，详见特别提示）",C36)</f>
        <v>0</v>
      </c>
      <c r="K106" s="2205" t="str">
        <f>IF(D123=0,"本次评估不存在"&amp;A123&amp;"。","本次评估"&amp;A123&amp;"为"&amp;D123&amp;"元人民币。")</f>
        <v>本次评估不存在估价师所知悉的法定优先受偿款。</v>
      </c>
    </row>
    <row r="107" spans="1:35" ht="15">
      <c r="A107" s="2914"/>
      <c r="B107" s="2915"/>
      <c r="C107" s="2291" t="s">
        <v>1939</v>
      </c>
      <c r="D107" s="1052">
        <f ca="1">I121</f>
        <v>25298</v>
      </c>
      <c r="E107" s="2195"/>
      <c r="F107" s="2875" t="s">
        <v>1946</v>
      </c>
      <c r="G107" s="2876"/>
      <c r="H107" s="2294" t="str">
        <f>C110</f>
        <v>总额（元）</v>
      </c>
      <c r="I107" s="1050">
        <f>C37</f>
        <v>0</v>
      </c>
      <c r="K107" s="2295"/>
    </row>
    <row r="108" spans="1:35" ht="15">
      <c r="A108" s="2957" t="s">
        <v>1947</v>
      </c>
      <c r="B108" s="2958"/>
      <c r="C108" s="2294" t="str">
        <f>IF(H19="元","总额（元）","总额（万元）")</f>
        <v>总额（元）</v>
      </c>
      <c r="D108" s="1051">
        <f>IF(D36="正常操作",I106+I107+I108,I107+I108)</f>
        <v>0</v>
      </c>
      <c r="E108" s="2195"/>
      <c r="F108" s="2875" t="s">
        <v>1948</v>
      </c>
      <c r="G108" s="2876"/>
      <c r="H108" s="2294" t="str">
        <f>C111</f>
        <v>总额（元）</v>
      </c>
      <c r="I108" s="1050">
        <f>C38</f>
        <v>0</v>
      </c>
    </row>
    <row r="109" spans="1:35" ht="15.75">
      <c r="A109" s="2875" t="s">
        <v>1945</v>
      </c>
      <c r="B109" s="2876"/>
      <c r="C109" s="2294" t="str">
        <f>C108</f>
        <v>总额（元）</v>
      </c>
      <c r="D109" s="637">
        <f>IF(D36="同一抵押权人同一抵押物续贷",C36&amp;"（未扣减，详见特别提示）",C36)</f>
        <v>0</v>
      </c>
      <c r="E109" s="2195"/>
      <c r="F109" s="2873"/>
      <c r="G109" s="2874"/>
      <c r="H109" s="2910"/>
      <c r="I109" s="2911"/>
    </row>
    <row r="110" spans="1:35" ht="28.5" customHeight="1">
      <c r="A110" s="2875" t="s">
        <v>1946</v>
      </c>
      <c r="B110" s="2876"/>
      <c r="C110" s="2294" t="str">
        <f>C108</f>
        <v>总额（元）</v>
      </c>
      <c r="D110" s="637">
        <f>C37</f>
        <v>0</v>
      </c>
      <c r="E110" s="2195"/>
      <c r="F110" s="2855" t="str">
        <f>IF(项目基本情况!F5="已注销","——","3.房地产抵押价值")</f>
        <v>3.房地产抵押价值</v>
      </c>
      <c r="G110" s="2856"/>
      <c r="H110" s="2296" t="str">
        <f>C112</f>
        <v>总价（元）</v>
      </c>
      <c r="I110" s="1863">
        <f ca="1">IF(F110="——","——",I102-I105)</f>
        <v>1536601</v>
      </c>
    </row>
    <row r="111" spans="1:35" ht="15">
      <c r="A111" s="2875" t="s">
        <v>1948</v>
      </c>
      <c r="B111" s="2876"/>
      <c r="C111" s="2294" t="str">
        <f>C108</f>
        <v>总额（元）</v>
      </c>
      <c r="D111" s="637">
        <f>C38</f>
        <v>0</v>
      </c>
      <c r="E111" s="2195"/>
      <c r="F111" s="2857"/>
      <c r="G111" s="2858"/>
      <c r="H111" s="2291" t="s">
        <v>1939</v>
      </c>
      <c r="I111" s="2297">
        <f ca="1">D113</f>
        <v>25298</v>
      </c>
    </row>
    <row r="112" spans="1:35" ht="26.25" customHeight="1">
      <c r="A112" s="2914" t="str">
        <f>IF(项目基本情况!F5="已注销","——","3.房地产抵押价值")</f>
        <v>3.房地产抵押价值</v>
      </c>
      <c r="B112" s="2915"/>
      <c r="C112" s="2291" t="str">
        <f>B101</f>
        <v>总价（元）</v>
      </c>
      <c r="D112" s="1051">
        <f ca="1">IF(A112="——","——",D106-D108)</f>
        <v>1536601</v>
      </c>
      <c r="E112" s="2195"/>
      <c r="F112" s="2855" t="str">
        <f>IF(项目基本情况!F5="已注销及未注销","4.抵押担保权已注销时的房地产抵押价值",IF(项目基本情况!F5="已注销","3.抵押担保权已注销时的房地产抵押价值","——"))</f>
        <v>——</v>
      </c>
      <c r="G112" s="2856"/>
      <c r="H112" s="2296" t="str">
        <f>C114</f>
        <v>总价（元）</v>
      </c>
      <c r="I112" s="1863" t="str">
        <f>IF(F112="——","——",I102-I107-I108)</f>
        <v>——</v>
      </c>
    </row>
    <row r="113" spans="1:15" ht="15">
      <c r="A113" s="2914"/>
      <c r="B113" s="2915"/>
      <c r="C113" s="2291" t="s">
        <v>1939</v>
      </c>
      <c r="D113" s="1052">
        <f ca="1">ROUND(IF(D112=D106,D107,IF(H19="元",D112/项目基本情况!C12,D112*10000/项目基本情况!C12)),0)</f>
        <v>25298</v>
      </c>
      <c r="E113" s="2195"/>
      <c r="F113" s="2857"/>
      <c r="G113" s="2858"/>
      <c r="H113" s="2291" t="s">
        <v>1939</v>
      </c>
      <c r="I113" s="2298" t="str">
        <f>D115</f>
        <v>——</v>
      </c>
    </row>
    <row r="114" spans="1:15" ht="15.75">
      <c r="A114" s="2914" t="str">
        <f>IF(项目基本情况!F5="已注销及未注销","4.抵押担保权已注销时的房地产抵押价值",IF(项目基本情况!F5="已注销","3.抵押担保权已注销时的房地产抵押价值","——"))</f>
        <v>——</v>
      </c>
      <c r="B114" s="2915"/>
      <c r="C114" s="2291" t="str">
        <f>B101</f>
        <v>总价（元）</v>
      </c>
      <c r="D114" s="1051" t="str">
        <f>IF(A114="——","——",D106-D110-D111)</f>
        <v>——</v>
      </c>
      <c r="E114" s="2195"/>
      <c r="F114" s="2855" t="str">
        <f>IF(项目基本情况!G5="抵押净值",IF(OR(项目基本情况!F5="已注销",项目基本情况!F5="房地产抵押价值"),"4.抵押净值","5.抵押净值"),"——")</f>
        <v>——</v>
      </c>
      <c r="G114" s="2856"/>
      <c r="H114" s="2291" t="str">
        <f>C116</f>
        <v>总价（元）</v>
      </c>
      <c r="I114" s="1862" t="str">
        <f>IF(F114="——","——",N59)</f>
        <v>——</v>
      </c>
    </row>
    <row r="115" spans="1:15" ht="15.75" thickBot="1">
      <c r="A115" s="2914"/>
      <c r="B115" s="2915"/>
      <c r="C115" s="2291" t="s">
        <v>1939</v>
      </c>
      <c r="D115" s="1052" t="str">
        <f>IF(A114="——","——",ROUND(IF(D114=D106,D107,IF(H19="元",D114/项目基本情况!C12,D114*10000/项目基本情况!C12)),0))</f>
        <v>——</v>
      </c>
      <c r="E115" s="2195"/>
      <c r="F115" s="2948"/>
      <c r="G115" s="2949"/>
      <c r="H115" s="2299" t="s">
        <v>1939</v>
      </c>
      <c r="I115" s="1864" t="str">
        <f ca="1">D117</f>
        <v>——</v>
      </c>
    </row>
    <row r="116" spans="1:15" ht="15.75">
      <c r="A116" s="2914" t="str">
        <f>IF(项目基本情况!G5="抵押净值",IF(OR(项目基本情况!F5="已注销",项目基本情况!F5="房地产抵押价值"),"4.抵押净值","5.抵押净值"),"——")</f>
        <v>——</v>
      </c>
      <c r="B116" s="2915"/>
      <c r="C116" s="2291" t="str">
        <f>B101</f>
        <v>总价（元）</v>
      </c>
      <c r="D116" s="1051" t="str">
        <f>IF(A116="——","——",N59)</f>
        <v>——</v>
      </c>
      <c r="E116" s="2195"/>
      <c r="F116" s="2851"/>
      <c r="G116" s="2851"/>
      <c r="H116" s="2893"/>
      <c r="I116" s="2893"/>
      <c r="N116" s="55"/>
      <c r="O116" s="55"/>
    </row>
    <row r="117" spans="1:15" ht="15.75" thickBot="1">
      <c r="A117" s="2955"/>
      <c r="B117" s="2956"/>
      <c r="C117" s="2299" t="s">
        <v>1939</v>
      </c>
      <c r="D117" s="1053" t="str">
        <f ca="1">IF(D116=D112,D113,IF(A116="——","——",N61))</f>
        <v>——</v>
      </c>
      <c r="E117" s="2195"/>
      <c r="F117" s="2945" t="str">
        <f>IF(B32="总价","（以上估价结果中单价为总价除以建筑面积得出）","（以上估价结果中总价为楼面单价乘以建筑面积得出）")</f>
        <v>（以上估价结果中总价为楼面单价乘以建筑面积得出）</v>
      </c>
      <c r="G117" s="2945"/>
      <c r="H117" s="2945"/>
      <c r="I117" s="2945"/>
      <c r="N117" s="55"/>
      <c r="O117" s="55"/>
    </row>
    <row r="118" spans="1:15" ht="15">
      <c r="A118" s="2894" t="s">
        <v>1949</v>
      </c>
      <c r="B118" s="2895"/>
      <c r="C118" s="2895"/>
      <c r="D118" s="2895"/>
      <c r="E118" s="2895"/>
      <c r="F118" s="2895"/>
      <c r="G118" s="2895"/>
      <c r="H118" s="2895"/>
      <c r="I118" s="2895"/>
    </row>
    <row r="119" spans="1:15" ht="14.25">
      <c r="A119" s="2866" t="s">
        <v>1950</v>
      </c>
      <c r="B119" s="2864" t="s">
        <v>1951</v>
      </c>
      <c r="C119" s="2864" t="s">
        <v>1952</v>
      </c>
      <c r="D119" s="2871" t="s">
        <v>1953</v>
      </c>
      <c r="E119" s="2872"/>
      <c r="F119" s="2862" t="s">
        <v>1811</v>
      </c>
      <c r="G119" s="2862"/>
      <c r="H119" s="2862" t="s">
        <v>1954</v>
      </c>
      <c r="I119" s="2863"/>
    </row>
    <row r="120" spans="1:15" ht="14.25">
      <c r="A120" s="2866"/>
      <c r="B120" s="2865"/>
      <c r="C120" s="2865"/>
      <c r="D120" s="1887" t="s">
        <v>1955</v>
      </c>
      <c r="E120" s="1887" t="s">
        <v>1956</v>
      </c>
      <c r="F120" s="1887" t="s">
        <v>1955</v>
      </c>
      <c r="G120" s="1887" t="s">
        <v>1957</v>
      </c>
      <c r="H120" s="1887" t="s">
        <v>1955</v>
      </c>
      <c r="I120" s="637" t="s">
        <v>1957</v>
      </c>
    </row>
    <row r="121" spans="1:15" ht="14.25">
      <c r="A121" s="2181" t="str">
        <f>项目基本情况!I1</f>
        <v>北京市房地产</v>
      </c>
      <c r="B121" s="1887">
        <f>项目基本情况!C12</f>
        <v>60.74</v>
      </c>
      <c r="C121" s="1887">
        <f>项目基本情况!C13</f>
        <v>0</v>
      </c>
      <c r="D121" s="1887">
        <f ca="1">ROUND(IF(B32="总价",C34,IF('数据-取费表'!B3="万元",E121*B121/10000,E121*B121)),0)</f>
        <v>1241586</v>
      </c>
      <c r="E121" s="1887">
        <f ca="1">ROUND(IF(B32="楼面单价",C34,IF(H19="元",D121/B121,D121*10000/B121)),0)</f>
        <v>20441</v>
      </c>
      <c r="F121" s="1887">
        <f ca="1">ROUND(IF(B32="总价",C35,IF('数据-取费表'!B3="万元",G121*B121/10000,G121*B121)),0)</f>
        <v>295014</v>
      </c>
      <c r="G121" s="1887">
        <f ca="1">ROUND(IF(B32="楼面单价",C35,IF(H19="元",F121/B121,F121*10000/B121)),0)</f>
        <v>4857</v>
      </c>
      <c r="H121" s="1887">
        <f ca="1">ROUND(IF(B32="总价",C32,IF('数据-取费表'!B3="万元",I121*B121/10000,I121*B121)),0)</f>
        <v>1536601</v>
      </c>
      <c r="I121" s="637">
        <f ca="1">ROUND(IF(B32="楼面单价",C32,IF(H19="元",H121/B121,H121*10000/B121)),0)</f>
        <v>25298</v>
      </c>
    </row>
    <row r="122" spans="1:15" ht="14.25">
      <c r="A122" s="2866" t="s">
        <v>1958</v>
      </c>
      <c r="B122" s="2862"/>
      <c r="C122" s="2862"/>
      <c r="D122" s="2898" t="str">
        <f ca="1">IF(H19="元",NUMBERSTRING(INT(D121),2)&amp;"元整",NUMBERSTRING(INT(D121*10000),2)&amp;"元整")</f>
        <v>壹佰贰拾肆万壹仟伍佰捌拾陆元整</v>
      </c>
      <c r="E122" s="2899"/>
      <c r="F122" s="2898" t="str">
        <f ca="1">IF(H19="元",NUMBERSTRING(INT(F121),2)&amp;"元整",NUMBERSTRING(INT(F121*10000),2)&amp;"元整")</f>
        <v>贰拾玖万伍仟零壹拾肆元整</v>
      </c>
      <c r="G122" s="2899"/>
      <c r="H122" s="2898" t="str">
        <f ca="1">IF(H19="元",NUMBERSTRING(INT(H121),2)&amp;"元整",NUMBERSTRING(INT(H121*10000),2)&amp;"元整")</f>
        <v>壹佰伍拾叁万陆仟陆佰零壹元整</v>
      </c>
      <c r="I122" s="2963"/>
    </row>
    <row r="123" spans="1:15" ht="15">
      <c r="A123" s="2900" t="str">
        <f>IF(项目基本情况!D5="房地产市场价值","——",MID(A108,3,LEN(A108)-2))</f>
        <v>估价师所知悉的法定优先受偿款</v>
      </c>
      <c r="B123" s="2901"/>
      <c r="C123" s="2902"/>
      <c r="D123" s="2891">
        <f>I105</f>
        <v>0</v>
      </c>
      <c r="E123" s="2901"/>
      <c r="F123" s="2901"/>
      <c r="G123" s="2901"/>
      <c r="H123" s="2901"/>
      <c r="I123" s="2950"/>
    </row>
    <row r="124" spans="1:15" ht="14.25">
      <c r="A124" s="2903" t="s">
        <v>1958</v>
      </c>
      <c r="B124" s="2904"/>
      <c r="C124" s="2905"/>
      <c r="D124" s="2951">
        <f>H109</f>
        <v>0</v>
      </c>
      <c r="E124" s="2952"/>
      <c r="F124" s="2952"/>
      <c r="G124" s="2952"/>
      <c r="H124" s="2952"/>
      <c r="I124" s="2953"/>
    </row>
    <row r="125" spans="1:15" ht="15">
      <c r="A125" s="2889" t="str">
        <f>IF(项目基本情况!D5="房地产市场价值","——",MID(A112,3,LEN(A112)-2))</f>
        <v>房地产抵押价值</v>
      </c>
      <c r="B125" s="2890"/>
      <c r="C125" s="2890"/>
      <c r="D125" s="2891">
        <f ca="1">I110</f>
        <v>1536601</v>
      </c>
      <c r="E125" s="2901"/>
      <c r="F125" s="2901"/>
      <c r="G125" s="2901"/>
      <c r="H125" s="2901"/>
      <c r="I125" s="2950"/>
    </row>
    <row r="126" spans="1:15" ht="14.25">
      <c r="A126" s="2866" t="s">
        <v>1958</v>
      </c>
      <c r="B126" s="2862"/>
      <c r="C126" s="2862"/>
      <c r="D126" s="2951">
        <f ca="1">I111</f>
        <v>25298</v>
      </c>
      <c r="E126" s="2952"/>
      <c r="F126" s="2952"/>
      <c r="G126" s="2952"/>
      <c r="H126" s="2952"/>
      <c r="I126" s="2953"/>
    </row>
    <row r="127" spans="1:15" ht="15.75" thickBot="1">
      <c r="A127" s="2889" t="str">
        <f>IF(项目基本情况!D5="房地产市场价值","——",MID(A114,3,LEN(A114)-2))</f>
        <v/>
      </c>
      <c r="B127" s="2890"/>
      <c r="C127" s="2890"/>
      <c r="D127" s="2846" t="str">
        <f>I112</f>
        <v>——</v>
      </c>
      <c r="E127" s="2847"/>
      <c r="F127" s="2847"/>
      <c r="G127" s="2847"/>
      <c r="H127" s="2847"/>
      <c r="I127" s="2848"/>
    </row>
    <row r="128" spans="1:15" ht="15.75" thickTop="1" thickBot="1">
      <c r="A128" s="2866" t="s">
        <v>1958</v>
      </c>
      <c r="B128" s="2862"/>
      <c r="C128" s="2946"/>
      <c r="D128" s="2892" t="str">
        <f>I113</f>
        <v>——</v>
      </c>
      <c r="E128" s="2892"/>
      <c r="F128" s="2892"/>
      <c r="G128" s="2892"/>
      <c r="H128" s="2892"/>
      <c r="I128" s="2892"/>
    </row>
    <row r="129" spans="1:9" ht="16.5" thickTop="1" thickBot="1">
      <c r="A129" s="2889" t="str">
        <f>IF(项目基本情况!D5="房地产市场价值","——",MID(F114,3,LEN(F114)-2))</f>
        <v/>
      </c>
      <c r="B129" s="2890"/>
      <c r="C129" s="2891"/>
      <c r="D129" s="2954" t="str">
        <f>I114</f>
        <v>——</v>
      </c>
      <c r="E129" s="2954"/>
      <c r="F129" s="2954"/>
      <c r="G129" s="2954"/>
      <c r="H129" s="2954"/>
      <c r="I129" s="2954"/>
    </row>
    <row r="130" spans="1:9" ht="15.75" thickTop="1" thickBot="1">
      <c r="A130" s="2959" t="s">
        <v>1958</v>
      </c>
      <c r="B130" s="2960"/>
      <c r="C130" s="2960"/>
      <c r="D130" s="2964">
        <f>H116</f>
        <v>0</v>
      </c>
      <c r="E130" s="2965"/>
      <c r="F130" s="2965"/>
      <c r="G130" s="2965"/>
      <c r="H130" s="2965"/>
      <c r="I130" s="2966"/>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944" t="str">
        <f>IF(B32="总价","（以上估价结果中楼面单价为总价除以建筑面积得出）","（以上估价结果中总价为楼面单价乘以建筑面积得出）")</f>
        <v>（以上估价结果中总价为楼面单价乘以建筑面积得出）</v>
      </c>
      <c r="B132" s="2944"/>
      <c r="C132" s="2944"/>
      <c r="D132" s="2944"/>
      <c r="E132" s="2944"/>
      <c r="F132" s="2944"/>
      <c r="G132" s="2944"/>
      <c r="H132" s="2944"/>
      <c r="I132" s="2944"/>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968" t="s">
        <v>1967</v>
      </c>
      <c r="B2" s="2968"/>
      <c r="C2" s="2968"/>
      <c r="D2" s="2968"/>
      <c r="E2" s="2968"/>
      <c r="F2" s="2968"/>
      <c r="G2" s="2968"/>
      <c r="H2" s="2968"/>
      <c r="I2" s="2968"/>
    </row>
    <row r="3" spans="1:12" ht="12.75">
      <c r="A3" s="2922" t="s">
        <v>1771</v>
      </c>
      <c r="B3" s="2923"/>
      <c r="C3" s="2923"/>
      <c r="D3" s="2923"/>
      <c r="E3" s="2923"/>
      <c r="F3" s="2923"/>
      <c r="G3" s="2923"/>
      <c r="H3" s="2923"/>
      <c r="I3" s="2923"/>
    </row>
    <row r="4" spans="1:12" ht="14.25">
      <c r="A4" s="2197" t="s">
        <v>1772</v>
      </c>
      <c r="B4" s="2198" t="s">
        <v>1773</v>
      </c>
      <c r="C4" s="2199"/>
      <c r="D4" s="2199"/>
      <c r="E4" s="2927" t="s">
        <v>1968</v>
      </c>
      <c r="F4" s="2928"/>
      <c r="G4" s="2928"/>
      <c r="H4" s="2928"/>
      <c r="I4" s="2929"/>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7" t="s">
        <v>1775</v>
      </c>
      <c r="B5" s="2862">
        <v>25</v>
      </c>
      <c r="C5" s="2924"/>
      <c r="D5" s="2921"/>
      <c r="E5" s="56" t="s">
        <v>1776</v>
      </c>
      <c r="F5" s="2200"/>
      <c r="G5" s="2200"/>
      <c r="H5" s="2200"/>
      <c r="I5" s="2201"/>
    </row>
    <row r="6" spans="1:12" ht="12.75">
      <c r="A6" s="2917"/>
      <c r="B6" s="2862"/>
      <c r="C6" s="2925"/>
      <c r="D6" s="2921"/>
      <c r="E6" s="56" t="s">
        <v>1777</v>
      </c>
      <c r="F6" s="2200"/>
      <c r="G6" s="2200"/>
      <c r="H6" s="2200"/>
      <c r="I6" s="2201"/>
    </row>
    <row r="7" spans="1:12" ht="12.75">
      <c r="A7" s="2917"/>
      <c r="B7" s="2862"/>
      <c r="C7" s="2926"/>
      <c r="D7" s="2921"/>
      <c r="E7" s="56" t="s">
        <v>1778</v>
      </c>
      <c r="F7" s="2200"/>
      <c r="G7" s="2200"/>
      <c r="H7" s="2200"/>
      <c r="I7" s="2201"/>
    </row>
    <row r="8" spans="1:12" ht="12.75">
      <c r="A8" s="2917" t="s">
        <v>1779</v>
      </c>
      <c r="B8" s="2862">
        <v>15</v>
      </c>
      <c r="C8" s="2924"/>
      <c r="D8" s="2921"/>
      <c r="E8" s="56" t="s">
        <v>1780</v>
      </c>
      <c r="F8" s="2200"/>
      <c r="G8" s="2200"/>
      <c r="H8" s="2200"/>
      <c r="I8" s="2201"/>
    </row>
    <row r="9" spans="1:12" ht="12.75">
      <c r="A9" s="2917"/>
      <c r="B9" s="2862"/>
      <c r="C9" s="2926"/>
      <c r="D9" s="2921"/>
      <c r="E9" s="56" t="s">
        <v>1781</v>
      </c>
      <c r="F9" s="2200"/>
      <c r="G9" s="2200"/>
      <c r="H9" s="2200"/>
      <c r="I9" s="2201"/>
    </row>
    <row r="10" spans="1:12" ht="12.75">
      <c r="A10" s="2917" t="s">
        <v>1782</v>
      </c>
      <c r="B10" s="2862">
        <v>15</v>
      </c>
      <c r="C10" s="2924"/>
      <c r="D10" s="2921"/>
      <c r="E10" s="56" t="s">
        <v>1783</v>
      </c>
      <c r="F10" s="2200"/>
      <c r="G10" s="2200"/>
      <c r="H10" s="2200"/>
      <c r="I10" s="2201"/>
    </row>
    <row r="11" spans="1:12" ht="12.75">
      <c r="A11" s="2917"/>
      <c r="B11" s="2862"/>
      <c r="C11" s="2926"/>
      <c r="D11" s="2921"/>
      <c r="E11" s="56" t="s">
        <v>1784</v>
      </c>
      <c r="F11" s="2200"/>
      <c r="G11" s="2200"/>
      <c r="H11" s="2200"/>
      <c r="I11" s="2201"/>
    </row>
    <row r="12" spans="1:12" ht="12.75">
      <c r="A12" s="2917" t="s">
        <v>1785</v>
      </c>
      <c r="B12" s="2862">
        <v>15</v>
      </c>
      <c r="C12" s="2924"/>
      <c r="D12" s="2921"/>
      <c r="E12" s="56" t="s">
        <v>1786</v>
      </c>
      <c r="F12" s="2200"/>
      <c r="G12" s="2200"/>
      <c r="H12" s="2200"/>
      <c r="I12" s="2201"/>
    </row>
    <row r="13" spans="1:12" ht="12.75">
      <c r="A13" s="2917"/>
      <c r="B13" s="2862"/>
      <c r="C13" s="2926"/>
      <c r="D13" s="2921"/>
      <c r="E13" s="56" t="s">
        <v>1787</v>
      </c>
      <c r="F13" s="2200"/>
      <c r="G13" s="2200"/>
      <c r="H13" s="2200"/>
      <c r="I13" s="2201"/>
    </row>
    <row r="14" spans="1:12" ht="12.75">
      <c r="A14" s="2917" t="s">
        <v>1788</v>
      </c>
      <c r="B14" s="2862">
        <v>30</v>
      </c>
      <c r="C14" s="2924"/>
      <c r="D14" s="2921"/>
      <c r="E14" s="56" t="s">
        <v>1789</v>
      </c>
      <c r="F14" s="2200"/>
      <c r="G14" s="2200"/>
      <c r="H14" s="2200"/>
      <c r="I14" s="2201"/>
    </row>
    <row r="15" spans="1:12" ht="12.75">
      <c r="A15" s="2917"/>
      <c r="B15" s="2862"/>
      <c r="C15" s="2925"/>
      <c r="D15" s="2921"/>
      <c r="E15" s="56" t="s">
        <v>1790</v>
      </c>
      <c r="F15" s="2200"/>
      <c r="G15" s="2200"/>
      <c r="H15" s="2200"/>
      <c r="I15" s="2201"/>
    </row>
    <row r="16" spans="1:12" ht="12.75">
      <c r="A16" s="2917"/>
      <c r="B16" s="2862"/>
      <c r="C16" s="2926"/>
      <c r="D16" s="2921"/>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30" t="s">
        <v>1800</v>
      </c>
      <c r="B24" s="2207" t="s">
        <v>1795</v>
      </c>
      <c r="C24" s="61">
        <f>D30</f>
        <v>0</v>
      </c>
      <c r="D24" s="994"/>
      <c r="E24" s="2195"/>
      <c r="F24" s="2195"/>
      <c r="G24" s="2195"/>
      <c r="H24" s="2195"/>
      <c r="I24" s="2195"/>
    </row>
    <row r="25" spans="1:35" ht="21.75" customHeight="1">
      <c r="A25" s="2931"/>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6" t="s">
        <v>1970</v>
      </c>
      <c r="B30" s="2717"/>
      <c r="C30" s="2717"/>
      <c r="D30" s="2717"/>
      <c r="E30" s="2715" t="s">
        <v>2808</v>
      </c>
      <c r="F30" s="2195"/>
      <c r="G30" s="2195"/>
      <c r="H30" s="2195"/>
      <c r="I30" s="2195"/>
    </row>
    <row r="31" spans="1:35" s="2222" customFormat="1" ht="15.75" thickBot="1">
      <c r="A31" s="2978" t="s">
        <v>1971</v>
      </c>
      <c r="B31" s="2978"/>
      <c r="C31" s="2978"/>
      <c r="D31" s="2978"/>
      <c r="E31" s="2978"/>
      <c r="F31" s="2978"/>
      <c r="G31" s="2978"/>
      <c r="H31" s="2978"/>
      <c r="I31" s="2978"/>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35" t="s">
        <v>1980</v>
      </c>
      <c r="B37" s="2237" t="s">
        <v>1981</v>
      </c>
      <c r="C37" s="69"/>
      <c r="D37" s="2238"/>
      <c r="E37" s="2239"/>
      <c r="F37" s="2239"/>
      <c r="G37" s="2195"/>
      <c r="H37" s="2195"/>
      <c r="I37" s="2195"/>
    </row>
    <row r="38" spans="1:16" ht="15.75" thickBot="1">
      <c r="A38" s="2936"/>
      <c r="B38" s="2240" t="s">
        <v>1982</v>
      </c>
      <c r="C38" s="71"/>
      <c r="D38" s="2205"/>
      <c r="E38" s="2205"/>
      <c r="F38" s="2239"/>
      <c r="G38" s="2205"/>
      <c r="H38" s="2205"/>
      <c r="I38" s="2205"/>
    </row>
    <row r="39" spans="1:16" ht="15.75" thickBot="1">
      <c r="A39" s="2937"/>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940" t="s">
        <v>1993</v>
      </c>
      <c r="B46" s="2941"/>
      <c r="C46" s="2942"/>
      <c r="D46" s="80">
        <f>ROUND(I103*F46,0)</f>
        <v>0</v>
      </c>
      <c r="E46" s="81" t="s">
        <v>1994</v>
      </c>
      <c r="F46" s="82">
        <v>1</v>
      </c>
      <c r="G46" s="83" t="s">
        <v>1995</v>
      </c>
      <c r="H46" s="2195"/>
      <c r="I46" s="2195"/>
      <c r="J46" s="2852" t="s">
        <v>1827</v>
      </c>
      <c r="K46" s="2852"/>
      <c r="L46" s="2852"/>
      <c r="M46" s="2852"/>
      <c r="N46" s="2852"/>
      <c r="O46" s="2852"/>
      <c r="P46" s="1845"/>
    </row>
    <row r="47" spans="1:16" ht="14.25" customHeight="1">
      <c r="A47" s="2932" t="s">
        <v>1828</v>
      </c>
      <c r="B47" s="2933"/>
      <c r="C47" s="2933"/>
      <c r="D47" s="2933"/>
      <c r="E47" s="2933"/>
      <c r="F47" s="2933"/>
      <c r="G47" s="2934"/>
      <c r="H47" s="2257"/>
      <c r="I47" s="1144"/>
      <c r="J47" s="1883">
        <v>1</v>
      </c>
      <c r="K47" s="2852" t="s">
        <v>1829</v>
      </c>
      <c r="L47" s="2852"/>
      <c r="M47" s="2967"/>
      <c r="N47" s="2967"/>
      <c r="O47" s="2967"/>
      <c r="P47" s="1845"/>
    </row>
    <row r="48" spans="1:16" ht="12" customHeight="1">
      <c r="A48" s="85" t="s">
        <v>1830</v>
      </c>
      <c r="B48" s="86"/>
      <c r="C48" s="87"/>
      <c r="D48" s="88" t="s">
        <v>1831</v>
      </c>
      <c r="E48" s="14" t="s">
        <v>1832</v>
      </c>
      <c r="F48" s="89" t="s">
        <v>1833</v>
      </c>
      <c r="G48" s="90" t="s">
        <v>1834</v>
      </c>
      <c r="H48" s="2257"/>
      <c r="I48" s="1144"/>
      <c r="J48" s="1883">
        <v>2</v>
      </c>
      <c r="K48" s="2852" t="s">
        <v>1835</v>
      </c>
      <c r="L48" s="2852"/>
      <c r="M48" s="2854">
        <f>'数据-取费表'!B2</f>
        <v>43242</v>
      </c>
      <c r="N48" s="2854"/>
      <c r="O48" s="2854"/>
      <c r="P48" s="1845"/>
    </row>
    <row r="49" spans="1:16" ht="25.5">
      <c r="A49" s="2938" t="s">
        <v>1836</v>
      </c>
      <c r="B49" s="2939"/>
      <c r="C49" s="2939"/>
      <c r="D49" s="56">
        <f>IF(H49="情况1",0,IF(H49="情况2",D53,IF(H49="情况3",D54,IF(H49="情况4",D55))))</f>
        <v>0</v>
      </c>
      <c r="E49" s="1893" t="str">
        <f>IF(H49="情况4","(销售额-原购置价)×税（费）率","销售额×税（费）率")</f>
        <v>销售额×税（费）率</v>
      </c>
      <c r="F49" s="91">
        <f>IF(H49="情况1","免征",'数据-取费表'!E29)</f>
        <v>5.5000000000000007E-2</v>
      </c>
      <c r="G49" s="2258" t="s">
        <v>1837</v>
      </c>
      <c r="H49" s="2259" t="s">
        <v>1838</v>
      </c>
      <c r="I49" s="2257"/>
      <c r="J49" s="1883">
        <v>3</v>
      </c>
      <c r="K49" s="2852" t="s">
        <v>1839</v>
      </c>
      <c r="L49" s="2852"/>
      <c r="M49" s="2853">
        <f>I103</f>
        <v>0</v>
      </c>
      <c r="N49" s="2853"/>
      <c r="O49" s="2853"/>
      <c r="P49" s="1845"/>
    </row>
    <row r="50" spans="1:16" ht="25.5" customHeight="1">
      <c r="A50" s="92" t="s">
        <v>1840</v>
      </c>
      <c r="B50" s="2919" t="s">
        <v>1841</v>
      </c>
      <c r="C50" s="2919"/>
      <c r="D50" s="93">
        <v>0</v>
      </c>
      <c r="E50" s="13" t="s">
        <v>1842</v>
      </c>
      <c r="F50" s="18" t="s">
        <v>48</v>
      </c>
      <c r="G50" s="2843"/>
      <c r="H50" s="2195"/>
      <c r="I50" s="2260"/>
      <c r="J50" s="1883">
        <v>4</v>
      </c>
      <c r="K50" s="2852" t="str">
        <f>IF(项目基本情况!F5="房地产抵押价值","房地产抵押价值","抵押担保权已注销时的房地产抵押价值")</f>
        <v>抵押担保权已注销时的房地产抵押价值</v>
      </c>
      <c r="L50" s="2852"/>
      <c r="M50" s="2853" t="str">
        <f>IF(项目基本情况!F5="房地产抵押价值",I111,I113)</f>
        <v>——</v>
      </c>
      <c r="N50" s="2853"/>
      <c r="O50" s="2853"/>
      <c r="P50" s="1845"/>
    </row>
    <row r="51" spans="1:16" ht="25.5" customHeight="1">
      <c r="A51" s="94"/>
      <c r="B51" s="2919" t="s">
        <v>1843</v>
      </c>
      <c r="C51" s="2919"/>
      <c r="D51" s="95"/>
      <c r="E51" s="21"/>
      <c r="F51" s="96"/>
      <c r="G51" s="2844"/>
      <c r="H51" s="2195"/>
      <c r="I51" s="2260"/>
      <c r="J51" s="2852" t="s">
        <v>1844</v>
      </c>
      <c r="K51" s="2852"/>
      <c r="L51" s="2852"/>
      <c r="M51" s="2852"/>
      <c r="N51" s="2852"/>
      <c r="O51" s="2852"/>
      <c r="P51" s="1845"/>
    </row>
    <row r="52" spans="1:16" ht="12" customHeight="1">
      <c r="A52" s="97"/>
      <c r="B52" s="2919" t="s">
        <v>1845</v>
      </c>
      <c r="C52" s="2919"/>
      <c r="D52" s="98"/>
      <c r="E52" s="20"/>
      <c r="F52" s="96"/>
      <c r="G52" s="2845"/>
      <c r="H52" s="2195"/>
      <c r="I52" s="2260"/>
      <c r="J52" s="2261" t="s">
        <v>1846</v>
      </c>
      <c r="K52" s="2852" t="s">
        <v>1847</v>
      </c>
      <c r="L52" s="2852"/>
      <c r="M52" s="2261" t="s">
        <v>1848</v>
      </c>
      <c r="N52" s="2261" t="s">
        <v>1849</v>
      </c>
      <c r="O52" s="2261" t="s">
        <v>1850</v>
      </c>
      <c r="P52" s="1845"/>
    </row>
    <row r="53" spans="1:16" ht="24" customHeight="1">
      <c r="A53" s="99" t="s">
        <v>1851</v>
      </c>
      <c r="B53" s="2919" t="s">
        <v>1852</v>
      </c>
      <c r="C53" s="2919"/>
      <c r="D53" s="98">
        <f>ROUND(D46*'数据-取费表'!E29/(1+'数据-取费表'!F30),0)</f>
        <v>0</v>
      </c>
      <c r="E53" s="10" t="s">
        <v>1853</v>
      </c>
      <c r="F53" s="100">
        <f>'数据-取费表'!E29</f>
        <v>5.5000000000000007E-2</v>
      </c>
      <c r="G53" s="2262"/>
      <c r="H53" s="2195"/>
      <c r="I53" s="2260"/>
      <c r="J53" s="1883">
        <v>1</v>
      </c>
      <c r="K53" s="2842" t="s">
        <v>1854</v>
      </c>
      <c r="L53" s="2842"/>
      <c r="M53" s="778">
        <f>D49</f>
        <v>0</v>
      </c>
      <c r="N53" s="1883" t="str">
        <f>E49</f>
        <v>销售额×税（费）率</v>
      </c>
      <c r="O53" s="779">
        <f>F49</f>
        <v>5.5000000000000007E-2</v>
      </c>
      <c r="P53" s="1845"/>
    </row>
    <row r="54" spans="1:16" ht="12" customHeight="1">
      <c r="A54" s="99" t="s">
        <v>1855</v>
      </c>
      <c r="B54" s="2918" t="s">
        <v>1856</v>
      </c>
      <c r="C54" s="2812"/>
      <c r="D54" s="98">
        <f>ROUND(D46*'数据-取费表'!E29/(1+'数据-取费表'!F30),0)</f>
        <v>0</v>
      </c>
      <c r="E54" s="10" t="s">
        <v>1853</v>
      </c>
      <c r="F54" s="100">
        <f>'数据-取费表'!E29</f>
        <v>5.5000000000000007E-2</v>
      </c>
      <c r="G54" s="2262"/>
      <c r="H54" s="2195"/>
      <c r="I54" s="2260"/>
      <c r="J54" s="1883">
        <v>2</v>
      </c>
      <c r="K54" s="2842" t="s">
        <v>1857</v>
      </c>
      <c r="L54" s="2842"/>
      <c r="M54" s="778">
        <f t="shared" ref="M54:O55" si="1">D56</f>
        <v>0</v>
      </c>
      <c r="N54" s="1883" t="str">
        <f t="shared" si="1"/>
        <v>销售额×税（费）率</v>
      </c>
      <c r="O54" s="779">
        <f t="shared" si="1"/>
        <v>5.0000000000000001E-4</v>
      </c>
      <c r="P54" s="1845"/>
    </row>
    <row r="55" spans="1:16" ht="12" customHeight="1">
      <c r="A55" s="99" t="s">
        <v>1858</v>
      </c>
      <c r="B55" s="2918" t="s">
        <v>1859</v>
      </c>
      <c r="C55" s="2812"/>
      <c r="D55" s="98">
        <f>C69</f>
        <v>0</v>
      </c>
      <c r="E55" s="20" t="s">
        <v>1860</v>
      </c>
      <c r="F55" s="100">
        <f>'数据-取费表'!E29</f>
        <v>5.5000000000000007E-2</v>
      </c>
      <c r="G55" s="2262"/>
      <c r="H55" s="2263"/>
      <c r="I55" s="2260"/>
      <c r="J55" s="1883">
        <v>3</v>
      </c>
      <c r="K55" s="2842" t="s">
        <v>1861</v>
      </c>
      <c r="L55" s="2842"/>
      <c r="M55" s="778">
        <f t="shared" si="1"/>
        <v>0</v>
      </c>
      <c r="N55" s="1883" t="str">
        <f t="shared" si="1"/>
        <v>增值额×税（费）率</v>
      </c>
      <c r="O55" s="780" t="str">
        <f t="shared" si="1"/>
        <v>——</v>
      </c>
      <c r="P55" s="1845"/>
    </row>
    <row r="56" spans="1:16" ht="24" customHeight="1">
      <c r="A56" s="2804" t="s">
        <v>1862</v>
      </c>
      <c r="B56" s="2939"/>
      <c r="C56" s="2939"/>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842" t="str">
        <f>IF(H60="非个人房产","——","个人所得税")</f>
        <v>——</v>
      </c>
      <c r="L56" s="2842"/>
      <c r="M56" s="781" t="str">
        <f>D60</f>
        <v>——</v>
      </c>
      <c r="N56" s="1886" t="str">
        <f>E60</f>
        <v>——</v>
      </c>
      <c r="O56" s="782" t="str">
        <f>F60</f>
        <v>——</v>
      </c>
      <c r="P56" s="1845"/>
    </row>
    <row r="57" spans="1:16" ht="24.75">
      <c r="A57" s="2804" t="s">
        <v>1865</v>
      </c>
      <c r="B57" s="2939"/>
      <c r="C57" s="2939"/>
      <c r="D57" s="101">
        <f>IF(H57="个人住宅",D58,D59)</f>
        <v>0</v>
      </c>
      <c r="E57" s="10" t="s">
        <v>1866</v>
      </c>
      <c r="F57" s="100" t="str">
        <f>IF(H57="正常",F59,"免征")</f>
        <v>——</v>
      </c>
      <c r="G57" s="2264" t="s">
        <v>1867</v>
      </c>
      <c r="H57" s="2265" t="s">
        <v>1864</v>
      </c>
      <c r="I57" s="1022"/>
      <c r="J57" s="1883" t="str">
        <f>IF(项目基本情况!I6="上海银行",IF(J56="",4,J56+1),"")</f>
        <v/>
      </c>
      <c r="K57" s="2859" t="str">
        <f>IF(项目基本情况!I6="上海银行","其他处置费用","")</f>
        <v/>
      </c>
      <c r="L57" s="2860"/>
      <c r="M57" s="778" t="str">
        <f>IF(项目基本情况!I6="上海银行",M70,"")</f>
        <v/>
      </c>
      <c r="N57" s="2840" t="str">
        <f>IF(项目基本情况!I6="上海银行","包含处置中涉及的律师、诉讼、拍卖、评估等费用","")</f>
        <v/>
      </c>
      <c r="O57" s="2841"/>
      <c r="P57" s="1845"/>
    </row>
    <row r="58" spans="1:16" ht="12.75">
      <c r="A58" s="99" t="s">
        <v>1840</v>
      </c>
      <c r="B58" s="2927" t="s">
        <v>1868</v>
      </c>
      <c r="C58" s="2929"/>
      <c r="D58" s="103">
        <v>0</v>
      </c>
      <c r="E58" s="13" t="s">
        <v>1842</v>
      </c>
      <c r="F58" s="70"/>
      <c r="G58" s="2262"/>
      <c r="H58" s="1022"/>
      <c r="I58" s="1022"/>
      <c r="J58" s="2842">
        <f>IF(AND(J56="",J57=""),4,IF(项目基本情况!I6="上海银行",J57+1,J56+1))</f>
        <v>4</v>
      </c>
      <c r="K58" s="2842" t="s">
        <v>1869</v>
      </c>
      <c r="L58" s="2266" t="s">
        <v>1870</v>
      </c>
      <c r="M58" s="783"/>
      <c r="N58" s="784">
        <f>SUMIF(M53:M57,"&lt;9e307")</f>
        <v>0</v>
      </c>
      <c r="O58" s="2267"/>
      <c r="P58" s="1841" t="e">
        <f>N58/M50</f>
        <v>#VALUE!</v>
      </c>
    </row>
    <row r="59" spans="1:16" ht="24.75">
      <c r="A59" s="99" t="s">
        <v>1851</v>
      </c>
      <c r="B59" s="2927" t="s">
        <v>1871</v>
      </c>
      <c r="C59" s="2928"/>
      <c r="D59" s="101">
        <f>IF(H59="转让取得",C82,C98)</f>
        <v>0</v>
      </c>
      <c r="E59" s="10" t="s">
        <v>1866</v>
      </c>
      <c r="F59" s="14" t="s">
        <v>48</v>
      </c>
      <c r="G59" s="2262"/>
      <c r="H59" s="2265" t="s">
        <v>1872</v>
      </c>
      <c r="I59" s="1022"/>
      <c r="J59" s="2842"/>
      <c r="K59" s="2842"/>
      <c r="L59" s="2266" t="s">
        <v>1873</v>
      </c>
      <c r="M59" s="785"/>
      <c r="N59" s="2268" t="str">
        <f>IF(H19="元",NUMBERSTRING(INT(N58),2)&amp;"元整",NUMBERSTRING(INT(N58*10000),2)&amp;"元整")</f>
        <v>零元整</v>
      </c>
      <c r="O59" s="2269"/>
      <c r="P59" s="1845"/>
    </row>
    <row r="60" spans="1:16" ht="24.75" thickBot="1">
      <c r="A60" s="2805" t="s">
        <v>1874</v>
      </c>
      <c r="B60" s="2808"/>
      <c r="C60" s="2808"/>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896">
        <f>J58+1</f>
        <v>5</v>
      </c>
      <c r="K60" s="2842" t="s">
        <v>1876</v>
      </c>
      <c r="L60" s="1883" t="s">
        <v>1870</v>
      </c>
      <c r="M60" s="786"/>
      <c r="N60" s="787" t="e">
        <f>M50-N58</f>
        <v>#VALUE!</v>
      </c>
      <c r="O60" s="2271"/>
      <c r="P60" s="1845"/>
    </row>
    <row r="61" spans="1:16" ht="12" customHeight="1">
      <c r="A61" s="2068"/>
      <c r="B61" s="2195"/>
      <c r="C61" s="2195"/>
      <c r="D61" s="2195"/>
      <c r="E61" s="1022"/>
      <c r="F61" s="1022"/>
      <c r="G61" s="1022"/>
      <c r="H61" s="2248"/>
      <c r="I61" s="2195"/>
      <c r="J61" s="2897"/>
      <c r="K61" s="2842"/>
      <c r="L61" s="2266" t="s">
        <v>1873</v>
      </c>
      <c r="M61" s="785"/>
      <c r="N61" s="2268" t="e">
        <f>IF(H19="元",NUMBERSTRING(INT(N60),2)&amp;"元整",NUMBERSTRING(INT(N60*10000),2)&amp;"元整")</f>
        <v>#VALUE!</v>
      </c>
      <c r="O61" s="2269"/>
      <c r="P61" s="1845"/>
    </row>
    <row r="62" spans="1:16" ht="13.5" thickBot="1">
      <c r="A62" s="2943" t="s">
        <v>1877</v>
      </c>
      <c r="B62" s="2943"/>
      <c r="C62" s="2943"/>
      <c r="D62" s="2943"/>
      <c r="E62" s="2943"/>
      <c r="F62" s="1022"/>
      <c r="G62" s="1022"/>
      <c r="H62" s="2248"/>
      <c r="I62" s="2195"/>
      <c r="J62" s="1883">
        <f>J60+1</f>
        <v>6</v>
      </c>
      <c r="K62" s="2842" t="s">
        <v>1878</v>
      </c>
      <c r="L62" s="2842"/>
      <c r="M62" s="788"/>
      <c r="N62" s="789" t="e">
        <f>IF(H19="元",ROUND(N60/项目基本情况!C12,0),ROUND(N60*10000/项目基本情况!C12,0))</f>
        <v>#VALUE!</v>
      </c>
      <c r="O62" s="2272"/>
      <c r="P62" s="1845"/>
    </row>
    <row r="63" spans="1:16" ht="12.75">
      <c r="A63" s="2880" t="s">
        <v>1879</v>
      </c>
      <c r="B63" s="2881"/>
      <c r="C63" s="1885"/>
      <c r="D63" s="1885" t="s">
        <v>1880</v>
      </c>
      <c r="E63" s="108" t="s">
        <v>1881</v>
      </c>
      <c r="F63" s="1022"/>
      <c r="G63" s="1022"/>
      <c r="H63" s="2248"/>
      <c r="I63" s="2195"/>
      <c r="J63" s="1845"/>
      <c r="K63" s="1845"/>
      <c r="L63" s="1845"/>
      <c r="M63" s="1845"/>
      <c r="N63" s="1845"/>
      <c r="O63" s="1845"/>
      <c r="P63" s="1845"/>
    </row>
    <row r="64" spans="1:16" ht="12.75">
      <c r="A64" s="109">
        <v>1</v>
      </c>
      <c r="B64" s="110" t="s">
        <v>1882</v>
      </c>
      <c r="C64" s="111">
        <f>ROUND((C65+C66)/(1+'数据-取费表'!F30),0)</f>
        <v>0</v>
      </c>
      <c r="D64" s="112"/>
      <c r="E64" s="113"/>
      <c r="F64" s="1022"/>
      <c r="G64" s="1022"/>
      <c r="H64" s="2248"/>
      <c r="I64" s="2195"/>
      <c r="J64" s="2861"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8"/>
      <c r="I65" s="2195"/>
      <c r="J65" s="2861"/>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8"/>
      <c r="I66" s="2195"/>
      <c r="J66" s="2861"/>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8"/>
      <c r="I67" s="2195"/>
      <c r="J67" s="2861"/>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8"/>
      <c r="I68" s="2195"/>
      <c r="J68" s="2861"/>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5.5000000000000007E-2</v>
      </c>
      <c r="E69" s="129"/>
      <c r="F69" s="1022"/>
      <c r="G69" s="1022"/>
      <c r="H69" s="2248"/>
      <c r="I69" s="2195"/>
      <c r="J69" s="2861"/>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861"/>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882" t="s">
        <v>1899</v>
      </c>
      <c r="B71" s="2883"/>
      <c r="C71" s="2883"/>
      <c r="D71" s="2883"/>
      <c r="E71" s="2883"/>
      <c r="F71" s="2883"/>
      <c r="G71" s="2883"/>
      <c r="H71" s="2883"/>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880" t="s">
        <v>1879</v>
      </c>
      <c r="B72" s="2881"/>
      <c r="C72" s="1885"/>
      <c r="D72" s="1885"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918" t="s">
        <v>1909</v>
      </c>
      <c r="F77" s="2919"/>
      <c r="G77" s="2919"/>
      <c r="H77" s="2920"/>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5" t="s">
        <v>1912</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5.000000000000001E-3</v>
      </c>
      <c r="E79" s="2849" t="s">
        <v>1914</v>
      </c>
      <c r="F79" s="2850"/>
      <c r="G79" s="2850"/>
      <c r="H79" s="2870"/>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882" t="s">
        <v>1918</v>
      </c>
      <c r="B84" s="2883"/>
      <c r="C84" s="2883"/>
      <c r="D84" s="2883"/>
      <c r="E84" s="2883"/>
      <c r="F84" s="2883"/>
      <c r="G84" s="2883"/>
      <c r="H84" s="2883"/>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880" t="s">
        <v>1879</v>
      </c>
      <c r="B85" s="2881"/>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849" t="s">
        <v>1926</v>
      </c>
      <c r="F92" s="2850"/>
      <c r="G92" s="2850"/>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849" t="s">
        <v>1929</v>
      </c>
      <c r="F93" s="2850"/>
      <c r="G93" s="2850"/>
      <c r="H93" s="2870"/>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5.000000000000001E-3</v>
      </c>
      <c r="E94" s="2849" t="s">
        <v>1914</v>
      </c>
      <c r="F94" s="2850"/>
      <c r="G94" s="2850"/>
      <c r="H94" s="2870"/>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849" t="s">
        <v>1931</v>
      </c>
      <c r="F95" s="2850"/>
      <c r="G95" s="2850"/>
      <c r="H95" s="2870"/>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867" t="s">
        <v>1933</v>
      </c>
      <c r="B100" s="2868"/>
      <c r="C100" s="2868"/>
      <c r="D100" s="2869"/>
      <c r="E100" s="2195"/>
      <c r="F100" s="2877" t="s">
        <v>1934</v>
      </c>
      <c r="G100" s="2878"/>
      <c r="H100" s="2878"/>
      <c r="I100" s="2879"/>
    </row>
    <row r="101" spans="1:35" ht="15.75">
      <c r="A101" s="2884" t="s">
        <v>1935</v>
      </c>
      <c r="B101" s="2885"/>
      <c r="C101" s="720">
        <f>C4</f>
        <v>0</v>
      </c>
      <c r="D101" s="721">
        <f>D4</f>
        <v>0</v>
      </c>
      <c r="E101" s="2195"/>
      <c r="F101" s="2886" t="s">
        <v>1936</v>
      </c>
      <c r="G101" s="2888"/>
      <c r="H101" s="2969" t="s">
        <v>1937</v>
      </c>
      <c r="I101" s="2887"/>
    </row>
    <row r="102" spans="1:35" ht="15.75">
      <c r="A102" s="2970" t="s">
        <v>1997</v>
      </c>
      <c r="B102" s="2290" t="str">
        <f>IF(H19="元","总价（元）","总价（万元）")</f>
        <v>总价（元）</v>
      </c>
      <c r="C102" s="720" t="e">
        <f ca="1">C19</f>
        <v>#REF!</v>
      </c>
      <c r="D102" s="721" t="e">
        <f ca="1">D19</f>
        <v>#REF!</v>
      </c>
      <c r="E102" s="2195"/>
      <c r="F102" s="2971"/>
      <c r="G102" s="2972"/>
      <c r="H102" s="2947">
        <f>典型户型修正!B25</f>
        <v>0</v>
      </c>
      <c r="I102" s="2887"/>
    </row>
    <row r="103" spans="1:35" ht="15.75">
      <c r="A103" s="2970"/>
      <c r="B103" s="2290" t="s">
        <v>1939</v>
      </c>
      <c r="C103" s="722" t="e">
        <f ca="1">C20</f>
        <v>#REF!</v>
      </c>
      <c r="D103" s="723" t="e">
        <f ca="1">D20</f>
        <v>#REF!</v>
      </c>
      <c r="E103" s="2195"/>
      <c r="F103" s="2961" t="s">
        <v>1940</v>
      </c>
      <c r="G103" s="2962"/>
      <c r="H103" s="2291" t="str">
        <f>C109</f>
        <v>总价（元）</v>
      </c>
      <c r="I103" s="1862">
        <f>H124</f>
        <v>0</v>
      </c>
    </row>
    <row r="104" spans="1:35" ht="15">
      <c r="A104" s="2970" t="s">
        <v>1998</v>
      </c>
      <c r="B104" s="2292" t="str">
        <f>B102</f>
        <v>总价（元）</v>
      </c>
      <c r="C104" s="1190" t="e">
        <f ca="1">ROUND(IF('数据-取费表'!B4="总价",G19,IF(H19="元",G20*'数据-取费表'!E5,G20*'数据-取费表'!E5/10000)),0)</f>
        <v>#REF!</v>
      </c>
      <c r="D104" s="725"/>
      <c r="E104" s="2195"/>
      <c r="F104" s="2961"/>
      <c r="G104" s="2962"/>
      <c r="H104" s="2291" t="s">
        <v>1939</v>
      </c>
      <c r="I104" s="1050" t="e">
        <f>I124</f>
        <v>#DIV/0!</v>
      </c>
    </row>
    <row r="105" spans="1:35" ht="15.75">
      <c r="A105" s="2970"/>
      <c r="B105" s="2290" t="s">
        <v>1939</v>
      </c>
      <c r="C105" s="1191" t="e">
        <f ca="1">ROUND(IF('数据-取费表'!B4="楼面单价",G20,IF(H19="元",G19/'数据-取费表'!E5,G19*10000/'数据-取费表'!E5)),0)</f>
        <v>#REF!</v>
      </c>
      <c r="D105" s="725"/>
      <c r="E105" s="2195"/>
      <c r="F105" s="2873"/>
      <c r="G105" s="2874"/>
      <c r="H105" s="2908"/>
      <c r="I105" s="2909"/>
    </row>
    <row r="106" spans="1:35" ht="15.75">
      <c r="A106" s="2977" t="s">
        <v>1999</v>
      </c>
      <c r="B106" s="2330" t="str">
        <f>B102</f>
        <v>总价（元）</v>
      </c>
      <c r="C106" s="724">
        <f>H124</f>
        <v>0</v>
      </c>
      <c r="D106" s="1189"/>
      <c r="E106" s="2195"/>
      <c r="F106" s="2912" t="s">
        <v>1943</v>
      </c>
      <c r="G106" s="2913"/>
      <c r="H106" s="2294" t="str">
        <f>C111</f>
        <v>总额（元）</v>
      </c>
      <c r="I106" s="1862">
        <f>SUMIF(I107:I109,"&lt;9E307")</f>
        <v>0</v>
      </c>
    </row>
    <row r="107" spans="1:35" ht="15.75" thickBot="1">
      <c r="A107" s="2907"/>
      <c r="B107" s="2293" t="s">
        <v>1939</v>
      </c>
      <c r="C107" s="726" t="e">
        <f>I124</f>
        <v>#DIV/0!</v>
      </c>
      <c r="D107" s="727"/>
      <c r="E107" s="2195"/>
      <c r="F107" s="2875" t="s">
        <v>1945</v>
      </c>
      <c r="G107" s="2876"/>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73" t="s">
        <v>1942</v>
      </c>
      <c r="B108" s="2974"/>
      <c r="C108" s="2974"/>
      <c r="D108" s="2975"/>
      <c r="E108" s="2195"/>
      <c r="F108" s="2875" t="s">
        <v>1946</v>
      </c>
      <c r="G108" s="2876"/>
      <c r="H108" s="2294" t="str">
        <f>C113</f>
        <v>总额（元）</v>
      </c>
      <c r="I108" s="1050">
        <f>C38</f>
        <v>0</v>
      </c>
      <c r="K108" s="2295"/>
    </row>
    <row r="109" spans="1:35" ht="15">
      <c r="A109" s="2914" t="s">
        <v>2000</v>
      </c>
      <c r="B109" s="2915"/>
      <c r="C109" s="2291" t="str">
        <f>B102</f>
        <v>总价（元）</v>
      </c>
      <c r="D109" s="1051">
        <f>H124</f>
        <v>0</v>
      </c>
      <c r="E109" s="2195"/>
      <c r="F109" s="2875" t="s">
        <v>1948</v>
      </c>
      <c r="G109" s="2876"/>
      <c r="H109" s="2294" t="str">
        <f>C114</f>
        <v>总额（元）</v>
      </c>
      <c r="I109" s="1050">
        <f>C39</f>
        <v>0</v>
      </c>
    </row>
    <row r="110" spans="1:35" ht="15.75">
      <c r="A110" s="2914"/>
      <c r="B110" s="2915"/>
      <c r="C110" s="2291" t="s">
        <v>1939</v>
      </c>
      <c r="D110" s="1052" t="e">
        <f>I124</f>
        <v>#DIV/0!</v>
      </c>
      <c r="E110" s="2195"/>
      <c r="F110" s="2873"/>
      <c r="G110" s="2874"/>
      <c r="H110" s="2910"/>
      <c r="I110" s="2911"/>
    </row>
    <row r="111" spans="1:35" ht="28.5" customHeight="1">
      <c r="A111" s="2957" t="s">
        <v>1947</v>
      </c>
      <c r="B111" s="2958"/>
      <c r="C111" s="2294" t="str">
        <f>IF(H19="元","总额（元）","总额（万元）")</f>
        <v>总额（元）</v>
      </c>
      <c r="D111" s="1051">
        <f>IF(D37="正常操作",I107+I108+I109,I108+I109)</f>
        <v>0</v>
      </c>
      <c r="E111" s="2195"/>
      <c r="F111" s="2855" t="str">
        <f>IF(项目基本情况!F5="已注销","——","3.房地产抵押价值")</f>
        <v>3.房地产抵押价值</v>
      </c>
      <c r="G111" s="2856"/>
      <c r="H111" s="2331" t="str">
        <f>C115</f>
        <v>总价（元）</v>
      </c>
      <c r="I111" s="1862">
        <f>IF(F111="——","——",I103-I106)</f>
        <v>0</v>
      </c>
    </row>
    <row r="112" spans="1:35" ht="15">
      <c r="A112" s="2875" t="s">
        <v>1945</v>
      </c>
      <c r="B112" s="2876"/>
      <c r="C112" s="2294" t="str">
        <f>C111</f>
        <v>总额（元）</v>
      </c>
      <c r="D112" s="637">
        <f>IF(D37="同一抵押权人同一抵押物续贷",C37&amp;"（未扣减，详见特别提示）",C37)</f>
        <v>0</v>
      </c>
      <c r="E112" s="2195"/>
      <c r="F112" s="2857"/>
      <c r="G112" s="2858"/>
      <c r="H112" s="2291" t="s">
        <v>1939</v>
      </c>
      <c r="I112" s="2297" t="e">
        <f>D116</f>
        <v>#DIV/0!</v>
      </c>
    </row>
    <row r="113" spans="1:26" ht="15.75">
      <c r="A113" s="2875" t="s">
        <v>1946</v>
      </c>
      <c r="B113" s="2876"/>
      <c r="C113" s="2294" t="str">
        <f>C111</f>
        <v>总额（元）</v>
      </c>
      <c r="D113" s="637">
        <f>C38</f>
        <v>0</v>
      </c>
      <c r="E113" s="2195"/>
      <c r="F113" s="2855" t="str">
        <f>IF(项目基本情况!F5="已注销及未注销","4.抵押担保权已注销时的房地产抵押价值",IF(项目基本情况!F5="已注销","3.抵押担保权已注销时的房地产抵押价值","——"))</f>
        <v>——</v>
      </c>
      <c r="G113" s="2856"/>
      <c r="H113" s="2331" t="str">
        <f>C117</f>
        <v>总价（元）</v>
      </c>
      <c r="I113" s="1862" t="str">
        <f>IF(F113="——","——",I103-I108-I109)</f>
        <v>——</v>
      </c>
    </row>
    <row r="114" spans="1:26" ht="15">
      <c r="A114" s="2875" t="s">
        <v>1948</v>
      </c>
      <c r="B114" s="2876"/>
      <c r="C114" s="2294" t="str">
        <f>C111</f>
        <v>总额（元）</v>
      </c>
      <c r="D114" s="637">
        <f>C39</f>
        <v>0</v>
      </c>
      <c r="E114" s="2195"/>
      <c r="F114" s="2857"/>
      <c r="G114" s="2858"/>
      <c r="H114" s="2291" t="s">
        <v>1939</v>
      </c>
      <c r="I114" s="1050" t="str">
        <f>D118</f>
        <v>——</v>
      </c>
    </row>
    <row r="115" spans="1:26" ht="15.75">
      <c r="A115" s="2914" t="str">
        <f>IF(项目基本情况!F5="已注销","——","3.房地产抵押价值")</f>
        <v>3.房地产抵押价值</v>
      </c>
      <c r="B115" s="2915"/>
      <c r="C115" s="2291" t="str">
        <f>B102</f>
        <v>总价（元）</v>
      </c>
      <c r="D115" s="1051">
        <f>IF(A115="——","——",D109-D111)</f>
        <v>0</v>
      </c>
      <c r="E115" s="2195"/>
      <c r="F115" s="2855" t="str">
        <f>IF(项目基本情况!G5="抵押净值",IF(OR(项目基本情况!F5="已注销",项目基本情况!F5="房地产抵押价值"),"4.抵押净值","5.抵押净值"),"——")</f>
        <v>——</v>
      </c>
      <c r="G115" s="2856"/>
      <c r="H115" s="2291" t="str">
        <f>C119</f>
        <v>总价（元）</v>
      </c>
      <c r="I115" s="1862" t="str">
        <f>IF(F115="——","——",N60)</f>
        <v>——</v>
      </c>
    </row>
    <row r="116" spans="1:26" ht="15.75" thickBot="1">
      <c r="A116" s="2914"/>
      <c r="B116" s="2915"/>
      <c r="C116" s="2291" t="s">
        <v>2001</v>
      </c>
      <c r="D116" s="1052" t="e">
        <f>ROUND(IF(D115=D109,D110,IF(H19="元",D115/B124,D115*10000/B124)),0)</f>
        <v>#DIV/0!</v>
      </c>
      <c r="E116" s="2195"/>
      <c r="F116" s="2948"/>
      <c r="G116" s="2949"/>
      <c r="H116" s="2299" t="s">
        <v>2001</v>
      </c>
      <c r="I116" s="1864" t="str">
        <f>D120</f>
        <v>——</v>
      </c>
    </row>
    <row r="117" spans="1:26" ht="15.75">
      <c r="A117" s="2914" t="str">
        <f>IF(项目基本情况!F5="已注销及未注销","4.抵押担保权已注销时的房地产抵押价值",IF(项目基本情况!F5="已注销","3.抵押担保权已注销时的房地产抵押价值","——"))</f>
        <v>——</v>
      </c>
      <c r="B117" s="2915"/>
      <c r="C117" s="2291" t="str">
        <f>B102</f>
        <v>总价（元）</v>
      </c>
      <c r="D117" s="1051" t="str">
        <f>IF(A117="——","——",D109-D113-D114)</f>
        <v>——</v>
      </c>
      <c r="E117" s="2195"/>
      <c r="F117" s="2851"/>
      <c r="G117" s="2851"/>
      <c r="H117" s="2893"/>
      <c r="I117" s="2893"/>
      <c r="N117" s="55"/>
      <c r="O117" s="55"/>
    </row>
    <row r="118" spans="1:26" s="1845" customFormat="1" ht="15">
      <c r="A118" s="2914"/>
      <c r="B118" s="2915"/>
      <c r="C118" s="2291" t="s">
        <v>2001</v>
      </c>
      <c r="D118" s="1052" t="str">
        <f>IF(A117="——","——",IF(H19="元",ROUND(D117/B124,0),ROUND(D117*10000/B124,0)))</f>
        <v>——</v>
      </c>
      <c r="E118" s="2195"/>
      <c r="F118" s="2976" t="str">
        <f>IF(B32="总价","（以上估价结果中楼面单价为总价除以建筑面积得出）","（以上估价结果中总价为楼面单价乘以建筑面积得出）")</f>
        <v>（以上估价结果中总价为楼面单价乘以建筑面积得出）</v>
      </c>
      <c r="G118" s="2976"/>
      <c r="H118" s="2976"/>
      <c r="I118" s="2976"/>
      <c r="J118" s="798"/>
      <c r="K118" s="798"/>
      <c r="L118" s="798"/>
      <c r="M118" s="798"/>
      <c r="N118" s="55"/>
      <c r="O118" s="55"/>
      <c r="P118" s="798"/>
      <c r="Q118" s="798"/>
      <c r="R118" s="798"/>
      <c r="S118" s="798"/>
      <c r="T118" s="798"/>
      <c r="U118" s="798"/>
      <c r="V118" s="798"/>
      <c r="W118" s="798"/>
      <c r="X118" s="798"/>
      <c r="Y118" s="798"/>
      <c r="Z118" s="798"/>
    </row>
    <row r="119" spans="1:26" s="1845" customFormat="1" ht="15">
      <c r="A119" s="2914" t="str">
        <f>IF(项目基本情况!G5="抵押净值",IF(OR(项目基本情况!F5="已注销",项目基本情况!F5="房地产抵押价值"),"4.抵押净值","5.抵押净值"),"——")</f>
        <v>——</v>
      </c>
      <c r="B119" s="2915"/>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55"/>
      <c r="B120" s="2956"/>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894" t="s">
        <v>2002</v>
      </c>
      <c r="B121" s="2895"/>
      <c r="C121" s="2895"/>
      <c r="D121" s="2895"/>
      <c r="E121" s="2895"/>
      <c r="F121" s="2895"/>
      <c r="G121" s="2895"/>
      <c r="H121" s="2895"/>
      <c r="I121" s="2895"/>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66" t="s">
        <v>1950</v>
      </c>
      <c r="B122" s="2864" t="s">
        <v>2003</v>
      </c>
      <c r="C122" s="2864" t="s">
        <v>2004</v>
      </c>
      <c r="D122" s="2871" t="s">
        <v>1953</v>
      </c>
      <c r="E122" s="2872"/>
      <c r="F122" s="2862" t="s">
        <v>2005</v>
      </c>
      <c r="G122" s="2862"/>
      <c r="H122" s="2862" t="s">
        <v>1954</v>
      </c>
      <c r="I122" s="2863"/>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66"/>
      <c r="B123" s="2865"/>
      <c r="C123" s="2865"/>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66" t="s">
        <v>1958</v>
      </c>
      <c r="B125" s="2862"/>
      <c r="C125" s="2862"/>
      <c r="D125" s="2898" t="str">
        <f>IF(H19="元",NUMBERSTRING(INT(D124),2)&amp;"元整",NUMBERSTRING(INT(D124*10000),2)&amp;"元整")</f>
        <v>零元整</v>
      </c>
      <c r="E125" s="2899"/>
      <c r="F125" s="2898" t="str">
        <f>IF(H19="元",NUMBERSTRING(INT(F124),2)&amp;"元整",NUMBERSTRING(INT(F124*10000),2)&amp;"元整")</f>
        <v>零元整</v>
      </c>
      <c r="G125" s="2899"/>
      <c r="H125" s="2898" t="str">
        <f>IF(H19="元",NUMBERSTRING(INT(H124),2)&amp;"元整",NUMBERSTRING(INT(H124*10000),2)&amp;"元整")</f>
        <v>零元整</v>
      </c>
      <c r="I125" s="2963"/>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00" t="str">
        <f>IF(项目基本情况!D5="房地产市场价值","——",MID(A111,3,LEN(A111)-2))</f>
        <v>估价师所知悉的法定优先受偿款</v>
      </c>
      <c r="B126" s="2901"/>
      <c r="C126" s="2902"/>
      <c r="D126" s="2891">
        <f>I106</f>
        <v>0</v>
      </c>
      <c r="E126" s="2901"/>
      <c r="F126" s="2901"/>
      <c r="G126" s="2901"/>
      <c r="H126" s="2901"/>
      <c r="I126" s="2950"/>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3" t="s">
        <v>1958</v>
      </c>
      <c r="B127" s="2904"/>
      <c r="C127" s="2905"/>
      <c r="D127" s="2951">
        <f>H110</f>
        <v>0</v>
      </c>
      <c r="E127" s="2952"/>
      <c r="F127" s="2952"/>
      <c r="G127" s="2952"/>
      <c r="H127" s="2952"/>
      <c r="I127" s="2953"/>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89" t="str">
        <f>IF(项目基本情况!D5="房地产市场价值","——",MID(A115,3,LEN(A115)-2))</f>
        <v>房地产抵押价值</v>
      </c>
      <c r="B128" s="2890"/>
      <c r="C128" s="2890"/>
      <c r="D128" s="2891">
        <f>I111</f>
        <v>0</v>
      </c>
      <c r="E128" s="2901"/>
      <c r="F128" s="2901"/>
      <c r="G128" s="2901"/>
      <c r="H128" s="2901"/>
      <c r="I128" s="2950"/>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66" t="s">
        <v>1958</v>
      </c>
      <c r="B129" s="2862"/>
      <c r="C129" s="2862"/>
      <c r="D129" s="2951" t="e">
        <f>I112</f>
        <v>#DIV/0!</v>
      </c>
      <c r="E129" s="2952"/>
      <c r="F129" s="2952"/>
      <c r="G129" s="2952"/>
      <c r="H129" s="2952"/>
      <c r="I129" s="2953"/>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89" t="str">
        <f>IF(项目基本情况!D5="房地产市场价值","——",MID(A117,3,LEN(A117)-2))</f>
        <v/>
      </c>
      <c r="B130" s="2890"/>
      <c r="C130" s="2890"/>
      <c r="D130" s="2846" t="str">
        <f>I113</f>
        <v>——</v>
      </c>
      <c r="E130" s="2847"/>
      <c r="F130" s="2847"/>
      <c r="G130" s="2847"/>
      <c r="H130" s="2847"/>
      <c r="I130" s="2848"/>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66" t="s">
        <v>1958</v>
      </c>
      <c r="B131" s="2862"/>
      <c r="C131" s="2946"/>
      <c r="D131" s="2892" t="str">
        <f>I114</f>
        <v>——</v>
      </c>
      <c r="E131" s="2892"/>
      <c r="F131" s="2892"/>
      <c r="G131" s="2892"/>
      <c r="H131" s="2892"/>
      <c r="I131" s="2892"/>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89" t="str">
        <f>IF(项目基本情况!D5="房地产市场价值","——",MID(F115,3,LEN(F115)-2))</f>
        <v/>
      </c>
      <c r="B132" s="2890"/>
      <c r="C132" s="2891"/>
      <c r="D132" s="2954" t="str">
        <f>I115</f>
        <v>——</v>
      </c>
      <c r="E132" s="2954"/>
      <c r="F132" s="2954"/>
      <c r="G132" s="2954"/>
      <c r="H132" s="2954"/>
      <c r="I132" s="2954"/>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59" t="s">
        <v>1958</v>
      </c>
      <c r="B133" s="2960"/>
      <c r="C133" s="2960"/>
      <c r="D133" s="2964">
        <f>H117</f>
        <v>0</v>
      </c>
      <c r="E133" s="2965"/>
      <c r="F133" s="2965"/>
      <c r="G133" s="2965"/>
      <c r="H133" s="2965"/>
      <c r="I133" s="2966"/>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44" t="str">
        <f>IF(B32="总价","（以上估价结果中楼面单价为总价除以建筑面积得出）","（以上估价结果中总价为楼面单价乘以建筑面积得出）")</f>
        <v>（以上估价结果中总价为楼面单价乘以建筑面积得出）</v>
      </c>
      <c r="B135" s="2944"/>
      <c r="C135" s="2944"/>
      <c r="D135" s="2944"/>
      <c r="E135" s="2944"/>
      <c r="F135" s="2944"/>
      <c r="G135" s="2944"/>
      <c r="H135" s="2944"/>
      <c r="I135" s="2944"/>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1585119</v>
      </c>
      <c r="C2" s="163" t="str">
        <f>'数据-取费表'!B3</f>
        <v>元</v>
      </c>
      <c r="D2" s="2333" t="s">
        <v>1254</v>
      </c>
      <c r="E2" s="1546" t="e">
        <f ca="1">SUMIF(INDIRECT("'"&amp;G2&amp;"'"&amp;"!A:A"),"承租人权益价值",INDIRECT("'"&amp;G2&amp;"'"&amp;"!c:c"))</f>
        <v>#REF!</v>
      </c>
      <c r="F2" s="2334" t="str">
        <f>C2</f>
        <v>元</v>
      </c>
      <c r="G2" s="1906"/>
    </row>
    <row r="3" spans="1:7" s="164" customFormat="1" ht="18" customHeight="1" thickBot="1">
      <c r="A3" s="167" t="s">
        <v>2008</v>
      </c>
      <c r="B3" s="168">
        <f ca="1">ROUND(C52/IF(B1="仅计算典型户型",'数据-取费表'!E5,'数据-取费表'!B5),0)</f>
        <v>26097</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5"/>
    </row>
    <row r="9" spans="1:7" s="175" customFormat="1" ht="13.5" customHeight="1">
      <c r="A9" s="1304" t="s">
        <v>953</v>
      </c>
      <c r="B9" s="181" t="s">
        <v>2022</v>
      </c>
      <c r="C9" s="1537">
        <f>ROUND(D9*E9,0)</f>
        <v>0</v>
      </c>
      <c r="D9" s="1538">
        <f>IF('数据-取费表'!B10="住宅",IF(B1="仅计算典型户型",'数据-取费表'!E5,'数据-取费表'!B5),0)</f>
        <v>60.74</v>
      </c>
      <c r="E9" s="1537">
        <f>'数据-取费表'!E11</f>
        <v>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0</v>
      </c>
      <c r="D19" s="1541">
        <f>IF(B1="仅计算典型户型",'数据-取费表'!E5,'数据-取费表'!B5)</f>
        <v>60.74</v>
      </c>
      <c r="E19" s="195">
        <f>'数据-取费表'!E15</f>
        <v>0</v>
      </c>
      <c r="F19" s="196"/>
      <c r="G19" s="2335"/>
    </row>
    <row r="20" spans="1:7" s="175" customFormat="1" ht="13.5" customHeight="1">
      <c r="A20" s="204" t="s">
        <v>2035</v>
      </c>
      <c r="B20" s="173" t="s">
        <v>2036</v>
      </c>
      <c r="C20" s="183">
        <f>ROUND((C5+C19)*F20,0)</f>
        <v>20610</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45275</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44827</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448</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C28</f>
        <v>262778</v>
      </c>
      <c r="D27" s="185">
        <f>C29</f>
        <v>5.0000000000000001E-3</v>
      </c>
      <c r="E27" s="186" t="s">
        <v>2040</v>
      </c>
      <c r="F27" s="196">
        <f>'数据-取费表'!E28</f>
        <v>0.25</v>
      </c>
      <c r="G27" s="197" t="s">
        <v>2055</v>
      </c>
    </row>
    <row r="28" spans="1:7" s="175" customFormat="1" ht="13.5" customHeight="1">
      <c r="A28" s="176" t="s">
        <v>2044</v>
      </c>
      <c r="B28" s="198" t="s">
        <v>2056</v>
      </c>
      <c r="C28" s="199">
        <f>ROUND((C5+C19+C20)*F27*'数据-取费表'!B22/'数据-取费表'!B21,0)</f>
        <v>262778</v>
      </c>
      <c r="D28" s="185"/>
      <c r="E28" s="186"/>
      <c r="F28" s="196"/>
      <c r="G28" s="197"/>
    </row>
    <row r="29" spans="1:7" s="175" customFormat="1" ht="13.5" customHeight="1">
      <c r="A29" s="176" t="s">
        <v>2018</v>
      </c>
      <c r="B29" s="198" t="s">
        <v>2057</v>
      </c>
      <c r="C29" s="188">
        <f>ROUND(C21*F27*'数据-取费表'!B22/'数据-取费表'!B21,4)</f>
        <v>5.0000000000000001E-3</v>
      </c>
      <c r="D29" s="185"/>
      <c r="E29" s="186"/>
      <c r="F29" s="196"/>
      <c r="G29" s="197"/>
    </row>
    <row r="30" spans="1:7" s="175" customFormat="1" ht="13.5" customHeight="1">
      <c r="A30" s="1305"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1473827</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131867</v>
      </c>
      <c r="D33" s="183"/>
      <c r="E33" s="1532"/>
      <c r="F33" s="191"/>
      <c r="G33" s="184"/>
    </row>
    <row r="34" spans="1:7" s="206" customFormat="1" ht="13.5" customHeight="1">
      <c r="A34" s="176" t="s">
        <v>2044</v>
      </c>
      <c r="B34" s="177" t="s">
        <v>2066</v>
      </c>
      <c r="C34" s="199">
        <f>IF(B1="仅计算典型户型",'数据-取费表'!F18,'数据-取费表'!E18)</f>
        <v>109332</v>
      </c>
      <c r="D34" s="1533"/>
      <c r="E34" s="199"/>
      <c r="F34" s="1544" t="str">
        <f>IF('数据-取费表'!B25=0,"",'数据-取费表'!E20)</f>
        <v/>
      </c>
      <c r="G34" s="179"/>
    </row>
    <row r="35" spans="1:7" ht="13.5" customHeight="1">
      <c r="A35" s="176" t="s">
        <v>2018</v>
      </c>
      <c r="B35" s="177" t="s">
        <v>2067</v>
      </c>
      <c r="C35" s="199">
        <f>ROUND(C34*F35,0)</f>
        <v>3280</v>
      </c>
      <c r="D35" s="199"/>
      <c r="E35" s="199"/>
      <c r="F35" s="1545">
        <f>'数据-取费表'!E21</f>
        <v>0.03</v>
      </c>
      <c r="G35" s="179" t="s">
        <v>2068</v>
      </c>
    </row>
    <row r="36" spans="1:7" ht="24">
      <c r="A36" s="176" t="s">
        <v>2020</v>
      </c>
      <c r="B36" s="177" t="s">
        <v>2069</v>
      </c>
      <c r="C36" s="199">
        <f>ROUND(IF('数据-取费表'!B10="住宅",C34*F36,0),0)</f>
        <v>5467</v>
      </c>
      <c r="D36" s="199"/>
      <c r="E36" s="199"/>
      <c r="F36" s="1545">
        <f>'数据-取费表'!E22</f>
        <v>0.05</v>
      </c>
      <c r="G36" s="207" t="s">
        <v>2070</v>
      </c>
    </row>
    <row r="37" spans="1:7" s="206" customFormat="1" ht="13.5" customHeight="1">
      <c r="A37" s="176" t="s">
        <v>2051</v>
      </c>
      <c r="B37" s="177" t="s">
        <v>2071</v>
      </c>
      <c r="C37" s="199">
        <f>ROUND(E37*D37,0)</f>
        <v>12148</v>
      </c>
      <c r="D37" s="1533">
        <f>IF(B1="仅计算典型户型",'数据-取费表'!E5,'数据-取费表'!B5)</f>
        <v>60.74</v>
      </c>
      <c r="E37" s="199">
        <f>'数据-取费表'!E23</f>
        <v>200</v>
      </c>
      <c r="F37" s="1545"/>
      <c r="G37" s="208" t="s">
        <v>2072</v>
      </c>
    </row>
    <row r="38" spans="1:7" ht="13.5" customHeight="1">
      <c r="A38" s="176" t="s">
        <v>2073</v>
      </c>
      <c r="B38" s="177" t="s">
        <v>2074</v>
      </c>
      <c r="C38" s="199">
        <f>ROUND(C34*F38,0)</f>
        <v>1640</v>
      </c>
      <c r="D38" s="199"/>
      <c r="E38" s="199"/>
      <c r="F38" s="1545">
        <f>'数据-取费表'!E24</f>
        <v>1.4999999999999999E-2</v>
      </c>
      <c r="G38" s="179" t="s">
        <v>2068</v>
      </c>
    </row>
    <row r="39" spans="1:7" s="175" customFormat="1" ht="13.5" customHeight="1">
      <c r="A39" s="204" t="s">
        <v>2033</v>
      </c>
      <c r="B39" s="173" t="s">
        <v>2036</v>
      </c>
      <c r="C39" s="183">
        <f>ROUND(C33*F20,0)</f>
        <v>2637</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2925</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2868</v>
      </c>
      <c r="D42" s="188"/>
      <c r="E42" s="188"/>
      <c r="F42" s="189"/>
      <c r="G42" s="2979" t="s">
        <v>2078</v>
      </c>
    </row>
    <row r="43" spans="1:7" ht="13.5" customHeight="1">
      <c r="A43" s="176" t="s">
        <v>2018</v>
      </c>
      <c r="B43" s="177" t="s">
        <v>2047</v>
      </c>
      <c r="C43" s="188">
        <f ca="1">ROUND(IF('数据-取费表'!B23&lt;=1,C39*F22*'数据-取费表'!B22/2,C39*(POWER((1+F22),'数据-取费表'!B22/2)-1)),0)</f>
        <v>57</v>
      </c>
      <c r="D43" s="188"/>
      <c r="E43" s="188"/>
      <c r="F43" s="189"/>
      <c r="G43" s="2980"/>
    </row>
    <row r="44" spans="1:7" ht="13.5" customHeight="1">
      <c r="A44" s="176" t="s">
        <v>2020</v>
      </c>
      <c r="B44" s="177" t="s">
        <v>2049</v>
      </c>
      <c r="C44" s="188">
        <f ca="1">ROUND(IF('数据-取费表'!B23&lt;=1,C40*F22*'数据-取费表'!B22/2,C40*(POWER((1+F22),'数据-取费表'!B22/2)-1)),4)</f>
        <v>4.0000000000000002E-4</v>
      </c>
      <c r="D44" s="188"/>
      <c r="E44" s="188"/>
      <c r="F44" s="189"/>
      <c r="G44" s="2981"/>
    </row>
    <row r="45" spans="1:7" s="175" customFormat="1" ht="13.5" customHeight="1">
      <c r="A45" s="204" t="s">
        <v>2042</v>
      </c>
      <c r="B45" s="194" t="s">
        <v>2054</v>
      </c>
      <c r="C45" s="195">
        <f>C46</f>
        <v>33626</v>
      </c>
      <c r="D45" s="185">
        <f>C47</f>
        <v>5.0000000000000001E-3</v>
      </c>
      <c r="E45" s="186" t="s">
        <v>2076</v>
      </c>
      <c r="F45" s="196"/>
      <c r="G45" s="197" t="s">
        <v>2079</v>
      </c>
    </row>
    <row r="46" spans="1:7" s="175" customFormat="1" ht="13.5" customHeight="1">
      <c r="A46" s="176" t="s">
        <v>2044</v>
      </c>
      <c r="B46" s="198" t="s">
        <v>2080</v>
      </c>
      <c r="C46" s="199">
        <f>ROUND((C33+C39)*F27,0)</f>
        <v>33626</v>
      </c>
      <c r="D46" s="209"/>
      <c r="E46" s="186"/>
      <c r="F46" s="196"/>
      <c r="G46" s="197"/>
    </row>
    <row r="47" spans="1:7" s="175" customFormat="1" ht="13.5" customHeight="1">
      <c r="A47" s="176" t="s">
        <v>2018</v>
      </c>
      <c r="B47" s="198" t="s">
        <v>2081</v>
      </c>
      <c r="C47" s="188">
        <f>ROUND(C40*F27,4)</f>
        <v>5.0000000000000001E-3</v>
      </c>
      <c r="D47" s="209"/>
      <c r="E47" s="186"/>
      <c r="F47" s="196"/>
      <c r="G47" s="197"/>
    </row>
    <row r="48" spans="1:7" s="175" customFormat="1" ht="13.5" customHeight="1">
      <c r="A48" s="1305" t="s">
        <v>2053</v>
      </c>
      <c r="B48" s="173" t="s">
        <v>2082</v>
      </c>
      <c r="C48" s="1819">
        <f>ROUND(F30/(1+'数据-取费表'!F30),4)</f>
        <v>5.2400000000000002E-2</v>
      </c>
      <c r="D48" s="186" t="s">
        <v>2076</v>
      </c>
      <c r="E48" s="183"/>
      <c r="F48" s="187"/>
      <c r="G48" s="184" t="s">
        <v>2083</v>
      </c>
    </row>
    <row r="49" spans="1:7" ht="16.5" customHeight="1">
      <c r="A49" s="1305" t="s">
        <v>2084</v>
      </c>
      <c r="B49" s="173" t="s">
        <v>2085</v>
      </c>
      <c r="C49" s="183">
        <f ca="1">ROUND((C33+C39+C41+C45)/(1-C40-D41-D45-C48),0)</f>
        <v>185486</v>
      </c>
      <c r="D49" s="183"/>
      <c r="E49" s="183"/>
      <c r="F49" s="210"/>
      <c r="G49" s="184" t="s">
        <v>2086</v>
      </c>
    </row>
    <row r="50" spans="1:7" s="206" customFormat="1" ht="24">
      <c r="A50" s="1305" t="s">
        <v>2087</v>
      </c>
      <c r="B50" s="173" t="s">
        <v>2088</v>
      </c>
      <c r="C50" s="183"/>
      <c r="D50" s="183"/>
      <c r="E50" s="183"/>
      <c r="F50" s="210">
        <f>IF('数据-取费表'!B25=0,'数据-取费表'!E20,1)</f>
        <v>0.6</v>
      </c>
      <c r="G50" s="197" t="s">
        <v>2089</v>
      </c>
    </row>
    <row r="51" spans="1:7" ht="16.5" customHeight="1">
      <c r="A51" s="1305" t="s">
        <v>2090</v>
      </c>
      <c r="B51" s="173" t="s">
        <v>2091</v>
      </c>
      <c r="C51" s="183">
        <f ca="1">ROUND(C49*F50,0)</f>
        <v>111292</v>
      </c>
      <c r="D51" s="183"/>
      <c r="E51" s="183"/>
      <c r="F51" s="210"/>
      <c r="G51" s="184" t="s">
        <v>2092</v>
      </c>
    </row>
    <row r="52" spans="1:7" s="172" customFormat="1" ht="16.5" thickBot="1">
      <c r="A52" s="211" t="s">
        <v>2093</v>
      </c>
      <c r="B52" s="212"/>
      <c r="C52" s="213">
        <f ca="1">C31+C51</f>
        <v>1585119</v>
      </c>
      <c r="D52" s="212"/>
      <c r="E52" s="212"/>
      <c r="F52" s="212"/>
      <c r="G52" s="214"/>
    </row>
    <row r="55" spans="1:7" ht="15">
      <c r="B55" s="216" t="s">
        <v>2094</v>
      </c>
      <c r="C55" s="217"/>
    </row>
    <row r="56" spans="1:7">
      <c r="B56" s="219" t="s">
        <v>2095</v>
      </c>
      <c r="C56" s="220">
        <f ca="1">ROUND(C51/C52,3)</f>
        <v>7.0000000000000007E-2</v>
      </c>
    </row>
    <row r="57" spans="1:7">
      <c r="B57" s="219" t="s">
        <v>2096</v>
      </c>
      <c r="C57" s="221">
        <f ca="1">1-C56</f>
        <v>0.92999999999999994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0</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1321</v>
      </c>
      <c r="C11" s="247">
        <f>IF(C1="仅计算典型户型",'数据-取费表'!F18,'数据-取费表'!E18)</f>
        <v>0</v>
      </c>
      <c r="D11" s="248"/>
      <c r="E11" s="70"/>
      <c r="F11" s="249">
        <f>1-'数据-取费表'!E20</f>
        <v>0.4</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4.3499999999999997E-2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7" t="s">
        <v>1358</v>
      </c>
      <c r="B29" s="286" t="s">
        <v>1359</v>
      </c>
      <c r="C29" s="277">
        <f>ROUND((1+C24)*F28,4)</f>
        <v>0.25729999999999997</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5.5000000000000007E-2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35" zoomScale="90" zoomScaleNormal="90" zoomScaleSheetLayoutView="100" workbookViewId="0">
      <selection activeCell="B12" sqref="B1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6" t="s">
        <v>2828</v>
      </c>
      <c r="E1" s="2707" t="s">
        <v>1254</v>
      </c>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578227</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9520</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21627</v>
      </c>
      <c r="D5" s="2337" t="s">
        <v>2106</v>
      </c>
      <c r="E5" s="1214"/>
      <c r="F5" s="1383"/>
      <c r="G5" s="1238"/>
      <c r="H5" s="316">
        <v>1</v>
      </c>
      <c r="I5" s="317" t="s">
        <v>2105</v>
      </c>
      <c r="J5" s="318">
        <f ca="1">J6+J10+J12</f>
        <v>0</v>
      </c>
      <c r="K5" s="2337" t="s">
        <v>2106</v>
      </c>
      <c r="L5" s="1214"/>
      <c r="M5" s="1383"/>
    </row>
    <row r="6" spans="1:37" ht="18" customHeight="1">
      <c r="A6" s="1384" t="s">
        <v>2107</v>
      </c>
      <c r="B6" s="2025" t="s">
        <v>2108</v>
      </c>
      <c r="C6" s="318">
        <f>ROUND(F6*F8*F7*(1-F9),0)</f>
        <v>21600</v>
      </c>
      <c r="D6" s="80" t="s">
        <v>2804</v>
      </c>
      <c r="E6" s="319" t="s">
        <v>2109</v>
      </c>
      <c r="F6" s="320">
        <f>'数据-取费表'!B29</f>
        <v>2000</v>
      </c>
      <c r="G6" s="1238"/>
      <c r="H6" s="1384" t="s">
        <v>2107</v>
      </c>
      <c r="I6" s="2025" t="s">
        <v>2108</v>
      </c>
      <c r="J6" s="318">
        <f>ROUND(M6*M8*M7*(1-M9),0)</f>
        <v>0</v>
      </c>
      <c r="K6" s="80" t="s">
        <v>2804</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0.1</v>
      </c>
      <c r="G9" s="1238"/>
      <c r="H9" s="321"/>
      <c r="I9" s="322"/>
      <c r="J9" s="1386"/>
      <c r="K9" s="95"/>
      <c r="L9" s="330" t="s">
        <v>2113</v>
      </c>
      <c r="M9" s="329">
        <f>'数据-取费表'!B38</f>
        <v>0</v>
      </c>
    </row>
    <row r="10" spans="1:37" ht="18" customHeight="1">
      <c r="A10" s="1384" t="s">
        <v>2114</v>
      </c>
      <c r="B10" s="2338" t="s">
        <v>2115</v>
      </c>
      <c r="C10" s="1385">
        <f ca="1">ROUND(IF(F10="押一",C6/12*F11,IF(F10="押二",C6/12*2*F11,IF(F10="押三",C6/12*3*F11,C11*F11))),0)</f>
        <v>27</v>
      </c>
      <c r="D10" s="2339" t="s">
        <v>2812</v>
      </c>
      <c r="E10" s="330" t="s">
        <v>2116</v>
      </c>
      <c r="F10" s="2340" t="s">
        <v>2117</v>
      </c>
      <c r="G10" s="1238"/>
      <c r="H10" s="1384" t="s">
        <v>2114</v>
      </c>
      <c r="I10" s="2338" t="s">
        <v>2115</v>
      </c>
      <c r="J10" s="1385">
        <f ca="1">ROUND(IF(M10="押一",J6/12*M11,IF(M10="押二",J6/12*2*M11,IF(M10="押三",J6/12*3*M11,J11*M11))),0)</f>
        <v>0</v>
      </c>
      <c r="K10" s="80" t="s">
        <v>2812</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111292</v>
      </c>
      <c r="D13" s="1422" t="s">
        <v>2124</v>
      </c>
      <c r="E13" s="1422" t="s">
        <v>2125</v>
      </c>
      <c r="F13" s="1423">
        <f>'数据-取费表'!E20</f>
        <v>0.6</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109332</v>
      </c>
      <c r="D14" s="1888" t="s">
        <v>2128</v>
      </c>
      <c r="E14" s="1889"/>
      <c r="F14" s="979"/>
      <c r="G14" s="1239"/>
      <c r="H14" s="337" t="s">
        <v>2107</v>
      </c>
      <c r="I14" s="319" t="s">
        <v>2129</v>
      </c>
      <c r="J14" s="14">
        <f ca="1">C29</f>
        <v>185486</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3280</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5467</v>
      </c>
      <c r="D16" s="319" t="s">
        <v>2132</v>
      </c>
      <c r="E16" s="319" t="s">
        <v>2133</v>
      </c>
      <c r="F16" s="342">
        <f>IF('数据-取费表'!B10="住宅",'数据-取费表'!E22,0)</f>
        <v>0.05</v>
      </c>
      <c r="G16" s="1239"/>
      <c r="H16" s="1420" t="s">
        <v>14</v>
      </c>
      <c r="I16" s="1421" t="s">
        <v>2138</v>
      </c>
      <c r="J16" s="327">
        <f ca="1">ROUND(J17+J22+J23+J24,0)</f>
        <v>1855</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12148</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1640</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5.5000000000000007E-2</v>
      </c>
    </row>
    <row r="19" spans="1:37" s="341" customFormat="1" ht="18" customHeight="1">
      <c r="A19" s="337" t="s">
        <v>2144</v>
      </c>
      <c r="B19" s="319" t="s">
        <v>2153</v>
      </c>
      <c r="C19" s="14">
        <f>SUM(C14:C18)</f>
        <v>131867</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2637</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1855</v>
      </c>
      <c r="K22" s="1893"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2925</v>
      </c>
      <c r="D23" s="2008"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-1855</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33626</v>
      </c>
      <c r="D26" s="344" t="s">
        <v>2187</v>
      </c>
      <c r="E26" s="330" t="s">
        <v>2188</v>
      </c>
      <c r="F26" s="329">
        <f>'数据-取费表'!E28</f>
        <v>0.25</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5.0000000000000001E-3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185486</v>
      </c>
      <c r="D29" s="1433"/>
      <c r="E29" s="1431"/>
      <c r="F29" s="1434"/>
      <c r="G29" s="791"/>
      <c r="H29" s="356" t="s">
        <v>24</v>
      </c>
      <c r="I29" s="357" t="s">
        <v>2203</v>
      </c>
      <c r="J29" s="358">
        <f ca="1">ROUND(J26/(1+F40)^F41,0)</f>
        <v>0</v>
      </c>
      <c r="K29" s="359" t="s">
        <v>2204</v>
      </c>
      <c r="L29" s="360"/>
      <c r="M29" s="361">
        <f>IF(D1="仅计算典型户型",'数据-取费表'!E5,'数据-取费表'!B5)</f>
        <v>60.74</v>
      </c>
    </row>
    <row r="30" spans="1:37" ht="18" customHeight="1" thickTop="1">
      <c r="A30" s="1420" t="s">
        <v>14</v>
      </c>
      <c r="B30" s="1421" t="s">
        <v>2205</v>
      </c>
      <c r="C30" s="327">
        <f ca="1">ROUND(C31+C36+C37+C38,0)</f>
        <v>3263</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1081.4000000000001</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5.5000000000000007E-2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8903</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1855</v>
      </c>
      <c r="D36" s="1893"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111</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216</v>
      </c>
      <c r="D38" s="1433" t="s">
        <v>2180</v>
      </c>
      <c r="E38" s="1431" t="s">
        <v>2176</v>
      </c>
      <c r="F38" s="1426">
        <f>'数据-取费表'!B46</f>
        <v>0.01</v>
      </c>
      <c r="G38" s="791"/>
      <c r="H38" s="1230"/>
      <c r="I38" s="365" t="s">
        <v>2218</v>
      </c>
      <c r="J38" s="220">
        <f ca="1">ROUND(J34/C39,3)</f>
        <v>0.48499999999999999</v>
      </c>
      <c r="K38" s="1235"/>
      <c r="L38" s="1230"/>
      <c r="M38" s="1230"/>
    </row>
    <row r="39" spans="1:18" ht="18" customHeight="1" thickTop="1">
      <c r="A39" s="1420" t="s">
        <v>22</v>
      </c>
      <c r="B39" s="1435" t="s">
        <v>2219</v>
      </c>
      <c r="C39" s="327">
        <f ca="1">C5-C30</f>
        <v>18364</v>
      </c>
      <c r="D39" s="1436" t="s">
        <v>2220</v>
      </c>
      <c r="E39" s="1437"/>
      <c r="F39" s="1438"/>
      <c r="G39" s="791"/>
      <c r="H39" s="1230"/>
      <c r="I39" s="365" t="s">
        <v>2221</v>
      </c>
      <c r="J39" s="220">
        <f ca="1">1-J38</f>
        <v>0.51500000000000001</v>
      </c>
      <c r="K39" s="1235"/>
      <c r="L39" s="1230"/>
      <c r="M39" s="1230"/>
    </row>
    <row r="40" spans="1:18" s="791" customFormat="1" ht="18" customHeight="1">
      <c r="A40" s="316" t="s">
        <v>23</v>
      </c>
      <c r="B40" s="317" t="s">
        <v>2222</v>
      </c>
      <c r="C40" s="318">
        <f ca="1">ROUND(C39*(1-((1+F42)/(1+F40))^F41)/(F40-F42),0)</f>
        <v>578227</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2829</v>
      </c>
      <c r="F41" s="355">
        <f>IF('数据-取费表'!B28="租赁期内按合同租金",'数据-取费表'!B34,IF(E41="收益年期(n)",'数据-取费表'!B33,'数据-取费表'!B13))</f>
        <v>44</v>
      </c>
      <c r="H41" s="1237"/>
      <c r="I41" s="219" t="s">
        <v>2095</v>
      </c>
      <c r="J41" s="220">
        <f ca="1">ROUND(C13/C40,3)</f>
        <v>0.192</v>
      </c>
      <c r="K41" s="1234"/>
      <c r="L41" s="1237"/>
      <c r="M41" s="1237"/>
      <c r="Q41" s="795"/>
    </row>
    <row r="42" spans="1:18" s="791" customFormat="1" ht="18" customHeight="1">
      <c r="A42" s="325"/>
      <c r="B42" s="326"/>
      <c r="C42" s="327"/>
      <c r="D42" s="349"/>
      <c r="E42" s="319" t="s">
        <v>2200</v>
      </c>
      <c r="F42" s="329">
        <f>'数据-取费表'!B31</f>
        <v>2.5000000000000001E-2</v>
      </c>
      <c r="H42" s="1237"/>
      <c r="I42" s="219" t="s">
        <v>2096</v>
      </c>
      <c r="J42" s="221">
        <f ca="1">1-J41</f>
        <v>0.80800000000000005</v>
      </c>
      <c r="K42" s="1234"/>
      <c r="L42" s="1237"/>
      <c r="M42" s="1237"/>
      <c r="Q42" s="795"/>
    </row>
    <row r="43" spans="1:18" s="791" customFormat="1" ht="18" customHeight="1" thickBot="1">
      <c r="A43" s="356" t="s">
        <v>24</v>
      </c>
      <c r="B43" s="357" t="s">
        <v>2225</v>
      </c>
      <c r="C43" s="358">
        <f ca="1">ROUND(C40/F43,0)</f>
        <v>9520</v>
      </c>
      <c r="D43" s="359" t="s">
        <v>2226</v>
      </c>
      <c r="E43" s="360" t="s">
        <v>2227</v>
      </c>
      <c r="F43" s="361">
        <f>IF(D1="仅计算典型户型",'数据-取费表'!E5,'数据-取费表'!B5)</f>
        <v>60.74</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578227</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4" t="s">
        <v>2237</v>
      </c>
      <c r="C47" s="1303">
        <f ca="1">IF(C2="元",C69-C40,ROUND((C69-C40)/10000,0))</f>
        <v>-618626</v>
      </c>
      <c r="D47" s="2345" t="str">
        <f>C2</f>
        <v>元</v>
      </c>
      <c r="E47" s="776"/>
      <c r="F47" s="776"/>
      <c r="I47" s="2346" t="s">
        <v>2238</v>
      </c>
      <c r="J47" s="1343"/>
      <c r="K47" s="1344"/>
      <c r="L47" s="1357">
        <f>IF(M48="住宅",0,IF(L49&gt;J52,L61,J61))</f>
        <v>0</v>
      </c>
      <c r="O47" s="1371" t="s">
        <v>959</v>
      </c>
      <c r="P47" s="1368" t="s">
        <v>2239</v>
      </c>
      <c r="Q47" s="1369">
        <f ca="1">C29</f>
        <v>185486</v>
      </c>
      <c r="R47" s="1370" t="s">
        <v>2234</v>
      </c>
    </row>
    <row r="48" spans="1:18" s="791" customFormat="1" ht="15.75" thickBot="1">
      <c r="A48" s="312" t="s">
        <v>2240</v>
      </c>
      <c r="B48" s="313" t="s">
        <v>2241</v>
      </c>
      <c r="C48" s="313" t="s">
        <v>2242</v>
      </c>
      <c r="D48" s="313" t="s">
        <v>2243</v>
      </c>
      <c r="E48" s="1297" t="s">
        <v>2244</v>
      </c>
      <c r="F48" s="1298"/>
      <c r="I48" s="2347" t="s">
        <v>2245</v>
      </c>
      <c r="J48" s="2348"/>
      <c r="K48" s="2349"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50" t="s">
        <v>2249</v>
      </c>
      <c r="J49" s="2351"/>
      <c r="K49" s="2352" t="s">
        <v>2250</v>
      </c>
      <c r="L49" s="1128">
        <f>'数据-取费表'!B13</f>
        <v>44</v>
      </c>
      <c r="O49" s="1371" t="s">
        <v>961</v>
      </c>
      <c r="P49" s="1368" t="s">
        <v>2251</v>
      </c>
      <c r="Q49" s="1372">
        <f>J53</f>
        <v>0</v>
      </c>
      <c r="R49" s="1370"/>
    </row>
    <row r="50" spans="1:18" s="791" customFormat="1" ht="15.75" thickBot="1">
      <c r="A50" s="345" t="s">
        <v>2107</v>
      </c>
      <c r="B50" s="2025" t="s">
        <v>2252</v>
      </c>
      <c r="C50" s="318">
        <f>ROUND(F50*F52*F51*(1-F53),0)</f>
        <v>0</v>
      </c>
      <c r="D50" s="93" t="s">
        <v>2805</v>
      </c>
      <c r="E50" s="2353" t="s">
        <v>2253</v>
      </c>
      <c r="F50" s="1299"/>
      <c r="I50" s="2350" t="s">
        <v>2254</v>
      </c>
      <c r="J50" s="1128">
        <f>'数据-取费表'!B26</f>
        <v>1993</v>
      </c>
      <c r="K50" s="2354" t="s">
        <v>2255</v>
      </c>
      <c r="L50" s="1346"/>
      <c r="O50" s="1371" t="s">
        <v>962</v>
      </c>
      <c r="P50" s="1368" t="s">
        <v>2256</v>
      </c>
      <c r="Q50" s="1369">
        <f>J54</f>
        <v>44</v>
      </c>
      <c r="R50" s="1370" t="s">
        <v>2257</v>
      </c>
    </row>
    <row r="51" spans="1:18" s="791" customFormat="1" ht="15.75" thickBot="1">
      <c r="A51" s="321"/>
      <c r="B51" s="322"/>
      <c r="C51" s="323"/>
      <c r="D51" s="324"/>
      <c r="E51" s="339" t="s">
        <v>2110</v>
      </c>
      <c r="F51" s="1296">
        <f>F7</f>
        <v>1</v>
      </c>
      <c r="I51" s="2350" t="s">
        <v>2258</v>
      </c>
      <c r="J51" s="1347">
        <f>SUMPRODUCT((I64:I66=J48)*(J63:L63=J49)*(J64:L66))</f>
        <v>0</v>
      </c>
      <c r="K51" s="2354" t="s">
        <v>2259</v>
      </c>
      <c r="L51" s="1346"/>
      <c r="O51" s="1367" t="s">
        <v>963</v>
      </c>
      <c r="P51" s="1368" t="str">
        <f>IF(C2="元","收益价值(元)","收益价值(万元)")</f>
        <v>收益价值(元)</v>
      </c>
      <c r="Q51" s="1369">
        <f ca="1">ROUND(IF(C2="元",Q45+Q46,(Q45+Q46)/10000),0)</f>
        <v>578227</v>
      </c>
      <c r="R51" s="1370" t="s">
        <v>964</v>
      </c>
    </row>
    <row r="52" spans="1:18" s="791" customFormat="1" ht="16.5" thickBot="1">
      <c r="A52" s="321"/>
      <c r="B52" s="322"/>
      <c r="C52" s="323"/>
      <c r="D52" s="324"/>
      <c r="E52" s="319" t="s">
        <v>2112</v>
      </c>
      <c r="F52" s="320">
        <f>F8</f>
        <v>12</v>
      </c>
      <c r="I52" s="2355" t="s">
        <v>2260</v>
      </c>
      <c r="J52" s="1348">
        <f>IF(J50="",J51,J50+J51-YEAR('数据-取费表'!B2))</f>
        <v>-25</v>
      </c>
      <c r="K52" s="2356" t="s">
        <v>2261</v>
      </c>
      <c r="L52" s="1349">
        <f ca="1">ROUND(-PV('数据-取费表'!B15,L49,(C40-C13*J35)),0)</f>
        <v>11698941</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ROUND(IF(F54="押一",C50/12*F11,IF(F54="押二",C50/12*2*F11,IF(F54="押三",C50/12*3*F11,C55*F11))),0)</f>
        <v>0</v>
      </c>
      <c r="D54" s="2339" t="s">
        <v>2813</v>
      </c>
      <c r="E54" s="330" t="s">
        <v>2116</v>
      </c>
      <c r="F54" s="2340"/>
      <c r="I54" s="2733" t="s">
        <v>2817</v>
      </c>
      <c r="J54" s="1351">
        <f>IF(M48="住宅",IF(E1="——",MAX(J52,L49),IF(E1="在建（套用方法）",MAX(J52,L49-'数据-取费表'!B25),MAX(J52,L49-'数据-取费表'!B21))),IF(E1="——",MIN(J52,L49),IF(E1="在建（套用方法）",MIN(J52,L49-'数据-取费表'!B25),IF(E1="土地（套用方法）",MIN(J52,L49-'数据-取费表'!B21)))))</f>
        <v>44</v>
      </c>
      <c r="K54" s="2982" t="s">
        <v>2803</v>
      </c>
      <c r="L54" s="2983"/>
      <c r="O54" s="1367" t="s">
        <v>957</v>
      </c>
      <c r="P54" s="1368" t="s">
        <v>2233</v>
      </c>
      <c r="Q54" s="1369">
        <f ca="1">C40+J29</f>
        <v>578227</v>
      </c>
      <c r="R54" s="1370" t="s">
        <v>2234</v>
      </c>
    </row>
    <row r="55" spans="1:18" s="791" customFormat="1" ht="20.25" thickBot="1">
      <c r="A55" s="1384"/>
      <c r="B55" s="2358" t="s">
        <v>2120</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7" t="s">
        <v>958</v>
      </c>
      <c r="P55" s="1368" t="s">
        <v>2265</v>
      </c>
      <c r="Q55" s="1369">
        <f>L61</f>
        <v>0</v>
      </c>
      <c r="R55" s="1370" t="s">
        <v>2266</v>
      </c>
    </row>
    <row r="56" spans="1:18" s="791" customFormat="1" ht="20.25" thickBot="1">
      <c r="A56" s="1424" t="s">
        <v>2121</v>
      </c>
      <c r="B56" s="2342" t="s">
        <v>2122</v>
      </c>
      <c r="C56" s="1425"/>
      <c r="D56" s="1441"/>
      <c r="E56" s="2361"/>
      <c r="F56" s="1501"/>
      <c r="I56" s="2362" t="s">
        <v>2267</v>
      </c>
      <c r="J56" s="1871" t="e">
        <f>ROUND(IF(J48="钢混",J58/J51,1-(1-2%)*(J51-J58)/J51),3)</f>
        <v>#VALUE!</v>
      </c>
      <c r="K56" s="2363"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111292</v>
      </c>
      <c r="D57" s="1294"/>
      <c r="E57" s="1295"/>
      <c r="F57" s="1302"/>
      <c r="I57" s="2364" t="s">
        <v>2270</v>
      </c>
      <c r="J57" s="1355"/>
      <c r="K57" s="2350" t="s">
        <v>2271</v>
      </c>
      <c r="L57" s="1128">
        <f>IF(L49&lt;J52,"——",L49-J52)</f>
        <v>69</v>
      </c>
      <c r="O57" s="1371" t="s">
        <v>960</v>
      </c>
      <c r="P57" s="1368" t="s">
        <v>2272</v>
      </c>
      <c r="Q57" s="1372">
        <f>L53</f>
        <v>0</v>
      </c>
      <c r="R57" s="1370"/>
    </row>
    <row r="58" spans="1:18" s="791" customFormat="1" ht="29.25" thickBot="1">
      <c r="A58" s="1301"/>
      <c r="B58" s="319" t="s">
        <v>2202</v>
      </c>
      <c r="C58" s="188">
        <f ca="1">C29</f>
        <v>185486</v>
      </c>
      <c r="D58" s="1294"/>
      <c r="E58" s="1295"/>
      <c r="F58" s="1302"/>
      <c r="I58" s="2365" t="s">
        <v>2273</v>
      </c>
      <c r="J58" s="1354" t="str">
        <f>IF(OR(M48="住宅",J52&lt;L49,J57="是"),"——",J52-L49)</f>
        <v>——</v>
      </c>
      <c r="K58" s="2350" t="s">
        <v>2274</v>
      </c>
      <c r="L58" s="1128">
        <f ca="1">IF(L49&lt;J52,"——",IF(L56="比较法",L50,IF(L56="基准地价",L51,L52)))</f>
        <v>11698941</v>
      </c>
      <c r="O58" s="1371" t="s">
        <v>961</v>
      </c>
      <c r="P58" s="1368" t="s">
        <v>2275</v>
      </c>
      <c r="Q58" s="1369" t="e">
        <f>L59</f>
        <v>#DIV/0!</v>
      </c>
      <c r="R58" s="1370" t="s">
        <v>2276</v>
      </c>
    </row>
    <row r="59" spans="1:18" s="791" customFormat="1" ht="29.25" thickBot="1">
      <c r="A59" s="332" t="s">
        <v>14</v>
      </c>
      <c r="B59" s="333" t="s">
        <v>2205</v>
      </c>
      <c r="C59" s="334">
        <f ca="1">ROUND(C60+C65+C66+C67,0)</f>
        <v>1966</v>
      </c>
      <c r="D59" s="12" t="s">
        <v>2206</v>
      </c>
      <c r="E59" s="1898"/>
      <c r="F59" s="16"/>
      <c r="I59" s="2365" t="s">
        <v>2277</v>
      </c>
      <c r="J59" s="1870" t="e">
        <f>IF(J56&lt;0.4,0.4,J56)</f>
        <v>#VALUE!</v>
      </c>
      <c r="K59" s="2356"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5" t="s">
        <v>2280</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578227</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5.5000000000000007E-2</v>
      </c>
      <c r="I61" s="2366" t="s">
        <v>2281</v>
      </c>
      <c r="J61" s="1353" t="str">
        <f>IF(OR(M48="住宅",J52&lt;L49,J57="是"),"0",ROUND(J60/(1+J53)^J54,0))</f>
        <v>0</v>
      </c>
      <c r="K61" s="2367"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t="str">
        <f>IF(项目基本情况!B7="自然人","——",ROUND(F63*F64,0))</f>
        <v>——</v>
      </c>
      <c r="D63" s="346" t="s">
        <v>2286</v>
      </c>
      <c r="E63" s="319" t="s">
        <v>2287</v>
      </c>
      <c r="F63" s="347">
        <f t="shared" si="0"/>
        <v>0</v>
      </c>
      <c r="I63" s="2368" t="s">
        <v>2288</v>
      </c>
      <c r="J63" s="1874" t="s">
        <v>2289</v>
      </c>
      <c r="K63" s="1874" t="s">
        <v>2290</v>
      </c>
      <c r="L63" s="1874" t="s">
        <v>2291</v>
      </c>
      <c r="M63" s="1873" t="s">
        <v>2292</v>
      </c>
      <c r="O63" s="1367" t="s">
        <v>957</v>
      </c>
      <c r="P63" s="1368" t="s">
        <v>2233</v>
      </c>
      <c r="Q63" s="1369">
        <f ca="1">C40+J29</f>
        <v>578227</v>
      </c>
      <c r="R63" s="1370" t="s">
        <v>2234</v>
      </c>
    </row>
    <row r="64" spans="1:18" s="791" customFormat="1" ht="20.25" thickBot="1">
      <c r="A64" s="348"/>
      <c r="B64" s="328"/>
      <c r="C64" s="19"/>
      <c r="D64" s="349"/>
      <c r="E64" s="319" t="s">
        <v>2293</v>
      </c>
      <c r="F64" s="320">
        <f t="shared" si="0"/>
        <v>0</v>
      </c>
      <c r="I64" s="2368"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1855</v>
      </c>
      <c r="D65" s="1893" t="s">
        <v>2215</v>
      </c>
      <c r="E65" s="319" t="s">
        <v>2159</v>
      </c>
      <c r="F65" s="350">
        <f t="shared" si="0"/>
        <v>0.01</v>
      </c>
      <c r="I65" s="2368" t="s">
        <v>2295</v>
      </c>
      <c r="J65" s="1874">
        <v>50</v>
      </c>
      <c r="K65" s="1874">
        <v>35</v>
      </c>
      <c r="L65" s="1874">
        <v>60</v>
      </c>
      <c r="M65" s="1873">
        <v>0</v>
      </c>
      <c r="O65" s="1371" t="s">
        <v>959</v>
      </c>
      <c r="P65" s="1368" t="s">
        <v>2269</v>
      </c>
      <c r="Q65" s="1373">
        <f ca="1">L52</f>
        <v>11698941</v>
      </c>
      <c r="R65" s="1374" t="s">
        <v>2296</v>
      </c>
    </row>
    <row r="66" spans="1:18" s="791" customFormat="1" ht="20.25" thickBot="1">
      <c r="A66" s="337" t="s">
        <v>20</v>
      </c>
      <c r="B66" s="319" t="s">
        <v>2174</v>
      </c>
      <c r="C66" s="14">
        <f ca="1">ROUND(C57*F66,0)</f>
        <v>111</v>
      </c>
      <c r="D66" s="1893" t="s">
        <v>2175</v>
      </c>
      <c r="E66" s="319" t="s">
        <v>2176</v>
      </c>
      <c r="F66" s="351">
        <f t="shared" si="0"/>
        <v>1E-3</v>
      </c>
      <c r="I66" s="2368" t="s">
        <v>2297</v>
      </c>
      <c r="J66" s="1874">
        <v>40</v>
      </c>
      <c r="K66" s="1874">
        <v>30</v>
      </c>
      <c r="L66" s="1874">
        <v>50</v>
      </c>
      <c r="M66" s="1872">
        <v>0.02</v>
      </c>
      <c r="O66" s="1371" t="s">
        <v>960</v>
      </c>
      <c r="P66" s="1375" t="s">
        <v>2298</v>
      </c>
      <c r="Q66" s="1369">
        <f ca="1">ROUND(Q67-Q68*Q69,0)</f>
        <v>9461</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18364</v>
      </c>
      <c r="R67" s="1370" t="s">
        <v>2234</v>
      </c>
    </row>
    <row r="68" spans="1:18" ht="15.75" thickBot="1">
      <c r="A68" s="332" t="s">
        <v>22</v>
      </c>
      <c r="B68" s="89" t="s">
        <v>2184</v>
      </c>
      <c r="C68" s="334">
        <f ca="1">C49-C59</f>
        <v>-1966</v>
      </c>
      <c r="D68" s="1888" t="s">
        <v>2185</v>
      </c>
      <c r="E68" s="1892"/>
      <c r="F68" s="353"/>
      <c r="H68" s="791"/>
      <c r="I68" s="791"/>
      <c r="J68" s="791"/>
      <c r="K68" s="791"/>
      <c r="L68" s="791"/>
      <c r="M68" s="791"/>
      <c r="O68" s="1371" t="s">
        <v>966</v>
      </c>
      <c r="P68" s="1375" t="s">
        <v>2300</v>
      </c>
      <c r="Q68" s="1369">
        <f ca="1">C13</f>
        <v>111292</v>
      </c>
      <c r="R68" s="1370" t="s">
        <v>2234</v>
      </c>
    </row>
    <row r="69" spans="1:18" ht="15.75" thickBot="1">
      <c r="A69" s="316" t="s">
        <v>23</v>
      </c>
      <c r="B69" s="317" t="s">
        <v>2222</v>
      </c>
      <c r="C69" s="318">
        <f ca="1">ROUND(C68*(1-((1+F71)/(1+F69))^F70)/(F69-F71),0)</f>
        <v>-40399</v>
      </c>
      <c r="D69" s="346" t="s">
        <v>2190</v>
      </c>
      <c r="E69" s="319" t="s">
        <v>2191</v>
      </c>
      <c r="F69" s="329">
        <f>F40</f>
        <v>0.04</v>
      </c>
      <c r="H69" s="791"/>
      <c r="I69" s="791"/>
      <c r="J69" s="791"/>
      <c r="K69" s="791"/>
      <c r="L69" s="791"/>
      <c r="M69" s="791"/>
      <c r="O69" s="1371" t="s">
        <v>967</v>
      </c>
      <c r="P69" s="1375" t="s">
        <v>2301</v>
      </c>
      <c r="Q69" s="1372">
        <f>J35</f>
        <v>0.08</v>
      </c>
      <c r="R69" s="1370"/>
    </row>
    <row r="70" spans="1:18" ht="15.75" thickBot="1">
      <c r="A70" s="321"/>
      <c r="B70" s="322"/>
      <c r="C70" s="323"/>
      <c r="D70" s="354" t="s">
        <v>2224</v>
      </c>
      <c r="E70" s="319" t="s">
        <v>2196</v>
      </c>
      <c r="F70" s="355">
        <f>F41</f>
        <v>44</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-665</v>
      </c>
      <c r="D72" s="359" t="s">
        <v>2226</v>
      </c>
      <c r="E72" s="360" t="s">
        <v>2227</v>
      </c>
      <c r="F72" s="361">
        <f>F43</f>
        <v>60.74</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578227</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4" t="s">
        <v>1024</v>
      </c>
      <c r="B1" s="2985"/>
      <c r="C1" s="2986"/>
      <c r="D1" s="2987">
        <f>SUM(I10,I15,I20,I21,I23)</f>
        <v>0</v>
      </c>
      <c r="E1" s="2987"/>
      <c r="F1" s="2987"/>
      <c r="G1" s="2987"/>
      <c r="H1" s="2987"/>
      <c r="I1" s="2988"/>
    </row>
    <row r="2" spans="1:9">
      <c r="A2" s="2989" t="s">
        <v>1025</v>
      </c>
      <c r="B2" s="2990" t="s">
        <v>974</v>
      </c>
      <c r="C2" s="2990"/>
      <c r="D2" s="1389" t="s">
        <v>975</v>
      </c>
      <c r="E2" s="1389" t="s">
        <v>976</v>
      </c>
      <c r="F2" s="1389" t="s">
        <v>977</v>
      </c>
      <c r="G2" s="1389" t="s">
        <v>978</v>
      </c>
      <c r="H2" s="1389" t="s">
        <v>979</v>
      </c>
      <c r="I2" s="1390" t="s">
        <v>980</v>
      </c>
    </row>
    <row r="3" spans="1:9">
      <c r="A3" s="2989"/>
      <c r="B3" s="2990" t="s">
        <v>981</v>
      </c>
      <c r="C3" s="2990"/>
      <c r="D3" s="1391"/>
      <c r="E3" s="1389"/>
      <c r="F3" s="1392"/>
      <c r="G3" s="1392"/>
      <c r="H3" s="1393"/>
      <c r="I3" s="1394">
        <f>ROUND(D3*E3*F3*G3*H3/10000,0)</f>
        <v>0</v>
      </c>
    </row>
    <row r="4" spans="1:9">
      <c r="A4" s="2989"/>
      <c r="B4" s="2990" t="s">
        <v>982</v>
      </c>
      <c r="C4" s="2990"/>
      <c r="D4" s="1391"/>
      <c r="E4" s="1389"/>
      <c r="F4" s="1392"/>
      <c r="G4" s="1392"/>
      <c r="H4" s="1393"/>
      <c r="I4" s="1394">
        <f t="shared" ref="I4:I9" si="0">ROUND(D4*E4*F4*G4*H4/10000,0)</f>
        <v>0</v>
      </c>
    </row>
    <row r="5" spans="1:9">
      <c r="A5" s="2989"/>
      <c r="B5" s="2990" t="s">
        <v>983</v>
      </c>
      <c r="C5" s="2990"/>
      <c r="D5" s="1391"/>
      <c r="E5" s="1389"/>
      <c r="F5" s="1392"/>
      <c r="G5" s="1392"/>
      <c r="H5" s="1393"/>
      <c r="I5" s="1394">
        <f t="shared" si="0"/>
        <v>0</v>
      </c>
    </row>
    <row r="6" spans="1:9">
      <c r="A6" s="2989"/>
      <c r="B6" s="2990" t="s">
        <v>984</v>
      </c>
      <c r="C6" s="2990"/>
      <c r="D6" s="1391"/>
      <c r="E6" s="1389"/>
      <c r="F6" s="1392"/>
      <c r="G6" s="1392"/>
      <c r="H6" s="1393"/>
      <c r="I6" s="1394">
        <f t="shared" si="0"/>
        <v>0</v>
      </c>
    </row>
    <row r="7" spans="1:9">
      <c r="A7" s="2989"/>
      <c r="B7" s="2990" t="s">
        <v>985</v>
      </c>
      <c r="C7" s="2990"/>
      <c r="D7" s="1391"/>
      <c r="E7" s="1389"/>
      <c r="F7" s="1392"/>
      <c r="G7" s="1392"/>
      <c r="H7" s="1393"/>
      <c r="I7" s="1394">
        <f t="shared" si="0"/>
        <v>0</v>
      </c>
    </row>
    <row r="8" spans="1:9">
      <c r="A8" s="2989"/>
      <c r="B8" s="2990" t="s">
        <v>986</v>
      </c>
      <c r="C8" s="2990"/>
      <c r="D8" s="1391"/>
      <c r="E8" s="1389"/>
      <c r="F8" s="1392"/>
      <c r="G8" s="1392"/>
      <c r="H8" s="1393"/>
      <c r="I8" s="1394">
        <f t="shared" si="0"/>
        <v>0</v>
      </c>
    </row>
    <row r="9" spans="1:9">
      <c r="A9" s="2989"/>
      <c r="B9" s="2990" t="s">
        <v>987</v>
      </c>
      <c r="C9" s="2990"/>
      <c r="D9" s="1391"/>
      <c r="E9" s="1389"/>
      <c r="F9" s="1392"/>
      <c r="G9" s="1392"/>
      <c r="H9" s="1393"/>
      <c r="I9" s="1394">
        <f t="shared" si="0"/>
        <v>0</v>
      </c>
    </row>
    <row r="10" spans="1:9">
      <c r="A10" s="2989"/>
      <c r="B10" s="2991" t="s">
        <v>988</v>
      </c>
      <c r="C10" s="2991"/>
      <c r="D10" s="1395">
        <v>527</v>
      </c>
      <c r="E10" s="1395" t="e">
        <f>ROUND(D1*10000/D10/H9,0)</f>
        <v>#DIV/0!</v>
      </c>
      <c r="F10" s="1396"/>
      <c r="G10" s="1396"/>
      <c r="H10" s="1397"/>
      <c r="I10" s="1398">
        <f>SUM(I3:I9)</f>
        <v>0</v>
      </c>
    </row>
    <row r="11" spans="1:9" ht="14.25">
      <c r="A11" s="2989" t="s">
        <v>1026</v>
      </c>
      <c r="B11" s="2990" t="s">
        <v>989</v>
      </c>
      <c r="C11" s="2990"/>
      <c r="D11" s="1391" t="s">
        <v>990</v>
      </c>
      <c r="E11" s="1391" t="s">
        <v>991</v>
      </c>
      <c r="F11" s="1392" t="s">
        <v>992</v>
      </c>
      <c r="G11" s="1392" t="s">
        <v>979</v>
      </c>
      <c r="H11" s="1399" t="s">
        <v>993</v>
      </c>
      <c r="I11" s="1390" t="s">
        <v>980</v>
      </c>
    </row>
    <row r="12" spans="1:9">
      <c r="A12" s="2989"/>
      <c r="B12" s="2990" t="s">
        <v>994</v>
      </c>
      <c r="C12" s="2990"/>
      <c r="D12" s="1391"/>
      <c r="E12" s="1391"/>
      <c r="F12" s="1392"/>
      <c r="G12" s="1393"/>
      <c r="H12" s="1400"/>
      <c r="I12" s="1390">
        <f>ROUND(D12*E12*F12*G12/10000,0)</f>
        <v>0</v>
      </c>
    </row>
    <row r="13" spans="1:9">
      <c r="A13" s="2989"/>
      <c r="B13" s="2990" t="s">
        <v>995</v>
      </c>
      <c r="C13" s="2990"/>
      <c r="D13" s="1391"/>
      <c r="E13" s="1391"/>
      <c r="F13" s="1392"/>
      <c r="G13" s="1393"/>
      <c r="H13" s="1400"/>
      <c r="I13" s="1390">
        <f>ROUND(D13*E13*F13*G13/10000,0)</f>
        <v>0</v>
      </c>
    </row>
    <row r="14" spans="1:9">
      <c r="A14" s="2989"/>
      <c r="B14" s="2990" t="s">
        <v>996</v>
      </c>
      <c r="C14" s="2990"/>
      <c r="D14" s="1391"/>
      <c r="E14" s="1391"/>
      <c r="F14" s="1392"/>
      <c r="G14" s="1393"/>
      <c r="H14" s="1400"/>
      <c r="I14" s="1390">
        <f>ROUND(D14*E14*F14*G14/10000,0)</f>
        <v>0</v>
      </c>
    </row>
    <row r="15" spans="1:9">
      <c r="A15" s="2989"/>
      <c r="B15" s="2991" t="s">
        <v>988</v>
      </c>
      <c r="C15" s="2991"/>
      <c r="D15" s="1395"/>
      <c r="E15" s="1395">
        <f>SUM(E12:E14)</f>
        <v>0</v>
      </c>
      <c r="F15" s="1396"/>
      <c r="G15" s="1393"/>
      <c r="H15" s="1400"/>
      <c r="I15" s="1401">
        <f>SUM(I12:I14)</f>
        <v>0</v>
      </c>
    </row>
    <row r="16" spans="1:9" ht="24">
      <c r="A16" s="2989" t="s">
        <v>1027</v>
      </c>
      <c r="B16" s="2990" t="s">
        <v>997</v>
      </c>
      <c r="C16" s="2990"/>
      <c r="D16" s="1391" t="s">
        <v>975</v>
      </c>
      <c r="E16" s="1402" t="s">
        <v>998</v>
      </c>
      <c r="F16" s="1392" t="s">
        <v>999</v>
      </c>
      <c r="G16" s="1393" t="s">
        <v>979</v>
      </c>
      <c r="H16" s="1399" t="s">
        <v>993</v>
      </c>
      <c r="I16" s="1390" t="s">
        <v>980</v>
      </c>
    </row>
    <row r="17" spans="1:9" ht="14.25">
      <c r="A17" s="2989"/>
      <c r="B17" s="2990" t="s">
        <v>1000</v>
      </c>
      <c r="C17" s="2990"/>
      <c r="D17" s="1391"/>
      <c r="E17" s="1391"/>
      <c r="F17" s="1392"/>
      <c r="G17" s="1393"/>
      <c r="H17" s="1403"/>
      <c r="I17" s="1404">
        <f>ROUND(D17*E17*F17*G17/10000,0)</f>
        <v>0</v>
      </c>
    </row>
    <row r="18" spans="1:9" ht="14.25">
      <c r="A18" s="2989"/>
      <c r="B18" s="2990" t="s">
        <v>1001</v>
      </c>
      <c r="C18" s="2990"/>
      <c r="D18" s="1391"/>
      <c r="E18" s="1391"/>
      <c r="F18" s="1392"/>
      <c r="G18" s="1393"/>
      <c r="H18" s="1403"/>
      <c r="I18" s="1404">
        <f>ROUND(D18*E18*F18*G18/10000,0)</f>
        <v>0</v>
      </c>
    </row>
    <row r="19" spans="1:9" ht="14.25">
      <c r="A19" s="2989"/>
      <c r="B19" s="2990" t="s">
        <v>1002</v>
      </c>
      <c r="C19" s="2990"/>
      <c r="D19" s="1391"/>
      <c r="E19" s="1391"/>
      <c r="F19" s="1392"/>
      <c r="G19" s="1393"/>
      <c r="H19" s="1403"/>
      <c r="I19" s="1404">
        <f>ROUND(D19*E19*F19*G19/10000,0)</f>
        <v>0</v>
      </c>
    </row>
    <row r="20" spans="1:9">
      <c r="A20" s="2989"/>
      <c r="B20" s="2991" t="s">
        <v>988</v>
      </c>
      <c r="C20" s="2991"/>
      <c r="D20" s="1395">
        <f>SUM(D17:D19)</f>
        <v>0</v>
      </c>
      <c r="E20" s="1395"/>
      <c r="F20" s="1396"/>
      <c r="G20" s="1393"/>
      <c r="H20" s="1400"/>
      <c r="I20" s="1401">
        <f>SUM(I17:I19)</f>
        <v>0</v>
      </c>
    </row>
    <row r="21" spans="1:9">
      <c r="A21" s="2989" t="s">
        <v>1028</v>
      </c>
      <c r="B21" s="2993"/>
      <c r="C21" s="2993"/>
      <c r="D21" s="2993"/>
      <c r="E21" s="2993"/>
      <c r="F21" s="2993"/>
      <c r="G21" s="2993"/>
      <c r="H21" s="1405">
        <v>0.1</v>
      </c>
      <c r="I21" s="1398">
        <f>ROUND(I10*H21,0)</f>
        <v>0</v>
      </c>
    </row>
    <row r="22" spans="1:9" ht="14.25">
      <c r="A22" s="2994" t="s">
        <v>1029</v>
      </c>
      <c r="B22" s="2995"/>
      <c r="C22" s="2996"/>
      <c r="D22" s="1406" t="s">
        <v>1003</v>
      </c>
      <c r="E22" s="1406" t="s">
        <v>1004</v>
      </c>
      <c r="F22" s="1407" t="s">
        <v>979</v>
      </c>
      <c r="G22" s="1407" t="s">
        <v>1005</v>
      </c>
      <c r="H22" s="1399" t="s">
        <v>993</v>
      </c>
      <c r="I22" s="1390" t="s">
        <v>980</v>
      </c>
    </row>
    <row r="23" spans="1:9" ht="14.25" thickBot="1">
      <c r="A23" s="2997"/>
      <c r="B23" s="2998"/>
      <c r="C23" s="2999"/>
      <c r="D23" s="1408"/>
      <c r="E23" s="1408"/>
      <c r="F23" s="1408"/>
      <c r="G23" s="1409"/>
      <c r="H23" s="1410"/>
      <c r="I23" s="1411">
        <f>ROUND(E23*D23*F23*(1-G23)/10000,0)</f>
        <v>0</v>
      </c>
    </row>
    <row r="26" spans="1:9">
      <c r="A26" s="1412" t="s">
        <v>1006</v>
      </c>
      <c r="B26" s="1412"/>
      <c r="C26" s="1412"/>
      <c r="D26" s="1412"/>
      <c r="E26" s="3000">
        <f>C27-C30-C31-C32</f>
        <v>0</v>
      </c>
      <c r="F26" s="3000"/>
      <c r="G26" s="3000"/>
      <c r="H26" s="1829" t="s">
        <v>1219</v>
      </c>
    </row>
    <row r="27" spans="1:9">
      <c r="A27" s="1413">
        <v>1</v>
      </c>
      <c r="B27" s="1414" t="s">
        <v>1007</v>
      </c>
      <c r="C27" s="1414">
        <f>C28+C29</f>
        <v>0</v>
      </c>
      <c r="D27" s="1414"/>
      <c r="E27" s="3001"/>
      <c r="F27" s="3001"/>
      <c r="G27" s="3001"/>
    </row>
    <row r="28" spans="1:9">
      <c r="A28" s="1415" t="s">
        <v>1008</v>
      </c>
      <c r="B28" s="1414" t="s">
        <v>1009</v>
      </c>
      <c r="C28" s="1414"/>
      <c r="D28" s="1414"/>
      <c r="E28" s="3001"/>
      <c r="F28" s="3001"/>
      <c r="G28" s="3001"/>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92"/>
      <c r="F32" s="2992"/>
      <c r="G32" s="2992"/>
    </row>
    <row r="33" spans="1:7" hidden="1">
      <c r="A33" s="3002" t="s">
        <v>1018</v>
      </c>
      <c r="B33" s="3003"/>
      <c r="C33" s="3003"/>
      <c r="D33" s="3004"/>
      <c r="E33" s="3000"/>
      <c r="F33" s="3000"/>
      <c r="G33" s="3000"/>
    </row>
    <row r="34" spans="1:7" hidden="1">
      <c r="A34" s="1417">
        <v>1</v>
      </c>
      <c r="B34" s="1414" t="s">
        <v>1019</v>
      </c>
      <c r="C34" s="1414"/>
      <c r="D34" s="1414"/>
      <c r="E34" s="3001"/>
      <c r="F34" s="3001"/>
      <c r="G34" s="3001"/>
    </row>
    <row r="35" spans="1:7" hidden="1">
      <c r="A35" s="1417">
        <v>2</v>
      </c>
      <c r="B35" s="1414" t="s">
        <v>1020</v>
      </c>
      <c r="C35" s="1414"/>
      <c r="D35" s="1414"/>
      <c r="E35" s="3001"/>
      <c r="F35" s="3001"/>
      <c r="G35" s="3001"/>
    </row>
    <row r="36" spans="1:7" hidden="1">
      <c r="A36" s="1417">
        <v>3</v>
      </c>
      <c r="B36" s="1414" t="s">
        <v>1021</v>
      </c>
      <c r="C36" s="1414"/>
      <c r="D36" s="1414"/>
      <c r="E36" s="3001"/>
      <c r="F36" s="3001"/>
      <c r="G36" s="3001"/>
    </row>
    <row r="37" spans="1:7" hidden="1">
      <c r="A37" s="1417">
        <v>4</v>
      </c>
      <c r="B37" s="1414" t="s">
        <v>1022</v>
      </c>
      <c r="C37" s="1414"/>
      <c r="D37" s="1414"/>
      <c r="E37" s="3001"/>
      <c r="F37" s="3001"/>
      <c r="G37" s="3001"/>
    </row>
    <row r="38" spans="1:7" hidden="1">
      <c r="A38" s="3002" t="s">
        <v>1023</v>
      </c>
      <c r="B38" s="3003"/>
      <c r="C38" s="3003"/>
      <c r="D38" s="3004"/>
      <c r="E38" s="3000"/>
      <c r="F38" s="3000"/>
      <c r="G38" s="3000"/>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08" t="s">
        <v>2307</v>
      </c>
      <c r="D4" s="3009"/>
      <c r="E4" s="3009"/>
      <c r="F4" s="3009"/>
      <c r="G4" s="3009"/>
      <c r="H4" s="3009"/>
      <c r="I4" s="3009"/>
      <c r="J4" s="3009"/>
      <c r="K4" s="3009"/>
      <c r="L4" s="3009"/>
      <c r="M4" s="3009"/>
      <c r="N4" s="3009"/>
      <c r="O4" s="3009"/>
      <c r="P4" s="3009"/>
      <c r="Q4" s="3009"/>
      <c r="R4" s="3009"/>
      <c r="S4" s="3010"/>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2316</v>
      </c>
      <c r="B20" s="2370"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2" t="str">
        <f>'数据-取费表'!B3</f>
        <v>元</v>
      </c>
      <c r="D23" s="84"/>
      <c r="E23" s="84"/>
      <c r="F23" s="2373" t="s">
        <v>1254</v>
      </c>
      <c r="G23" s="1880"/>
      <c r="H23" s="678" t="e">
        <f ca="1">SUMIF(INDIRECT("'"&amp;J23&amp;"'"&amp;"!A:A"),"承租人权益价值",INDIRECT("'"&amp;J23&amp;"'"&amp;"!c:c"))</f>
        <v>#REF!</v>
      </c>
      <c r="I23" s="678" t="str">
        <f>C2</f>
        <v>元</v>
      </c>
      <c r="J23" s="2374"/>
      <c r="K23" s="84"/>
      <c r="L23" s="84"/>
      <c r="M23" s="84"/>
      <c r="N23" s="84"/>
      <c r="O23" s="84"/>
      <c r="P23" s="84"/>
      <c r="Q23" s="84"/>
      <c r="R23" s="769"/>
      <c r="S23" s="54"/>
      <c r="T23" s="54"/>
      <c r="V23" s="1313"/>
      <c r="W23" s="801"/>
      <c r="X23" s="36"/>
      <c r="Y23" s="36"/>
      <c r="Z23" s="801"/>
    </row>
    <row r="24" spans="1:45" ht="15.75">
      <c r="A24" s="2372"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5" t="s">
        <v>2323</v>
      </c>
      <c r="V24" s="1342"/>
      <c r="W24" s="2376" t="s">
        <v>2324</v>
      </c>
      <c r="X24" s="2375" t="s">
        <v>2325</v>
      </c>
      <c r="Y24" s="1342"/>
      <c r="Z24" s="2377" t="s">
        <v>2324</v>
      </c>
    </row>
    <row r="25" spans="1:45">
      <c r="A25" s="334" t="s">
        <v>2326</v>
      </c>
      <c r="B25" s="14">
        <f>SUM(B27:B10000)</f>
        <v>0</v>
      </c>
      <c r="C25" s="3005" t="s">
        <v>45</v>
      </c>
      <c r="D25" s="3006"/>
      <c r="E25" s="3006"/>
      <c r="F25" s="3006"/>
      <c r="G25" s="3006"/>
      <c r="H25" s="3006"/>
      <c r="I25" s="3006"/>
      <c r="J25" s="3006"/>
      <c r="K25" s="3006"/>
      <c r="L25" s="3006"/>
      <c r="M25" s="3006"/>
      <c r="N25" s="3006"/>
      <c r="O25" s="3006"/>
      <c r="P25" s="3006"/>
      <c r="Q25" s="3007"/>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8"/>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9" t="s">
        <v>2333</v>
      </c>
      <c r="W26" s="2380" t="s">
        <v>2334</v>
      </c>
      <c r="X26" s="1883" t="s">
        <v>2332</v>
      </c>
      <c r="Y26" s="2379" t="s">
        <v>2333</v>
      </c>
      <c r="Z26" s="2380"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42" zoomScale="90" zoomScaleNormal="90" workbookViewId="0">
      <selection activeCell="I5" sqref="I5:J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2828</v>
      </c>
      <c r="D1" s="2381"/>
      <c r="E1" s="2382" t="s">
        <v>2832</v>
      </c>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1776159</v>
      </c>
      <c r="C2" s="163" t="str">
        <f>'数据-取费表'!B3</f>
        <v>元</v>
      </c>
      <c r="D2" s="2384" t="s">
        <v>1254</v>
      </c>
      <c r="E2" s="1843">
        <f ca="1">SUMIF(INDIRECT("'"&amp;G2&amp;"'"&amp;"!A:A"),"承租人权益价值",INDIRECT("'"&amp;G2&amp;"'"&amp;"!c:c"))</f>
        <v>-618626</v>
      </c>
      <c r="F2" s="2385" t="str">
        <f>C2</f>
        <v>元</v>
      </c>
      <c r="G2" s="2386" t="s">
        <v>2833</v>
      </c>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2008</v>
      </c>
      <c r="B3" s="378">
        <f>ROUND(IF(D2="——",C49,IF(C2="万元",B2*10000/D3,B2/D3)),0)</f>
        <v>29242</v>
      </c>
      <c r="C3" s="379" t="s">
        <v>2339</v>
      </c>
      <c r="D3" s="378">
        <f>IF(C1="仅计算典型户型",'数据-取费表'!E5,'数据-取费表'!B5)</f>
        <v>60.74</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2340</v>
      </c>
      <c r="B4" s="381"/>
      <c r="C4" s="3014" t="s">
        <v>2341</v>
      </c>
      <c r="D4" s="3015"/>
      <c r="E4" s="3016" t="s">
        <v>2342</v>
      </c>
      <c r="F4" s="3017"/>
      <c r="G4" s="3014" t="s">
        <v>2343</v>
      </c>
      <c r="H4" s="3015"/>
      <c r="I4" s="3014" t="s">
        <v>2344</v>
      </c>
      <c r="J4" s="3015"/>
      <c r="K4" s="2395" t="s">
        <v>2345</v>
      </c>
      <c r="L4" s="1243"/>
      <c r="M4" s="1244"/>
      <c r="N4" s="1244"/>
      <c r="O4" s="1244"/>
      <c r="P4" s="3018" t="s">
        <v>2346</v>
      </c>
      <c r="Q4" s="3019"/>
      <c r="R4" s="3024" t="s">
        <v>2342</v>
      </c>
      <c r="S4" s="3025"/>
      <c r="T4" s="3024" t="s">
        <v>2343</v>
      </c>
      <c r="U4" s="3025"/>
      <c r="V4" s="3030" t="s">
        <v>2344</v>
      </c>
      <c r="W4" s="3030"/>
      <c r="X4" s="1900"/>
      <c r="Y4" s="3024" t="s">
        <v>2346</v>
      </c>
      <c r="Z4" s="3025"/>
      <c r="AA4" s="3011" t="s">
        <v>2342</v>
      </c>
      <c r="AB4" s="3011" t="s">
        <v>2343</v>
      </c>
      <c r="AC4" s="3011" t="s">
        <v>2344</v>
      </c>
    </row>
    <row r="5" spans="1:29" ht="44.25" customHeight="1" thickBot="1">
      <c r="A5" s="383"/>
      <c r="B5" s="384"/>
      <c r="C5" s="3033" t="s">
        <v>2909</v>
      </c>
      <c r="D5" s="3034"/>
      <c r="E5" s="3031" t="s">
        <v>2910</v>
      </c>
      <c r="F5" s="3032"/>
      <c r="G5" s="3031" t="s">
        <v>2834</v>
      </c>
      <c r="H5" s="3032"/>
      <c r="I5" s="3031" t="s">
        <v>2911</v>
      </c>
      <c r="J5" s="3032"/>
      <c r="K5" s="2396"/>
      <c r="L5" s="1243"/>
      <c r="M5" s="1244"/>
      <c r="N5" s="1244"/>
      <c r="O5" s="1244"/>
      <c r="P5" s="3020"/>
      <c r="Q5" s="3021"/>
      <c r="R5" s="3026"/>
      <c r="S5" s="3027"/>
      <c r="T5" s="3026"/>
      <c r="U5" s="3027"/>
      <c r="V5" s="3030"/>
      <c r="W5" s="3030"/>
      <c r="X5" s="1900"/>
      <c r="Y5" s="3026"/>
      <c r="Z5" s="3027"/>
      <c r="AA5" s="3012"/>
      <c r="AB5" s="3012"/>
      <c r="AC5" s="3012"/>
    </row>
    <row r="6" spans="1:29" ht="15.75" hidden="1" thickBot="1">
      <c r="A6" s="385"/>
      <c r="B6" s="386"/>
      <c r="C6" s="3035" t="s">
        <v>2351</v>
      </c>
      <c r="D6" s="3036"/>
      <c r="E6" s="3037" t="s">
        <v>2351</v>
      </c>
      <c r="F6" s="3038"/>
      <c r="G6" s="3035" t="s">
        <v>2351</v>
      </c>
      <c r="H6" s="3036"/>
      <c r="I6" s="3035" t="s">
        <v>2351</v>
      </c>
      <c r="J6" s="3036"/>
      <c r="K6" s="2396" t="s">
        <v>2352</v>
      </c>
      <c r="L6" s="1243"/>
      <c r="M6" s="1244"/>
      <c r="N6" s="1244"/>
      <c r="O6" s="1244"/>
      <c r="P6" s="3022"/>
      <c r="Q6" s="3023"/>
      <c r="R6" s="3026"/>
      <c r="S6" s="3027"/>
      <c r="T6" s="3028"/>
      <c r="U6" s="3029"/>
      <c r="V6" s="3030"/>
      <c r="W6" s="3030"/>
      <c r="X6" s="1900"/>
      <c r="Y6" s="3028"/>
      <c r="Z6" s="3029"/>
      <c r="AA6" s="3013"/>
      <c r="AB6" s="3013"/>
      <c r="AC6" s="3013"/>
    </row>
    <row r="7" spans="1:29" s="35" customFormat="1" ht="15.75" thickBot="1">
      <c r="A7" s="387" t="s">
        <v>2353</v>
      </c>
      <c r="B7" s="388"/>
      <c r="C7" s="389">
        <f>'数据-取费表'!B2</f>
        <v>43242</v>
      </c>
      <c r="D7" s="390">
        <v>100</v>
      </c>
      <c r="E7" s="391">
        <v>43221</v>
      </c>
      <c r="F7" s="392">
        <f>SUMIF(58:58,YEAR(E7)&amp;"-"&amp;MONTH(E7),59:59)</f>
        <v>100</v>
      </c>
      <c r="G7" s="391">
        <v>43221</v>
      </c>
      <c r="H7" s="390">
        <f>SUMIF(58:58,YEAR(G7)&amp;"-"&amp;MONTH(G7),59:59)</f>
        <v>100</v>
      </c>
      <c r="I7" s="391">
        <v>43221</v>
      </c>
      <c r="J7" s="390">
        <f>SUMIF(58:58,YEAR(I7)&amp;"-"&amp;MONTH(I7),59:59)</f>
        <v>100</v>
      </c>
      <c r="K7" s="2397"/>
      <c r="L7" s="1245"/>
      <c r="M7" s="1246"/>
      <c r="N7" s="1246"/>
      <c r="O7" s="1246"/>
      <c r="P7" s="3046" t="s">
        <v>2354</v>
      </c>
      <c r="Q7" s="3048"/>
      <c r="R7" s="749" t="s">
        <v>34</v>
      </c>
      <c r="S7" s="750">
        <f t="shared" ref="S7:S15" si="0">F7</f>
        <v>100</v>
      </c>
      <c r="T7" s="749" t="s">
        <v>34</v>
      </c>
      <c r="U7" s="750">
        <f t="shared" ref="U7:U15" si="1">H7</f>
        <v>100</v>
      </c>
      <c r="V7" s="749" t="s">
        <v>34</v>
      </c>
      <c r="W7" s="750">
        <f t="shared" ref="W7:W15" si="2">J7</f>
        <v>100</v>
      </c>
      <c r="X7" s="751"/>
      <c r="Y7" s="3046" t="s">
        <v>2354</v>
      </c>
      <c r="Z7" s="3047"/>
      <c r="AA7" s="752">
        <f>D7/F7</f>
        <v>1</v>
      </c>
      <c r="AB7" s="752">
        <f>D7/H7</f>
        <v>1</v>
      </c>
      <c r="AC7" s="752">
        <f>D7/J7</f>
        <v>1</v>
      </c>
    </row>
    <row r="8" spans="1:29" s="35" customFormat="1" ht="15.75" thickBot="1">
      <c r="A8" s="387" t="s">
        <v>2355</v>
      </c>
      <c r="B8" s="388"/>
      <c r="C8" s="394" t="s">
        <v>2356</v>
      </c>
      <c r="D8" s="390">
        <v>100</v>
      </c>
      <c r="E8" s="2398" t="s">
        <v>2835</v>
      </c>
      <c r="F8" s="392">
        <f>SUMIF(61:61,E8,62:62)-SUMIF(61:61,C8,62:62)+100</f>
        <v>100</v>
      </c>
      <c r="G8" s="394" t="s">
        <v>2835</v>
      </c>
      <c r="H8" s="390">
        <f>SUMIF(61:61,G8,62:62)-SUMIF(61:61,C8,62:62)+100</f>
        <v>100</v>
      </c>
      <c r="I8" s="2398" t="s">
        <v>2835</v>
      </c>
      <c r="J8" s="390">
        <f>SUMIF(61:61,I8,62:62)-SUMIF(61:61,C8,62:62)+100</f>
        <v>100</v>
      </c>
      <c r="K8" s="2397"/>
      <c r="L8" s="1245"/>
      <c r="M8" s="1246"/>
      <c r="N8" s="1246"/>
      <c r="O8" s="1246"/>
      <c r="P8" s="3046" t="s">
        <v>2357</v>
      </c>
      <c r="Q8" s="3047"/>
      <c r="R8" s="749" t="s">
        <v>34</v>
      </c>
      <c r="S8" s="750">
        <f t="shared" si="0"/>
        <v>100</v>
      </c>
      <c r="T8" s="749" t="s">
        <v>34</v>
      </c>
      <c r="U8" s="750">
        <f t="shared" si="1"/>
        <v>100</v>
      </c>
      <c r="V8" s="749" t="s">
        <v>34</v>
      </c>
      <c r="W8" s="750">
        <f t="shared" si="2"/>
        <v>100</v>
      </c>
      <c r="X8" s="751"/>
      <c r="Y8" s="3046" t="s">
        <v>2357</v>
      </c>
      <c r="Z8" s="3047"/>
      <c r="AA8" s="752">
        <f t="shared" ref="AA8:AA46" si="3">D8/F8</f>
        <v>1</v>
      </c>
      <c r="AB8" s="752">
        <f t="shared" ref="AB8:AB46" si="4">D8/H8</f>
        <v>1</v>
      </c>
      <c r="AC8" s="752">
        <f t="shared" ref="AC8:AC46" si="5">D8/J8</f>
        <v>1</v>
      </c>
    </row>
    <row r="9" spans="1:29" s="35" customFormat="1">
      <c r="A9" s="395" t="s">
        <v>2358</v>
      </c>
      <c r="B9" s="28" t="s">
        <v>2359</v>
      </c>
      <c r="C9" s="396" t="str">
        <f>项目基本情况!C9</f>
        <v>住宅</v>
      </c>
      <c r="D9" s="51">
        <v>100</v>
      </c>
      <c r="E9" s="397" t="s">
        <v>2818</v>
      </c>
      <c r="F9" s="398">
        <f>SUMIF(63:63,E9,64:64)-SUMIF(63:63,C9,64:64)+100</f>
        <v>100</v>
      </c>
      <c r="G9" s="399" t="s">
        <v>2818</v>
      </c>
      <c r="H9" s="51">
        <f>SUMIF(63:63,G9,64:64)-SUMIF(63:63,C9,64:64)+100</f>
        <v>100</v>
      </c>
      <c r="I9" s="399" t="s">
        <v>2818</v>
      </c>
      <c r="J9" s="51">
        <f>SUMIF(63:63,I9,64:64)-SUMIF(63:63,C9,64:64)+100</f>
        <v>100</v>
      </c>
      <c r="K9" s="2397"/>
      <c r="L9" s="1245"/>
      <c r="M9" s="1246"/>
      <c r="N9" s="1246"/>
      <c r="O9" s="1246"/>
      <c r="P9" s="3049" t="s">
        <v>2360</v>
      </c>
      <c r="Q9" s="1887" t="str">
        <f t="shared" ref="Q9:Q15" si="6">B9</f>
        <v>用途</v>
      </c>
      <c r="R9" s="749" t="s">
        <v>25</v>
      </c>
      <c r="S9" s="750">
        <f t="shared" si="0"/>
        <v>100</v>
      </c>
      <c r="T9" s="749" t="s">
        <v>25</v>
      </c>
      <c r="U9" s="750">
        <f t="shared" si="1"/>
        <v>100</v>
      </c>
      <c r="V9" s="749" t="s">
        <v>25</v>
      </c>
      <c r="W9" s="750">
        <f t="shared" si="2"/>
        <v>100</v>
      </c>
      <c r="X9" s="751"/>
      <c r="Y9" s="2862" t="s">
        <v>2361</v>
      </c>
      <c r="Z9" s="23" t="str">
        <f t="shared" ref="Z9:Z15" si="7">Q9</f>
        <v>用途</v>
      </c>
      <c r="AA9" s="752">
        <f t="shared" si="3"/>
        <v>1</v>
      </c>
      <c r="AB9" s="752">
        <f t="shared" si="4"/>
        <v>1</v>
      </c>
      <c r="AC9" s="752">
        <f t="shared" si="5"/>
        <v>1</v>
      </c>
    </row>
    <row r="10" spans="1:29" s="407" customFormat="1" ht="27.75" thickBot="1">
      <c r="A10" s="401"/>
      <c r="B10" s="402" t="s">
        <v>2362</v>
      </c>
      <c r="C10" s="403" t="s">
        <v>2836</v>
      </c>
      <c r="D10" s="52">
        <v>100</v>
      </c>
      <c r="E10" s="404" t="s">
        <v>2837</v>
      </c>
      <c r="F10" s="405">
        <f>SUMIF(65:65,E10,66:66)-SUMIF(65:65,C10,66:66)+100</f>
        <v>102</v>
      </c>
      <c r="G10" s="403" t="s">
        <v>2836</v>
      </c>
      <c r="H10" s="52">
        <f>SUMIF(65:65,G10,66:66)-SUMIF(65:65,C10,66:66)+100</f>
        <v>100</v>
      </c>
      <c r="I10" s="403" t="s">
        <v>2837</v>
      </c>
      <c r="J10" s="52">
        <f>SUMIF(65:65,I10,66:66)-SUMIF(65:65,C10,66:66)+100</f>
        <v>102</v>
      </c>
      <c r="K10" s="406">
        <v>2</v>
      </c>
      <c r="L10" s="1248"/>
      <c r="M10" s="1249"/>
      <c r="N10" s="1249"/>
      <c r="O10" s="1249"/>
      <c r="P10" s="3049"/>
      <c r="Q10" s="1887" t="str">
        <f t="shared" si="6"/>
        <v>土地使用年限（年）</v>
      </c>
      <c r="R10" s="749" t="s">
        <v>25</v>
      </c>
      <c r="S10" s="750">
        <f t="shared" si="0"/>
        <v>102</v>
      </c>
      <c r="T10" s="749" t="s">
        <v>25</v>
      </c>
      <c r="U10" s="750">
        <f t="shared" si="1"/>
        <v>100</v>
      </c>
      <c r="V10" s="749" t="s">
        <v>25</v>
      </c>
      <c r="W10" s="750">
        <f t="shared" si="2"/>
        <v>102</v>
      </c>
      <c r="X10" s="751"/>
      <c r="Y10" s="2862"/>
      <c r="Z10" s="23" t="str">
        <f t="shared" si="7"/>
        <v>土地使用年限（年）</v>
      </c>
      <c r="AA10" s="752">
        <f t="shared" si="3"/>
        <v>0.98039215686274506</v>
      </c>
      <c r="AB10" s="752">
        <f t="shared" si="4"/>
        <v>1</v>
      </c>
      <c r="AC10" s="752">
        <f t="shared" si="5"/>
        <v>0.98039215686274506</v>
      </c>
    </row>
    <row r="11" spans="1:29" ht="15" hidden="1">
      <c r="A11" s="408"/>
      <c r="B11" s="402" t="s">
        <v>2363</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49"/>
      <c r="Q11" s="1887" t="str">
        <f t="shared" si="6"/>
        <v>容积率</v>
      </c>
      <c r="R11" s="749" t="s">
        <v>28</v>
      </c>
      <c r="S11" s="750">
        <f t="shared" si="0"/>
        <v>100</v>
      </c>
      <c r="T11" s="749" t="s">
        <v>28</v>
      </c>
      <c r="U11" s="750">
        <f t="shared" si="1"/>
        <v>100</v>
      </c>
      <c r="V11" s="749" t="s">
        <v>28</v>
      </c>
      <c r="W11" s="750">
        <f t="shared" si="2"/>
        <v>100</v>
      </c>
      <c r="X11" s="751"/>
      <c r="Y11" s="2862"/>
      <c r="Z11" s="23" t="str">
        <f t="shared" si="7"/>
        <v>容积率</v>
      </c>
      <c r="AA11" s="752">
        <f t="shared" si="3"/>
        <v>1</v>
      </c>
      <c r="AB11" s="752">
        <f t="shared" si="4"/>
        <v>1</v>
      </c>
      <c r="AC11" s="752">
        <f t="shared" si="5"/>
        <v>1</v>
      </c>
    </row>
    <row r="12" spans="1:29" s="35" customFormat="1" ht="15" hidden="1">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49"/>
      <c r="Q12" s="1887">
        <f t="shared" si="6"/>
        <v>111</v>
      </c>
      <c r="R12" s="749" t="s">
        <v>28</v>
      </c>
      <c r="S12" s="750">
        <f t="shared" si="0"/>
        <v>100</v>
      </c>
      <c r="T12" s="749" t="s">
        <v>28</v>
      </c>
      <c r="U12" s="750">
        <f t="shared" si="1"/>
        <v>100</v>
      </c>
      <c r="V12" s="749" t="s">
        <v>28</v>
      </c>
      <c r="W12" s="750">
        <f t="shared" si="2"/>
        <v>100</v>
      </c>
      <c r="X12" s="751"/>
      <c r="Y12" s="2862"/>
      <c r="Z12" s="23">
        <f t="shared" si="7"/>
        <v>111</v>
      </c>
      <c r="AA12" s="752">
        <f>D12/F12</f>
        <v>1</v>
      </c>
      <c r="AB12" s="752">
        <f>D12/H12</f>
        <v>1</v>
      </c>
      <c r="AC12" s="752">
        <f>D12/J12</f>
        <v>1</v>
      </c>
    </row>
    <row r="13" spans="1:29" ht="15" hidden="1">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49"/>
      <c r="Q13" s="1887">
        <f t="shared" si="6"/>
        <v>111</v>
      </c>
      <c r="R13" s="749" t="s">
        <v>28</v>
      </c>
      <c r="S13" s="750">
        <f t="shared" si="0"/>
        <v>100</v>
      </c>
      <c r="T13" s="749" t="s">
        <v>28</v>
      </c>
      <c r="U13" s="750">
        <f t="shared" si="1"/>
        <v>100</v>
      </c>
      <c r="V13" s="749" t="s">
        <v>28</v>
      </c>
      <c r="W13" s="750">
        <f t="shared" si="2"/>
        <v>100</v>
      </c>
      <c r="X13" s="751"/>
      <c r="Y13" s="2862"/>
      <c r="Z13" s="23">
        <f t="shared" si="7"/>
        <v>111</v>
      </c>
      <c r="AA13" s="752">
        <f t="shared" si="3"/>
        <v>1</v>
      </c>
      <c r="AB13" s="752">
        <f t="shared" si="4"/>
        <v>1</v>
      </c>
      <c r="AC13" s="752">
        <f t="shared" si="5"/>
        <v>1</v>
      </c>
    </row>
    <row r="14" spans="1:29" ht="15.75" hidden="1"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49"/>
      <c r="Q14" s="1887">
        <f t="shared" si="6"/>
        <v>111</v>
      </c>
      <c r="R14" s="749" t="s">
        <v>28</v>
      </c>
      <c r="S14" s="750">
        <f t="shared" si="0"/>
        <v>100</v>
      </c>
      <c r="T14" s="749" t="s">
        <v>28</v>
      </c>
      <c r="U14" s="750">
        <f t="shared" si="1"/>
        <v>100</v>
      </c>
      <c r="V14" s="749" t="s">
        <v>28</v>
      </c>
      <c r="W14" s="750">
        <f t="shared" si="2"/>
        <v>100</v>
      </c>
      <c r="X14" s="751"/>
      <c r="Y14" s="2862"/>
      <c r="Z14" s="23">
        <f t="shared" si="7"/>
        <v>111</v>
      </c>
      <c r="AA14" s="752">
        <f t="shared" si="3"/>
        <v>1</v>
      </c>
      <c r="AB14" s="752">
        <f t="shared" si="4"/>
        <v>1</v>
      </c>
      <c r="AC14" s="752">
        <f t="shared" si="5"/>
        <v>1</v>
      </c>
    </row>
    <row r="15" spans="1:29" ht="128.25">
      <c r="A15" s="419" t="s">
        <v>2364</v>
      </c>
      <c r="B15" s="26" t="s">
        <v>1741</v>
      </c>
      <c r="C15" s="2403" t="str">
        <f>估价对象房地状况!C3</f>
        <v>估价对象周边有府前东街、金台园小区、南华园村、东关家园等居住小区，小区规模和社区发展完善程度一般，综合评价居住社区成熟度一般</v>
      </c>
      <c r="D15" s="420">
        <v>100</v>
      </c>
      <c r="E15" s="2739" t="s">
        <v>2838</v>
      </c>
      <c r="F15" s="422">
        <f>SUMIF(76:76,E16,77:77)-SUMIF(76:76,C16,77:77)+100</f>
        <v>100</v>
      </c>
      <c r="G15" s="2739" t="s">
        <v>2838</v>
      </c>
      <c r="H15" s="420">
        <f>SUMIF(76:76,G16,77:77)-SUMIF(76:76,C16,77:77)+100</f>
        <v>100</v>
      </c>
      <c r="I15" s="2739" t="s">
        <v>2838</v>
      </c>
      <c r="J15" s="420">
        <f>SUMIF(76:76,I16,77:77)-SUMIF(76:76,C16,77:77)+100</f>
        <v>100</v>
      </c>
      <c r="K15" s="424">
        <v>1</v>
      </c>
      <c r="L15" s="1253"/>
      <c r="M15" s="1244"/>
      <c r="N15" s="1244"/>
      <c r="O15" s="1244"/>
      <c r="P15" s="3052" t="s">
        <v>2365</v>
      </c>
      <c r="Q15" s="1899" t="str">
        <f t="shared" si="6"/>
        <v>居住社区成熟度</v>
      </c>
      <c r="R15" s="753" t="s">
        <v>28</v>
      </c>
      <c r="S15" s="754">
        <f t="shared" si="0"/>
        <v>100</v>
      </c>
      <c r="T15" s="753" t="s">
        <v>28</v>
      </c>
      <c r="U15" s="754">
        <f t="shared" si="1"/>
        <v>100</v>
      </c>
      <c r="V15" s="753" t="s">
        <v>28</v>
      </c>
      <c r="W15" s="754">
        <f t="shared" si="2"/>
        <v>100</v>
      </c>
      <c r="X15" s="1900"/>
      <c r="Y15" s="3039" t="s">
        <v>2365</v>
      </c>
      <c r="Z15" s="1902" t="str">
        <f t="shared" si="7"/>
        <v>居住社区成熟度</v>
      </c>
      <c r="AA15" s="1903">
        <f t="shared" si="3"/>
        <v>1</v>
      </c>
      <c r="AB15" s="1903">
        <f t="shared" si="4"/>
        <v>1</v>
      </c>
      <c r="AC15" s="1903">
        <f t="shared" si="5"/>
        <v>1</v>
      </c>
    </row>
    <row r="16" spans="1:29" ht="15">
      <c r="A16" s="408"/>
      <c r="B16" s="425"/>
      <c r="C16" s="426" t="s">
        <v>31</v>
      </c>
      <c r="D16" s="427"/>
      <c r="E16" s="428" t="s">
        <v>31</v>
      </c>
      <c r="F16" s="429"/>
      <c r="G16" s="2404" t="s">
        <v>31</v>
      </c>
      <c r="H16" s="430"/>
      <c r="I16" s="428" t="s">
        <v>31</v>
      </c>
      <c r="J16" s="427"/>
      <c r="K16" s="2405"/>
      <c r="L16" s="1253"/>
      <c r="M16" s="1244"/>
      <c r="N16" s="1244"/>
      <c r="O16" s="1244"/>
      <c r="P16" s="3053"/>
      <c r="Q16" s="1899"/>
      <c r="R16" s="753"/>
      <c r="S16" s="754"/>
      <c r="T16" s="753"/>
      <c r="U16" s="754"/>
      <c r="V16" s="753"/>
      <c r="W16" s="754"/>
      <c r="X16" s="1900"/>
      <c r="Y16" s="3040"/>
      <c r="Z16" s="1902"/>
      <c r="AA16" s="1903">
        <v>1</v>
      </c>
      <c r="AB16" s="1903">
        <v>1</v>
      </c>
      <c r="AC16" s="1903">
        <v>1</v>
      </c>
    </row>
    <row r="17" spans="1:29" ht="114">
      <c r="A17" s="408"/>
      <c r="B17" s="431" t="s">
        <v>1750</v>
      </c>
      <c r="C17" s="2406" t="str">
        <f>估价对象房地状况!C6</f>
        <v>估价对象紧邻城市支路——下园一条，周边无地铁、有868路、916路、h58路、h59路公交线路等，综合评价交通便捷度一般</v>
      </c>
      <c r="D17" s="430">
        <v>100</v>
      </c>
      <c r="E17" s="432" t="s">
        <v>2839</v>
      </c>
      <c r="F17" s="433">
        <f>SUMIF(78:78,E18,79:79)-SUMIF(78:78,C18,79:79)+100</f>
        <v>100</v>
      </c>
      <c r="G17" s="2740" t="s">
        <v>2839</v>
      </c>
      <c r="H17" s="435">
        <f>SUMIF(78:78,G18,79:79)-SUMIF(78:78,C18,79:79)+100</f>
        <v>100</v>
      </c>
      <c r="I17" s="2740" t="s">
        <v>2839</v>
      </c>
      <c r="J17" s="435">
        <f>SUMIF(78:78,I18,79:79)-SUMIF(78:78,C18,79:79)+100</f>
        <v>100</v>
      </c>
      <c r="K17" s="424">
        <v>1</v>
      </c>
      <c r="L17" s="1253"/>
      <c r="M17" s="1244"/>
      <c r="N17" s="1244"/>
      <c r="O17" s="1244"/>
      <c r="P17" s="3053"/>
      <c r="Q17" s="1899" t="str">
        <f>B17</f>
        <v>交通便捷度</v>
      </c>
      <c r="R17" s="753" t="s">
        <v>28</v>
      </c>
      <c r="S17" s="754">
        <f>F17</f>
        <v>100</v>
      </c>
      <c r="T17" s="753" t="s">
        <v>28</v>
      </c>
      <c r="U17" s="754">
        <f>H17</f>
        <v>100</v>
      </c>
      <c r="V17" s="753" t="s">
        <v>28</v>
      </c>
      <c r="W17" s="754">
        <f>J17</f>
        <v>100</v>
      </c>
      <c r="X17" s="1900"/>
      <c r="Y17" s="3040"/>
      <c r="Z17" s="1902" t="str">
        <f>Q17</f>
        <v>交通便捷度</v>
      </c>
      <c r="AA17" s="1903">
        <f t="shared" si="3"/>
        <v>1</v>
      </c>
      <c r="AB17" s="1903">
        <f t="shared" si="4"/>
        <v>1</v>
      </c>
      <c r="AC17" s="1903">
        <f t="shared" si="5"/>
        <v>1</v>
      </c>
    </row>
    <row r="18" spans="1:29" ht="15">
      <c r="A18" s="408"/>
      <c r="B18" s="436"/>
      <c r="C18" s="437" t="s">
        <v>31</v>
      </c>
      <c r="D18" s="430"/>
      <c r="E18" s="1468" t="s">
        <v>31</v>
      </c>
      <c r="F18" s="433"/>
      <c r="G18" s="2407" t="s">
        <v>31</v>
      </c>
      <c r="H18" s="427"/>
      <c r="I18" s="1468" t="s">
        <v>31</v>
      </c>
      <c r="J18" s="427"/>
      <c r="K18" s="2405"/>
      <c r="L18" s="1253"/>
      <c r="M18" s="1244"/>
      <c r="N18" s="1244"/>
      <c r="O18" s="1244"/>
      <c r="P18" s="3053"/>
      <c r="Q18" s="1899"/>
      <c r="R18" s="753"/>
      <c r="S18" s="754"/>
      <c r="T18" s="753"/>
      <c r="U18" s="754"/>
      <c r="V18" s="753"/>
      <c r="W18" s="754"/>
      <c r="X18" s="1900"/>
      <c r="Y18" s="3040"/>
      <c r="Z18" s="1902"/>
      <c r="AA18" s="1903">
        <v>1</v>
      </c>
      <c r="AB18" s="1903">
        <v>1</v>
      </c>
      <c r="AC18" s="1903">
        <v>1</v>
      </c>
    </row>
    <row r="19" spans="1:29" ht="42.75">
      <c r="A19" s="408"/>
      <c r="B19" s="431" t="s">
        <v>1748</v>
      </c>
      <c r="C19" s="2406" t="str">
        <f>估价对象房地状况!C7</f>
        <v>估价对象所在区域公共配套设施齐备情况一般</v>
      </c>
      <c r="D19" s="435">
        <v>100</v>
      </c>
      <c r="E19" s="2741" t="s">
        <v>2840</v>
      </c>
      <c r="F19" s="439">
        <f>SUMIF(80:80,E20,81:81)-SUMIF(80:80,C20,81:81)+100</f>
        <v>100</v>
      </c>
      <c r="G19" s="2741" t="s">
        <v>2841</v>
      </c>
      <c r="H19" s="430">
        <f>SUMIF(80:80,G20,81:81)-SUMIF(80:80,C20,81:81)+100</f>
        <v>100</v>
      </c>
      <c r="I19" s="2741" t="s">
        <v>2840</v>
      </c>
      <c r="J19" s="430">
        <f>SUMIF(80:80,I20,81:81)-SUMIF(80:80,C20,81:81)+100</f>
        <v>100</v>
      </c>
      <c r="K19" s="424">
        <v>1</v>
      </c>
      <c r="L19" s="1253"/>
      <c r="M19" s="1244"/>
      <c r="N19" s="1244"/>
      <c r="O19" s="1244"/>
      <c r="P19" s="3053"/>
      <c r="Q19" s="1899" t="str">
        <f>B19</f>
        <v>公共配套设施</v>
      </c>
      <c r="R19" s="753" t="s">
        <v>28</v>
      </c>
      <c r="S19" s="754">
        <f>F19</f>
        <v>100</v>
      </c>
      <c r="T19" s="753" t="s">
        <v>28</v>
      </c>
      <c r="U19" s="754">
        <f>H19</f>
        <v>100</v>
      </c>
      <c r="V19" s="753" t="s">
        <v>28</v>
      </c>
      <c r="W19" s="754">
        <f>J19</f>
        <v>100</v>
      </c>
      <c r="X19" s="1900"/>
      <c r="Y19" s="3040"/>
      <c r="Z19" s="1902" t="str">
        <f>Q19</f>
        <v>公共配套设施</v>
      </c>
      <c r="AA19" s="1903">
        <f t="shared" si="3"/>
        <v>1</v>
      </c>
      <c r="AB19" s="1903">
        <f t="shared" si="4"/>
        <v>1</v>
      </c>
      <c r="AC19" s="1903">
        <f t="shared" si="5"/>
        <v>1</v>
      </c>
    </row>
    <row r="20" spans="1:29" ht="15">
      <c r="A20" s="408"/>
      <c r="B20" s="436"/>
      <c r="C20" s="426" t="s">
        <v>31</v>
      </c>
      <c r="D20" s="427"/>
      <c r="E20" s="428" t="s">
        <v>31</v>
      </c>
      <c r="F20" s="429"/>
      <c r="G20" s="2404" t="s">
        <v>31</v>
      </c>
      <c r="H20" s="427"/>
      <c r="I20" s="428" t="s">
        <v>31</v>
      </c>
      <c r="J20" s="427"/>
      <c r="K20" s="2405"/>
      <c r="L20" s="1253"/>
      <c r="M20" s="1244"/>
      <c r="N20" s="1244"/>
      <c r="O20" s="1244"/>
      <c r="P20" s="3053"/>
      <c r="Q20" s="1899"/>
      <c r="R20" s="753"/>
      <c r="S20" s="754"/>
      <c r="T20" s="753"/>
      <c r="U20" s="754"/>
      <c r="V20" s="753"/>
      <c r="W20" s="754"/>
      <c r="X20" s="1900"/>
      <c r="Y20" s="3040"/>
      <c r="Z20" s="1902"/>
      <c r="AA20" s="1903">
        <v>1</v>
      </c>
      <c r="AB20" s="1903">
        <v>1</v>
      </c>
      <c r="AC20" s="1903">
        <v>1</v>
      </c>
    </row>
    <row r="21" spans="1:29" ht="42.75">
      <c r="A21" s="408"/>
      <c r="B21" s="2408" t="s">
        <v>1751</v>
      </c>
      <c r="C21" s="2406" t="str">
        <f>估价对象房地状况!C8</f>
        <v>估价对象所在区域基础设施水平——七通</v>
      </c>
      <c r="D21" s="435">
        <v>100</v>
      </c>
      <c r="E21" s="2741" t="s">
        <v>2842</v>
      </c>
      <c r="F21" s="439">
        <f>SUMIF(82:82,E22,83:83)-SUMIF(82:82,C22,83:83)+100</f>
        <v>100</v>
      </c>
      <c r="G21" s="2741" t="s">
        <v>2825</v>
      </c>
      <c r="H21" s="430">
        <f>SUMIF(82:82,G22,83:83)-SUMIF(82:82,C22,83:83)+100</f>
        <v>100</v>
      </c>
      <c r="I21" s="2741" t="s">
        <v>2843</v>
      </c>
      <c r="J21" s="430">
        <f>SUMIF(82:82,I22,83:83)-SUMIF(82:82,C22,83:83)+100</f>
        <v>100</v>
      </c>
      <c r="K21" s="424">
        <v>1</v>
      </c>
      <c r="L21" s="1253"/>
      <c r="M21" s="1244"/>
      <c r="N21" s="1244"/>
      <c r="O21" s="1244"/>
      <c r="P21" s="3053"/>
      <c r="Q21" s="1899" t="str">
        <f>B21</f>
        <v>基础设施水平</v>
      </c>
      <c r="R21" s="753" t="s">
        <v>28</v>
      </c>
      <c r="S21" s="754">
        <f>F21</f>
        <v>100</v>
      </c>
      <c r="T21" s="753" t="s">
        <v>28</v>
      </c>
      <c r="U21" s="754">
        <f>H21</f>
        <v>100</v>
      </c>
      <c r="V21" s="753" t="s">
        <v>28</v>
      </c>
      <c r="W21" s="754">
        <f>J21</f>
        <v>100</v>
      </c>
      <c r="X21" s="1900"/>
      <c r="Y21" s="3040"/>
      <c r="Z21" s="1902" t="str">
        <f>Q21</f>
        <v>基础设施水平</v>
      </c>
      <c r="AA21" s="1903">
        <f t="shared" ref="AA21" si="8">D21/F21</f>
        <v>1</v>
      </c>
      <c r="AB21" s="1903">
        <f t="shared" ref="AB21" si="9">D21/H21</f>
        <v>1</v>
      </c>
      <c r="AC21" s="1903">
        <f t="shared" ref="AC21" si="10">D21/J21</f>
        <v>1</v>
      </c>
    </row>
    <row r="22" spans="1:29" ht="15">
      <c r="A22" s="408"/>
      <c r="B22" s="2408"/>
      <c r="C22" s="437" t="s">
        <v>2844</v>
      </c>
      <c r="D22" s="427"/>
      <c r="E22" s="426" t="s">
        <v>2844</v>
      </c>
      <c r="F22" s="429"/>
      <c r="G22" s="426" t="s">
        <v>2844</v>
      </c>
      <c r="H22" s="427"/>
      <c r="I22" s="426" t="s">
        <v>2844</v>
      </c>
      <c r="J22" s="427"/>
      <c r="K22" s="2409"/>
      <c r="L22" s="1253"/>
      <c r="M22" s="1244"/>
      <c r="N22" s="1244"/>
      <c r="O22" s="1244"/>
      <c r="P22" s="3053"/>
      <c r="Q22" s="1899"/>
      <c r="R22" s="753"/>
      <c r="S22" s="754"/>
      <c r="T22" s="753"/>
      <c r="U22" s="754"/>
      <c r="V22" s="753"/>
      <c r="W22" s="754"/>
      <c r="X22" s="1900"/>
      <c r="Y22" s="3040"/>
      <c r="Z22" s="1902"/>
      <c r="AA22" s="1903">
        <v>1</v>
      </c>
      <c r="AB22" s="1903">
        <v>1</v>
      </c>
      <c r="AC22" s="1903">
        <v>1</v>
      </c>
    </row>
    <row r="23" spans="1:29" ht="99.75">
      <c r="A23" s="408"/>
      <c r="B23" s="431" t="s">
        <v>1755</v>
      </c>
      <c r="C23" s="2406" t="str">
        <f>估价对象房地状况!C9</f>
        <v>自然环境：普法公园、迎宾公园、怀柔水库等；人文环境：怀柔区博物馆等，综合评价环境状况一般</v>
      </c>
      <c r="D23" s="430">
        <v>100</v>
      </c>
      <c r="E23" s="2742" t="s">
        <v>2845</v>
      </c>
      <c r="F23" s="433">
        <f>SUMIF(84:84,E24,85:85)-SUMIF(84:84,C24,85:85)+100</f>
        <v>100</v>
      </c>
      <c r="G23" s="2742" t="s">
        <v>2845</v>
      </c>
      <c r="H23" s="430">
        <f>SUMIF(84:84,G24,85:85)-SUMIF(84:84,C24,85:85)+100</f>
        <v>100</v>
      </c>
      <c r="I23" s="2742" t="s">
        <v>2845</v>
      </c>
      <c r="J23" s="430">
        <f>SUMIF(84:84,I24,85:85)-SUMIF(84:84,C24,85:85)+100</f>
        <v>100</v>
      </c>
      <c r="K23" s="424">
        <v>1</v>
      </c>
      <c r="L23" s="1253"/>
      <c r="M23" s="1244"/>
      <c r="N23" s="1244"/>
      <c r="O23" s="1244"/>
      <c r="P23" s="3053"/>
      <c r="Q23" s="1899" t="str">
        <f>B23</f>
        <v>自然及人文环境</v>
      </c>
      <c r="R23" s="753" t="s">
        <v>28</v>
      </c>
      <c r="S23" s="754">
        <f>F23</f>
        <v>100</v>
      </c>
      <c r="T23" s="753" t="s">
        <v>28</v>
      </c>
      <c r="U23" s="754">
        <f>H23</f>
        <v>100</v>
      </c>
      <c r="V23" s="753" t="s">
        <v>28</v>
      </c>
      <c r="W23" s="754">
        <f>J23</f>
        <v>100</v>
      </c>
      <c r="X23" s="1900"/>
      <c r="Y23" s="3040"/>
      <c r="Z23" s="1902" t="str">
        <f>Q23</f>
        <v>自然及人文环境</v>
      </c>
      <c r="AA23" s="1903">
        <f t="shared" si="3"/>
        <v>1</v>
      </c>
      <c r="AB23" s="1903">
        <f t="shared" si="4"/>
        <v>1</v>
      </c>
      <c r="AC23" s="1903">
        <f t="shared" si="5"/>
        <v>1</v>
      </c>
    </row>
    <row r="24" spans="1:29" ht="15">
      <c r="A24" s="408"/>
      <c r="B24" s="436"/>
      <c r="C24" s="426" t="s">
        <v>31</v>
      </c>
      <c r="D24" s="427"/>
      <c r="E24" s="428" t="s">
        <v>31</v>
      </c>
      <c r="F24" s="429"/>
      <c r="G24" s="2404" t="s">
        <v>31</v>
      </c>
      <c r="H24" s="427"/>
      <c r="I24" s="428" t="s">
        <v>31</v>
      </c>
      <c r="J24" s="427"/>
      <c r="K24" s="2405"/>
      <c r="L24" s="1253"/>
      <c r="M24" s="1244"/>
      <c r="N24" s="1244"/>
      <c r="O24" s="1244"/>
      <c r="P24" s="3053"/>
      <c r="Q24" s="1899"/>
      <c r="R24" s="753"/>
      <c r="S24" s="754"/>
      <c r="T24" s="753"/>
      <c r="U24" s="754"/>
      <c r="V24" s="753"/>
      <c r="W24" s="754"/>
      <c r="X24" s="1900"/>
      <c r="Y24" s="3040"/>
      <c r="Z24" s="1902"/>
      <c r="AA24" s="1903">
        <v>1</v>
      </c>
      <c r="AB24" s="1903">
        <v>1</v>
      </c>
      <c r="AC24" s="1903">
        <v>1</v>
      </c>
    </row>
    <row r="25" spans="1:29" ht="15" hidden="1">
      <c r="A25" s="408"/>
      <c r="B25" s="402" t="s">
        <v>2366</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53"/>
      <c r="Q25" s="1899" t="str">
        <f t="shared" ref="Q25:Q46" si="11">B25</f>
        <v>楼层-1</v>
      </c>
      <c r="R25" s="753" t="s">
        <v>28</v>
      </c>
      <c r="S25" s="754">
        <f>F25</f>
        <v>100</v>
      </c>
      <c r="T25" s="753" t="s">
        <v>28</v>
      </c>
      <c r="U25" s="754">
        <f>H25</f>
        <v>100</v>
      </c>
      <c r="V25" s="753" t="s">
        <v>28</v>
      </c>
      <c r="W25" s="754">
        <f>J25</f>
        <v>100</v>
      </c>
      <c r="X25" s="1900"/>
      <c r="Y25" s="3040"/>
      <c r="Z25" s="1902" t="str">
        <f>Q25</f>
        <v>楼层-1</v>
      </c>
      <c r="AA25" s="1903">
        <f t="shared" si="3"/>
        <v>1</v>
      </c>
      <c r="AB25" s="1903">
        <f t="shared" si="4"/>
        <v>1</v>
      </c>
      <c r="AC25" s="1903">
        <f t="shared" si="5"/>
        <v>1</v>
      </c>
    </row>
    <row r="26" spans="1:29" ht="15">
      <c r="A26" s="408"/>
      <c r="B26" s="402" t="s">
        <v>2367</v>
      </c>
      <c r="C26" s="441" t="s">
        <v>2890</v>
      </c>
      <c r="D26" s="415">
        <v>100</v>
      </c>
      <c r="E26" s="2410" t="s">
        <v>2890</v>
      </c>
      <c r="F26" s="442">
        <f>SUMIF(88:88,E26,89:89)-SUMIF(88:88,C26,89:89)+100</f>
        <v>100</v>
      </c>
      <c r="G26" s="2411" t="s">
        <v>2890</v>
      </c>
      <c r="H26" s="415">
        <f>SUMIF(88:88,G26,89:89)-SUMIF(88:88,C26,89:89)+100</f>
        <v>100</v>
      </c>
      <c r="I26" s="2410" t="s">
        <v>2890</v>
      </c>
      <c r="J26" s="415">
        <f>SUMIF(88:88,I26,89:89)-SUMIF(88:88,C26,89:89)+100</f>
        <v>100</v>
      </c>
      <c r="K26" s="406">
        <v>1</v>
      </c>
      <c r="L26" s="1253"/>
      <c r="M26" s="1244"/>
      <c r="N26" s="1244"/>
      <c r="O26" s="1244"/>
      <c r="P26" s="3053"/>
      <c r="Q26" s="1899" t="str">
        <f t="shared" si="11"/>
        <v>朝向</v>
      </c>
      <c r="R26" s="753" t="s">
        <v>28</v>
      </c>
      <c r="S26" s="754">
        <f>F26</f>
        <v>100</v>
      </c>
      <c r="T26" s="753" t="s">
        <v>28</v>
      </c>
      <c r="U26" s="754">
        <f>H26</f>
        <v>100</v>
      </c>
      <c r="V26" s="753" t="s">
        <v>28</v>
      </c>
      <c r="W26" s="754">
        <f>J26</f>
        <v>100</v>
      </c>
      <c r="X26" s="1900"/>
      <c r="Y26" s="3040"/>
      <c r="Z26" s="1902" t="str">
        <f>Q26</f>
        <v>朝向</v>
      </c>
      <c r="AA26" s="1903">
        <f t="shared" si="3"/>
        <v>1</v>
      </c>
      <c r="AB26" s="1903">
        <f t="shared" si="4"/>
        <v>1</v>
      </c>
      <c r="AC26" s="1903">
        <f t="shared" si="5"/>
        <v>1</v>
      </c>
    </row>
    <row r="27" spans="1:29" s="35" customFormat="1" ht="15">
      <c r="A27" s="411"/>
      <c r="B27" s="2399" t="s">
        <v>2368</v>
      </c>
      <c r="C27" s="2751" t="s">
        <v>2904</v>
      </c>
      <c r="D27" s="443">
        <v>100</v>
      </c>
      <c r="E27" s="2751" t="s">
        <v>2858</v>
      </c>
      <c r="F27" s="445">
        <f>SUMIF(90:90,E27,91:91)-SUMIF(90:90,C27,91:91)+100</f>
        <v>102</v>
      </c>
      <c r="G27" s="2751" t="s">
        <v>2892</v>
      </c>
      <c r="H27" s="443">
        <f>SUMIF(90:90,G27,91:91)-SUMIF(90:90,C27,91:91)+100</f>
        <v>102</v>
      </c>
      <c r="I27" s="2751" t="s">
        <v>2891</v>
      </c>
      <c r="J27" s="443">
        <f>SUMIF(90:90,I27,91:91)-SUMIF(90:90,C27,91:91)+100</f>
        <v>102</v>
      </c>
      <c r="K27" s="2400"/>
      <c r="L27" s="1245"/>
      <c r="M27" s="1246"/>
      <c r="N27" s="1246"/>
      <c r="O27" s="1246"/>
      <c r="P27" s="3053"/>
      <c r="Q27" s="1887" t="str">
        <f t="shared" si="11"/>
        <v>道路级别</v>
      </c>
      <c r="R27" s="749" t="s">
        <v>28</v>
      </c>
      <c r="S27" s="750">
        <f>F27</f>
        <v>102</v>
      </c>
      <c r="T27" s="749" t="s">
        <v>28</v>
      </c>
      <c r="U27" s="750">
        <f>H27</f>
        <v>102</v>
      </c>
      <c r="V27" s="749" t="s">
        <v>28</v>
      </c>
      <c r="W27" s="750">
        <f>J27</f>
        <v>102</v>
      </c>
      <c r="X27" s="751"/>
      <c r="Y27" s="3040"/>
      <c r="Z27" s="23" t="str">
        <f>Q27</f>
        <v>道路级别</v>
      </c>
      <c r="AA27" s="1903">
        <f>D27/F27</f>
        <v>0.98039215686274506</v>
      </c>
      <c r="AB27" s="1903">
        <f>D27/H27</f>
        <v>0.98039215686274506</v>
      </c>
      <c r="AC27" s="1903">
        <f>D27/J27</f>
        <v>0.98039215686274506</v>
      </c>
    </row>
    <row r="28" spans="1:29" ht="15.75" thickBot="1">
      <c r="A28" s="408"/>
      <c r="B28" s="2745" t="s">
        <v>2863</v>
      </c>
      <c r="C28" s="414" t="s">
        <v>2893</v>
      </c>
      <c r="D28" s="415">
        <v>100</v>
      </c>
      <c r="E28" s="414" t="s">
        <v>2894</v>
      </c>
      <c r="F28" s="442">
        <f>SUMIF(92:92,E28,93:93)-SUMIF(92:92,C28,93:93)+100</f>
        <v>98</v>
      </c>
      <c r="G28" s="414" t="s">
        <v>2895</v>
      </c>
      <c r="H28" s="415">
        <f>SUMIF(92:92,G28,93:93)-SUMIF(92:92,C28,93:93)+100</f>
        <v>98</v>
      </c>
      <c r="I28" s="414" t="s">
        <v>2896</v>
      </c>
      <c r="J28" s="415">
        <f>SUMIF(92:92,I28,93:93)-SUMIF(92:92,C28,93:93)+100</f>
        <v>98</v>
      </c>
      <c r="K28" s="2400"/>
      <c r="L28" s="1253"/>
      <c r="M28" s="1244"/>
      <c r="N28" s="1244"/>
      <c r="O28" s="1244"/>
      <c r="P28" s="3053"/>
      <c r="Q28" s="1899" t="str">
        <f t="shared" si="11"/>
        <v>楼层</v>
      </c>
      <c r="R28" s="753" t="s">
        <v>28</v>
      </c>
      <c r="S28" s="754">
        <f t="shared" ref="S28:S46" si="12">F28</f>
        <v>98</v>
      </c>
      <c r="T28" s="753" t="s">
        <v>28</v>
      </c>
      <c r="U28" s="754">
        <f t="shared" ref="U28:U46" si="13">H28</f>
        <v>98</v>
      </c>
      <c r="V28" s="753" t="s">
        <v>28</v>
      </c>
      <c r="W28" s="754">
        <f t="shared" ref="W28:W46" si="14">J28</f>
        <v>98</v>
      </c>
      <c r="X28" s="1900"/>
      <c r="Y28" s="3040"/>
      <c r="Z28" s="1902" t="str">
        <f t="shared" ref="Z28:Z46" si="15">Q28</f>
        <v>楼层</v>
      </c>
      <c r="AA28" s="1903">
        <f t="shared" si="3"/>
        <v>1.0204081632653061</v>
      </c>
      <c r="AB28" s="1903">
        <f t="shared" si="4"/>
        <v>1.0204081632653061</v>
      </c>
      <c r="AC28" s="1903">
        <f t="shared" si="5"/>
        <v>1.0204081632653061</v>
      </c>
    </row>
    <row r="29" spans="1:29" ht="15" hidden="1">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53"/>
      <c r="Q29" s="1899">
        <f t="shared" si="11"/>
        <v>111</v>
      </c>
      <c r="R29" s="753" t="s">
        <v>28</v>
      </c>
      <c r="S29" s="754">
        <f t="shared" si="12"/>
        <v>100</v>
      </c>
      <c r="T29" s="753" t="s">
        <v>28</v>
      </c>
      <c r="U29" s="754">
        <f t="shared" si="13"/>
        <v>100</v>
      </c>
      <c r="V29" s="753" t="s">
        <v>28</v>
      </c>
      <c r="W29" s="754">
        <f t="shared" si="14"/>
        <v>100</v>
      </c>
      <c r="X29" s="1900"/>
      <c r="Y29" s="3040"/>
      <c r="Z29" s="1902">
        <f t="shared" si="15"/>
        <v>111</v>
      </c>
      <c r="AA29" s="1903">
        <f t="shared" si="3"/>
        <v>1</v>
      </c>
      <c r="AB29" s="1903">
        <f t="shared" si="4"/>
        <v>1</v>
      </c>
      <c r="AC29" s="1903">
        <f t="shared" si="5"/>
        <v>1</v>
      </c>
    </row>
    <row r="30" spans="1:29" ht="15" hidden="1">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53"/>
      <c r="Q30" s="1899">
        <f t="shared" si="11"/>
        <v>111</v>
      </c>
      <c r="R30" s="753" t="s">
        <v>28</v>
      </c>
      <c r="S30" s="754">
        <f t="shared" si="12"/>
        <v>100</v>
      </c>
      <c r="T30" s="753" t="s">
        <v>28</v>
      </c>
      <c r="U30" s="754">
        <f t="shared" si="13"/>
        <v>100</v>
      </c>
      <c r="V30" s="753" t="s">
        <v>28</v>
      </c>
      <c r="W30" s="754">
        <f t="shared" si="14"/>
        <v>100</v>
      </c>
      <c r="X30" s="1900"/>
      <c r="Y30" s="3040"/>
      <c r="Z30" s="1902">
        <f t="shared" si="15"/>
        <v>111</v>
      </c>
      <c r="AA30" s="1903">
        <f t="shared" si="3"/>
        <v>1</v>
      </c>
      <c r="AB30" s="1903">
        <f t="shared" si="4"/>
        <v>1</v>
      </c>
      <c r="AC30" s="1903">
        <f t="shared" si="5"/>
        <v>1</v>
      </c>
    </row>
    <row r="31" spans="1:29" ht="15.75" hidden="1"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53"/>
      <c r="Q31" s="1899">
        <f t="shared" si="11"/>
        <v>111</v>
      </c>
      <c r="R31" s="753" t="s">
        <v>28</v>
      </c>
      <c r="S31" s="754">
        <f t="shared" si="12"/>
        <v>100</v>
      </c>
      <c r="T31" s="753" t="s">
        <v>28</v>
      </c>
      <c r="U31" s="754">
        <f t="shared" si="13"/>
        <v>100</v>
      </c>
      <c r="V31" s="753" t="s">
        <v>28</v>
      </c>
      <c r="W31" s="754">
        <f t="shared" si="14"/>
        <v>100</v>
      </c>
      <c r="X31" s="1900"/>
      <c r="Y31" s="3040"/>
      <c r="Z31" s="1902">
        <f t="shared" si="15"/>
        <v>111</v>
      </c>
      <c r="AA31" s="1903">
        <f t="shared" si="3"/>
        <v>1</v>
      </c>
      <c r="AB31" s="1903">
        <f t="shared" si="4"/>
        <v>1</v>
      </c>
      <c r="AC31" s="1903">
        <f t="shared" si="5"/>
        <v>1</v>
      </c>
    </row>
    <row r="32" spans="1:29" ht="15">
      <c r="A32" s="419" t="s">
        <v>2369</v>
      </c>
      <c r="B32" s="28" t="s">
        <v>2370</v>
      </c>
      <c r="C32" s="2413" t="s">
        <v>2897</v>
      </c>
      <c r="D32" s="448">
        <v>100</v>
      </c>
      <c r="E32" s="2414" t="s">
        <v>2897</v>
      </c>
      <c r="F32" s="442">
        <f>SUMIF(100:100,E32,101:101)-SUMIF(100:100,C32,101:101)+100</f>
        <v>100</v>
      </c>
      <c r="G32" s="2413" t="s">
        <v>2897</v>
      </c>
      <c r="H32" s="448">
        <f>SUMIF(100:100,G32,101:101)-SUMIF(100:100,C32,101:101)+100</f>
        <v>100</v>
      </c>
      <c r="I32" s="2414" t="s">
        <v>2897</v>
      </c>
      <c r="J32" s="415">
        <f>SUMIF(100:100,I32,101:101)-SUMIF(100:100,C32,101:101)+100</f>
        <v>100</v>
      </c>
      <c r="K32" s="406">
        <v>2</v>
      </c>
      <c r="L32" s="1253"/>
      <c r="M32" s="1244"/>
      <c r="N32" s="1244"/>
      <c r="O32" s="1244"/>
      <c r="P32" s="3041" t="s">
        <v>2371</v>
      </c>
      <c r="Q32" s="1899" t="str">
        <f t="shared" si="11"/>
        <v>建筑类型</v>
      </c>
      <c r="R32" s="753" t="s">
        <v>28</v>
      </c>
      <c r="S32" s="754">
        <f t="shared" si="12"/>
        <v>100</v>
      </c>
      <c r="T32" s="753" t="s">
        <v>28</v>
      </c>
      <c r="U32" s="754">
        <f t="shared" si="13"/>
        <v>100</v>
      </c>
      <c r="V32" s="753" t="s">
        <v>28</v>
      </c>
      <c r="W32" s="754">
        <f t="shared" si="14"/>
        <v>100</v>
      </c>
      <c r="X32" s="1900"/>
      <c r="Y32" s="3044" t="s">
        <v>2371</v>
      </c>
      <c r="Z32" s="1902" t="str">
        <f t="shared" si="15"/>
        <v>建筑类型</v>
      </c>
      <c r="AA32" s="1903">
        <f t="shared" si="3"/>
        <v>1</v>
      </c>
      <c r="AB32" s="1903">
        <f t="shared" si="4"/>
        <v>1</v>
      </c>
      <c r="AC32" s="1903">
        <f t="shared" si="5"/>
        <v>1</v>
      </c>
    </row>
    <row r="33" spans="1:29" s="452" customFormat="1" ht="15">
      <c r="A33" s="449"/>
      <c r="B33" s="402" t="s">
        <v>2372</v>
      </c>
      <c r="C33" s="450">
        <f>项目基本情况!C12</f>
        <v>60.74</v>
      </c>
      <c r="D33" s="52">
        <v>100</v>
      </c>
      <c r="E33" s="410">
        <v>81</v>
      </c>
      <c r="F33" s="405">
        <f>LOOKUP(E33,103:103,104:104)-LOOKUP(C33,103:103,104:104)+100</f>
        <v>100</v>
      </c>
      <c r="G33" s="409">
        <v>80</v>
      </c>
      <c r="H33" s="52">
        <f>LOOKUP(G33,103:103,104:104)-LOOKUP(C33,103:103,104:104)+100</f>
        <v>100</v>
      </c>
      <c r="I33" s="410">
        <v>119.7</v>
      </c>
      <c r="J33" s="52">
        <f>LOOKUP(I33,103:103,104:104)-LOOKUP(C33,103:103,104:104)+100</f>
        <v>98</v>
      </c>
      <c r="K33" s="2400"/>
      <c r="L33" s="1251"/>
      <c r="M33" s="1254"/>
      <c r="N33" s="1254"/>
      <c r="O33" s="1254"/>
      <c r="P33" s="3042"/>
      <c r="Q33" s="755" t="str">
        <f t="shared" si="11"/>
        <v>项目建筑规模</v>
      </c>
      <c r="R33" s="756" t="s">
        <v>28</v>
      </c>
      <c r="S33" s="757">
        <f t="shared" si="12"/>
        <v>100</v>
      </c>
      <c r="T33" s="756" t="s">
        <v>28</v>
      </c>
      <c r="U33" s="757">
        <f t="shared" si="13"/>
        <v>100</v>
      </c>
      <c r="V33" s="756" t="s">
        <v>28</v>
      </c>
      <c r="W33" s="757">
        <f t="shared" si="14"/>
        <v>98</v>
      </c>
      <c r="X33" s="758"/>
      <c r="Y33" s="3044"/>
      <c r="Z33" s="759" t="str">
        <f t="shared" si="15"/>
        <v>项目建筑规模</v>
      </c>
      <c r="AA33" s="1903">
        <f t="shared" si="3"/>
        <v>1</v>
      </c>
      <c r="AB33" s="1903">
        <f t="shared" si="4"/>
        <v>1</v>
      </c>
      <c r="AC33" s="1903">
        <f t="shared" si="5"/>
        <v>1.0204081632653061</v>
      </c>
    </row>
    <row r="34" spans="1:29" ht="15">
      <c r="A34" s="453"/>
      <c r="B34" s="402" t="s">
        <v>2373</v>
      </c>
      <c r="C34" s="2415" t="s">
        <v>2898</v>
      </c>
      <c r="D34" s="415">
        <v>100</v>
      </c>
      <c r="E34" s="2416" t="s">
        <v>2898</v>
      </c>
      <c r="F34" s="442">
        <f>SUMIF(105:105,E34,106:106)-SUMIF(105:105,C34,106:106)+100</f>
        <v>100</v>
      </c>
      <c r="G34" s="2415" t="s">
        <v>2898</v>
      </c>
      <c r="H34" s="415">
        <f>SUMIF(105:105,G34,106:106)-SUMIF(105:105,C34,106:106)+100</f>
        <v>100</v>
      </c>
      <c r="I34" s="2416" t="s">
        <v>2898</v>
      </c>
      <c r="J34" s="415">
        <f>SUMIF(105:105,I34,106:106)-SUMIF(105:105,C34,106:106)+100</f>
        <v>100</v>
      </c>
      <c r="K34" s="406">
        <v>2</v>
      </c>
      <c r="L34" s="1253"/>
      <c r="M34" s="1244"/>
      <c r="N34" s="1244"/>
      <c r="O34" s="1244"/>
      <c r="P34" s="3042"/>
      <c r="Q34" s="1899" t="str">
        <f t="shared" si="11"/>
        <v>建筑结构</v>
      </c>
      <c r="R34" s="753" t="s">
        <v>28</v>
      </c>
      <c r="S34" s="754">
        <f t="shared" si="12"/>
        <v>100</v>
      </c>
      <c r="T34" s="753" t="s">
        <v>28</v>
      </c>
      <c r="U34" s="754">
        <f t="shared" si="13"/>
        <v>100</v>
      </c>
      <c r="V34" s="753" t="s">
        <v>28</v>
      </c>
      <c r="W34" s="754">
        <f t="shared" si="14"/>
        <v>100</v>
      </c>
      <c r="X34" s="1900"/>
      <c r="Y34" s="3044"/>
      <c r="Z34" s="1902" t="str">
        <f t="shared" si="15"/>
        <v>建筑结构</v>
      </c>
      <c r="AA34" s="1903">
        <f t="shared" si="3"/>
        <v>1</v>
      </c>
      <c r="AB34" s="1903">
        <f t="shared" si="4"/>
        <v>1</v>
      </c>
      <c r="AC34" s="1903">
        <f t="shared" si="5"/>
        <v>1</v>
      </c>
    </row>
    <row r="35" spans="1:29" ht="15" hidden="1">
      <c r="A35" s="453"/>
      <c r="B35" s="402" t="s">
        <v>2374</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42"/>
      <c r="Q35" s="1899" t="str">
        <f t="shared" si="11"/>
        <v>建筑品质</v>
      </c>
      <c r="R35" s="753" t="s">
        <v>28</v>
      </c>
      <c r="S35" s="754">
        <f t="shared" si="12"/>
        <v>100</v>
      </c>
      <c r="T35" s="753" t="s">
        <v>28</v>
      </c>
      <c r="U35" s="754">
        <f t="shared" si="13"/>
        <v>100</v>
      </c>
      <c r="V35" s="753" t="s">
        <v>28</v>
      </c>
      <c r="W35" s="754">
        <f t="shared" si="14"/>
        <v>100</v>
      </c>
      <c r="X35" s="1900"/>
      <c r="Y35" s="3044"/>
      <c r="Z35" s="1902" t="str">
        <f t="shared" si="15"/>
        <v>建筑品质</v>
      </c>
      <c r="AA35" s="1903">
        <f t="shared" si="3"/>
        <v>1</v>
      </c>
      <c r="AB35" s="1903">
        <f t="shared" si="4"/>
        <v>1</v>
      </c>
      <c r="AC35" s="1903">
        <f t="shared" si="5"/>
        <v>1</v>
      </c>
    </row>
    <row r="36" spans="1:29" ht="15">
      <c r="A36" s="453"/>
      <c r="B36" s="402" t="s">
        <v>2375</v>
      </c>
      <c r="C36" s="2411" t="s">
        <v>2899</v>
      </c>
      <c r="D36" s="415">
        <v>100</v>
      </c>
      <c r="E36" s="2410" t="s">
        <v>2899</v>
      </c>
      <c r="F36" s="442">
        <f>SUMIF(109:109,E36,110:110)-SUMIF(109:109,C36,110:110)+100</f>
        <v>100</v>
      </c>
      <c r="G36" s="2411" t="s">
        <v>2899</v>
      </c>
      <c r="H36" s="415">
        <f>SUMIF(109:109,G36,110:110)-SUMIF(109:109,C36,110:110)+100</f>
        <v>100</v>
      </c>
      <c r="I36" s="2410" t="s">
        <v>2899</v>
      </c>
      <c r="J36" s="415">
        <f>SUMIF(109:109,I36,110:110)-SUMIF(109:109,C36,110:110)+100</f>
        <v>100</v>
      </c>
      <c r="K36" s="406">
        <v>3</v>
      </c>
      <c r="L36" s="1253"/>
      <c r="M36" s="1244"/>
      <c r="N36" s="1244"/>
      <c r="O36" s="1244"/>
      <c r="P36" s="3042"/>
      <c r="Q36" s="1899" t="str">
        <f t="shared" si="11"/>
        <v>公共部分装修</v>
      </c>
      <c r="R36" s="753" t="s">
        <v>28</v>
      </c>
      <c r="S36" s="754">
        <f t="shared" si="12"/>
        <v>100</v>
      </c>
      <c r="T36" s="753" t="s">
        <v>28</v>
      </c>
      <c r="U36" s="754">
        <f t="shared" si="13"/>
        <v>100</v>
      </c>
      <c r="V36" s="753" t="s">
        <v>28</v>
      </c>
      <c r="W36" s="754">
        <f t="shared" si="14"/>
        <v>100</v>
      </c>
      <c r="X36" s="1900"/>
      <c r="Y36" s="3044"/>
      <c r="Z36" s="1902" t="str">
        <f t="shared" si="15"/>
        <v>公共部分装修</v>
      </c>
      <c r="AA36" s="1903">
        <f t="shared" si="3"/>
        <v>1</v>
      </c>
      <c r="AB36" s="1903">
        <f t="shared" si="4"/>
        <v>1</v>
      </c>
      <c r="AC36" s="1903">
        <f t="shared" si="5"/>
        <v>1</v>
      </c>
    </row>
    <row r="37" spans="1:29" s="35" customFormat="1" ht="15" hidden="1">
      <c r="A37" s="454"/>
      <c r="B37" s="402" t="s">
        <v>2376</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42"/>
      <c r="Q37" s="1887" t="str">
        <f t="shared" si="11"/>
        <v>成新度</v>
      </c>
      <c r="R37" s="749" t="s">
        <v>28</v>
      </c>
      <c r="S37" s="750">
        <f t="shared" si="12"/>
        <v>100</v>
      </c>
      <c r="T37" s="749" t="s">
        <v>28</v>
      </c>
      <c r="U37" s="750">
        <f t="shared" si="13"/>
        <v>100</v>
      </c>
      <c r="V37" s="749" t="s">
        <v>28</v>
      </c>
      <c r="W37" s="750">
        <f t="shared" si="14"/>
        <v>100</v>
      </c>
      <c r="X37" s="751"/>
      <c r="Y37" s="3044"/>
      <c r="Z37" s="23" t="str">
        <f t="shared" si="15"/>
        <v>成新度</v>
      </c>
      <c r="AA37" s="752">
        <f t="shared" si="3"/>
        <v>1</v>
      </c>
      <c r="AB37" s="752">
        <f t="shared" si="4"/>
        <v>1</v>
      </c>
      <c r="AC37" s="752">
        <f t="shared" si="5"/>
        <v>1</v>
      </c>
    </row>
    <row r="38" spans="1:29" ht="15">
      <c r="A38" s="453"/>
      <c r="B38" s="402" t="s">
        <v>2377</v>
      </c>
      <c r="C38" s="2411" t="s">
        <v>2900</v>
      </c>
      <c r="D38" s="415">
        <v>100</v>
      </c>
      <c r="E38" s="2410" t="s">
        <v>2900</v>
      </c>
      <c r="F38" s="442">
        <f>SUMIF(114:114,E38,115:115)-SUMIF(114:114,C38,115:115)+100</f>
        <v>100</v>
      </c>
      <c r="G38" s="2411" t="s">
        <v>2900</v>
      </c>
      <c r="H38" s="415">
        <f>SUMIF(114:114,G38,115:115)-SUMIF(114:114,C38,115:115)+100</f>
        <v>100</v>
      </c>
      <c r="I38" s="2410" t="s">
        <v>2900</v>
      </c>
      <c r="J38" s="415">
        <f>SUMIF(114:114,I38,115:115)-SUMIF(114:114,C38,115:115)+100</f>
        <v>100</v>
      </c>
      <c r="K38" s="406">
        <v>2</v>
      </c>
      <c r="L38" s="1253"/>
      <c r="M38" s="1244"/>
      <c r="N38" s="1244"/>
      <c r="O38" s="1244"/>
      <c r="P38" s="3042" t="s">
        <v>2371</v>
      </c>
      <c r="Q38" s="1899" t="str">
        <f t="shared" si="11"/>
        <v>物业管理</v>
      </c>
      <c r="R38" s="753" t="s">
        <v>28</v>
      </c>
      <c r="S38" s="754">
        <f t="shared" si="12"/>
        <v>100</v>
      </c>
      <c r="T38" s="753" t="s">
        <v>28</v>
      </c>
      <c r="U38" s="754">
        <f t="shared" si="13"/>
        <v>100</v>
      </c>
      <c r="V38" s="753" t="s">
        <v>28</v>
      </c>
      <c r="W38" s="754">
        <f t="shared" si="14"/>
        <v>100</v>
      </c>
      <c r="X38" s="1900"/>
      <c r="Y38" s="3044" t="s">
        <v>2371</v>
      </c>
      <c r="Z38" s="1902" t="str">
        <f t="shared" si="15"/>
        <v>物业管理</v>
      </c>
      <c r="AA38" s="1903">
        <f t="shared" si="3"/>
        <v>1</v>
      </c>
      <c r="AB38" s="1903">
        <f t="shared" si="4"/>
        <v>1</v>
      </c>
      <c r="AC38" s="1903">
        <f t="shared" si="5"/>
        <v>1</v>
      </c>
    </row>
    <row r="39" spans="1:29" ht="15">
      <c r="A39" s="453"/>
      <c r="B39" s="402" t="s">
        <v>2378</v>
      </c>
      <c r="C39" s="2411" t="s">
        <v>2906</v>
      </c>
      <c r="D39" s="415">
        <v>100</v>
      </c>
      <c r="E39" s="2410" t="s">
        <v>2844</v>
      </c>
      <c r="F39" s="442">
        <f>SUMIF(116:116,E39,117:117)-SUMIF(116:116,C39,117:117)+100</f>
        <v>102</v>
      </c>
      <c r="G39" s="2411" t="s">
        <v>2844</v>
      </c>
      <c r="H39" s="415">
        <f>SUMIF(116:116,G39,117:117)-SUMIF(116:116,C39,117:117)+100</f>
        <v>102</v>
      </c>
      <c r="I39" s="2410" t="s">
        <v>2844</v>
      </c>
      <c r="J39" s="415">
        <f>SUMIF(116:116,I39,117:117)-SUMIF(116:116,C39,117:117)+100</f>
        <v>102</v>
      </c>
      <c r="K39" s="406">
        <v>2</v>
      </c>
      <c r="L39" s="1253"/>
      <c r="M39" s="1244"/>
      <c r="N39" s="1244"/>
      <c r="O39" s="1244"/>
      <c r="P39" s="3042"/>
      <c r="Q39" s="1899" t="str">
        <f t="shared" si="11"/>
        <v>市政基础设施</v>
      </c>
      <c r="R39" s="753" t="s">
        <v>28</v>
      </c>
      <c r="S39" s="754">
        <f t="shared" si="12"/>
        <v>102</v>
      </c>
      <c r="T39" s="753" t="s">
        <v>28</v>
      </c>
      <c r="U39" s="754">
        <f t="shared" si="13"/>
        <v>102</v>
      </c>
      <c r="V39" s="753" t="s">
        <v>28</v>
      </c>
      <c r="W39" s="754">
        <f t="shared" si="14"/>
        <v>102</v>
      </c>
      <c r="X39" s="1900"/>
      <c r="Y39" s="3044"/>
      <c r="Z39" s="1902" t="str">
        <f t="shared" si="15"/>
        <v>市政基础设施</v>
      </c>
      <c r="AA39" s="1903">
        <f t="shared" si="3"/>
        <v>0.98039215686274506</v>
      </c>
      <c r="AB39" s="1903">
        <f t="shared" si="4"/>
        <v>0.98039215686274506</v>
      </c>
      <c r="AC39" s="1903">
        <f t="shared" si="5"/>
        <v>0.98039215686274506</v>
      </c>
    </row>
    <row r="40" spans="1:29" ht="15">
      <c r="A40" s="453"/>
      <c r="B40" s="402" t="s">
        <v>2379</v>
      </c>
      <c r="C40" s="2411" t="s">
        <v>2902</v>
      </c>
      <c r="D40" s="415">
        <v>100</v>
      </c>
      <c r="E40" s="2410" t="s">
        <v>2902</v>
      </c>
      <c r="F40" s="442">
        <f>SUMIF(118:118,E40,119:119)-SUMIF(118:118,C40,119:119)+100</f>
        <v>100</v>
      </c>
      <c r="G40" s="2411" t="s">
        <v>2902</v>
      </c>
      <c r="H40" s="415">
        <f>SUMIF(118:118,G40,119:119)-SUMIF(118:118,C40,119:119)+100</f>
        <v>100</v>
      </c>
      <c r="I40" s="2410" t="s">
        <v>2902</v>
      </c>
      <c r="J40" s="415">
        <f>SUMIF(118:118,I40,119:119)-SUMIF(118:118,C40,119:119)+100</f>
        <v>100</v>
      </c>
      <c r="K40" s="406">
        <v>3</v>
      </c>
      <c r="L40" s="1253"/>
      <c r="M40" s="1244"/>
      <c r="N40" s="1244"/>
      <c r="O40" s="1244"/>
      <c r="P40" s="3042"/>
      <c r="Q40" s="1899" t="str">
        <f t="shared" si="11"/>
        <v>房型</v>
      </c>
      <c r="R40" s="753" t="s">
        <v>28</v>
      </c>
      <c r="S40" s="754">
        <f t="shared" si="12"/>
        <v>100</v>
      </c>
      <c r="T40" s="753" t="s">
        <v>28</v>
      </c>
      <c r="U40" s="754">
        <f t="shared" si="13"/>
        <v>100</v>
      </c>
      <c r="V40" s="753" t="s">
        <v>28</v>
      </c>
      <c r="W40" s="754">
        <f t="shared" si="14"/>
        <v>100</v>
      </c>
      <c r="X40" s="1900"/>
      <c r="Y40" s="3044"/>
      <c r="Z40" s="1902" t="str">
        <f t="shared" si="15"/>
        <v>房型</v>
      </c>
      <c r="AA40" s="1903">
        <f t="shared" si="3"/>
        <v>1</v>
      </c>
      <c r="AB40" s="1903">
        <f t="shared" si="4"/>
        <v>1</v>
      </c>
      <c r="AC40" s="1903">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42"/>
      <c r="Q41" s="755" t="str">
        <f t="shared" si="11"/>
        <v>单套/主力户型建筑面积</v>
      </c>
      <c r="R41" s="756" t="s">
        <v>28</v>
      </c>
      <c r="S41" s="757">
        <f t="shared" si="12"/>
        <v>100</v>
      </c>
      <c r="T41" s="756" t="s">
        <v>28</v>
      </c>
      <c r="U41" s="757">
        <f t="shared" si="13"/>
        <v>100</v>
      </c>
      <c r="V41" s="756" t="s">
        <v>28</v>
      </c>
      <c r="W41" s="757">
        <f t="shared" si="14"/>
        <v>100</v>
      </c>
      <c r="X41" s="758"/>
      <c r="Y41" s="3044"/>
      <c r="Z41" s="759" t="str">
        <f t="shared" si="15"/>
        <v>单套/主力户型建筑面积</v>
      </c>
      <c r="AA41" s="1903">
        <f t="shared" si="3"/>
        <v>1</v>
      </c>
      <c r="AB41" s="1903">
        <f t="shared" si="4"/>
        <v>1</v>
      </c>
      <c r="AC41" s="1903">
        <f t="shared" si="5"/>
        <v>1</v>
      </c>
    </row>
    <row r="42" spans="1:29" ht="15">
      <c r="A42" s="453"/>
      <c r="B42" s="402" t="s">
        <v>2381</v>
      </c>
      <c r="C42" s="2411" t="s">
        <v>2899</v>
      </c>
      <c r="D42" s="415">
        <v>100</v>
      </c>
      <c r="E42" s="2410" t="s">
        <v>2899</v>
      </c>
      <c r="F42" s="442">
        <f>SUMIF(122:122,E42,123:123)-SUMIF(122:122,C42,123:123)+100</f>
        <v>100</v>
      </c>
      <c r="G42" s="2411" t="s">
        <v>2903</v>
      </c>
      <c r="H42" s="415">
        <f>SUMIF(122:122,G42,123:123)-SUMIF(122:122,C42,123:123)+100</f>
        <v>102</v>
      </c>
      <c r="I42" s="2410" t="s">
        <v>2903</v>
      </c>
      <c r="J42" s="415">
        <f>SUMIF(122:122,I42,123:123)-SUMIF(122:122,C42,123:123)+100</f>
        <v>102</v>
      </c>
      <c r="K42" s="406">
        <v>2</v>
      </c>
      <c r="L42" s="1253"/>
      <c r="M42" s="1244"/>
      <c r="N42" s="1244"/>
      <c r="O42" s="1244"/>
      <c r="P42" s="3042"/>
      <c r="Q42" s="1899" t="str">
        <f t="shared" si="11"/>
        <v>内部装修</v>
      </c>
      <c r="R42" s="753" t="s">
        <v>28</v>
      </c>
      <c r="S42" s="754">
        <f t="shared" si="12"/>
        <v>100</v>
      </c>
      <c r="T42" s="753" t="s">
        <v>28</v>
      </c>
      <c r="U42" s="754">
        <f t="shared" si="13"/>
        <v>102</v>
      </c>
      <c r="V42" s="753" t="s">
        <v>28</v>
      </c>
      <c r="W42" s="754">
        <f t="shared" si="14"/>
        <v>102</v>
      </c>
      <c r="X42" s="1900"/>
      <c r="Y42" s="3044"/>
      <c r="Z42" s="1902" t="str">
        <f t="shared" si="15"/>
        <v>内部装修</v>
      </c>
      <c r="AA42" s="1903">
        <f t="shared" si="3"/>
        <v>1</v>
      </c>
      <c r="AB42" s="1903">
        <f t="shared" si="4"/>
        <v>0.98039215686274506</v>
      </c>
      <c r="AC42" s="1903">
        <f t="shared" si="5"/>
        <v>0.98039215686274506</v>
      </c>
    </row>
    <row r="43" spans="1:29" ht="15">
      <c r="A43" s="453"/>
      <c r="B43" s="402" t="s">
        <v>2382</v>
      </c>
      <c r="C43" s="2411" t="s">
        <v>30</v>
      </c>
      <c r="D43" s="415">
        <v>100</v>
      </c>
      <c r="E43" s="2410" t="s">
        <v>30</v>
      </c>
      <c r="F43" s="442">
        <f>SUMIF(124:124,E43,125:125)-SUMIF(124:124,C43,125:125)+100</f>
        <v>100</v>
      </c>
      <c r="G43" s="2411" t="s">
        <v>30</v>
      </c>
      <c r="H43" s="415">
        <f>SUMIF(124:124,G43,125:125)-SUMIF(124:124,C43,125:125)+100</f>
        <v>100</v>
      </c>
      <c r="I43" s="2410" t="s">
        <v>30</v>
      </c>
      <c r="J43" s="415">
        <f>SUMIF(124:124,I43,125:125)-SUMIF(124:124,C43,125:125)+100</f>
        <v>100</v>
      </c>
      <c r="K43" s="406">
        <v>2</v>
      </c>
      <c r="L43" s="1253"/>
      <c r="M43" s="1244"/>
      <c r="N43" s="1244"/>
      <c r="O43" s="1244"/>
      <c r="P43" s="3042"/>
      <c r="Q43" s="1899" t="str">
        <f t="shared" si="11"/>
        <v>内部装修维护情况</v>
      </c>
      <c r="R43" s="753" t="s">
        <v>28</v>
      </c>
      <c r="S43" s="754">
        <f t="shared" si="12"/>
        <v>100</v>
      </c>
      <c r="T43" s="753" t="s">
        <v>28</v>
      </c>
      <c r="U43" s="754">
        <f t="shared" si="13"/>
        <v>100</v>
      </c>
      <c r="V43" s="753" t="s">
        <v>28</v>
      </c>
      <c r="W43" s="754">
        <f t="shared" si="14"/>
        <v>100</v>
      </c>
      <c r="X43" s="1900"/>
      <c r="Y43" s="3044"/>
      <c r="Z43" s="1902" t="str">
        <f t="shared" si="15"/>
        <v>内部装修维护情况</v>
      </c>
      <c r="AA43" s="1903">
        <f t="shared" si="3"/>
        <v>1</v>
      </c>
      <c r="AB43" s="1903">
        <f t="shared" si="4"/>
        <v>1</v>
      </c>
      <c r="AC43" s="1903">
        <f t="shared" si="5"/>
        <v>1</v>
      </c>
    </row>
    <row r="44" spans="1:29" s="35" customFormat="1" ht="15.75" thickBot="1">
      <c r="A44" s="454"/>
      <c r="B44" s="2745" t="s">
        <v>2889</v>
      </c>
      <c r="C44" s="450">
        <v>1993</v>
      </c>
      <c r="D44" s="52">
        <v>100</v>
      </c>
      <c r="E44" s="450">
        <v>2000</v>
      </c>
      <c r="F44" s="405">
        <f>SUMIF(126:126,E44,127:127)-SUMIF(126:126,C44,127:127)+100</f>
        <v>101.4</v>
      </c>
      <c r="G44" s="450">
        <v>1996</v>
      </c>
      <c r="H44" s="52">
        <f>SUMIF(126:126,G44,127:127)-SUMIF(126:126,C44,127:127)+100</f>
        <v>100.6</v>
      </c>
      <c r="I44" s="450">
        <v>2002</v>
      </c>
      <c r="J44" s="52">
        <f>SUMIF(126:126,I44,127:127)-SUMIF(126:126,C44,127:127)+100</f>
        <v>101.8</v>
      </c>
      <c r="K44" s="2400"/>
      <c r="L44" s="1245"/>
      <c r="M44" s="1246"/>
      <c r="N44" s="1246"/>
      <c r="O44" s="1246"/>
      <c r="P44" s="3042"/>
      <c r="Q44" s="1887" t="str">
        <f t="shared" si="11"/>
        <v>建成年代</v>
      </c>
      <c r="R44" s="749" t="s">
        <v>28</v>
      </c>
      <c r="S44" s="750">
        <f t="shared" si="12"/>
        <v>101.4</v>
      </c>
      <c r="T44" s="749" t="s">
        <v>28</v>
      </c>
      <c r="U44" s="750">
        <f t="shared" si="13"/>
        <v>100.6</v>
      </c>
      <c r="V44" s="749" t="s">
        <v>28</v>
      </c>
      <c r="W44" s="750">
        <f t="shared" si="14"/>
        <v>101.8</v>
      </c>
      <c r="X44" s="751"/>
      <c r="Y44" s="3044"/>
      <c r="Z44" s="23" t="str">
        <f t="shared" si="15"/>
        <v>建成年代</v>
      </c>
      <c r="AA44" s="752">
        <f t="shared" si="3"/>
        <v>0.98619329388560151</v>
      </c>
      <c r="AB44" s="752">
        <f t="shared" si="4"/>
        <v>0.99403578528827041</v>
      </c>
      <c r="AC44" s="752">
        <f t="shared" si="5"/>
        <v>0.98231827111984282</v>
      </c>
    </row>
    <row r="45" spans="1:29" ht="15" hidden="1">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42"/>
      <c r="Q45" s="1899">
        <f t="shared" si="11"/>
        <v>111</v>
      </c>
      <c r="R45" s="753" t="s">
        <v>28</v>
      </c>
      <c r="S45" s="754">
        <f t="shared" si="12"/>
        <v>100</v>
      </c>
      <c r="T45" s="753" t="s">
        <v>28</v>
      </c>
      <c r="U45" s="754">
        <f t="shared" si="13"/>
        <v>100</v>
      </c>
      <c r="V45" s="753" t="s">
        <v>28</v>
      </c>
      <c r="W45" s="754">
        <f t="shared" si="14"/>
        <v>100</v>
      </c>
      <c r="X45" s="1900"/>
      <c r="Y45" s="3044"/>
      <c r="Z45" s="1902">
        <f t="shared" si="15"/>
        <v>111</v>
      </c>
      <c r="AA45" s="1903">
        <f t="shared" si="3"/>
        <v>1</v>
      </c>
      <c r="AB45" s="1903">
        <f t="shared" si="4"/>
        <v>1</v>
      </c>
      <c r="AC45" s="1903">
        <f t="shared" si="5"/>
        <v>1</v>
      </c>
    </row>
    <row r="46" spans="1:29" ht="15.75" hidden="1"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43"/>
      <c r="Q46" s="1899">
        <f t="shared" si="11"/>
        <v>111</v>
      </c>
      <c r="R46" s="753" t="s">
        <v>27</v>
      </c>
      <c r="S46" s="754">
        <f t="shared" si="12"/>
        <v>100</v>
      </c>
      <c r="T46" s="753" t="s">
        <v>27</v>
      </c>
      <c r="U46" s="754">
        <f t="shared" si="13"/>
        <v>100</v>
      </c>
      <c r="V46" s="753" t="s">
        <v>27</v>
      </c>
      <c r="W46" s="754">
        <f t="shared" si="14"/>
        <v>100</v>
      </c>
      <c r="X46" s="1900"/>
      <c r="Y46" s="3045"/>
      <c r="Z46" s="1902">
        <f t="shared" si="15"/>
        <v>111</v>
      </c>
      <c r="AA46" s="1903">
        <f t="shared" si="3"/>
        <v>1</v>
      </c>
      <c r="AB46" s="1903">
        <f t="shared" si="4"/>
        <v>1</v>
      </c>
      <c r="AC46" s="1903">
        <f t="shared" si="5"/>
        <v>1</v>
      </c>
    </row>
    <row r="47" spans="1:29" ht="15">
      <c r="A47" s="460" t="s">
        <v>2383</v>
      </c>
      <c r="B47" s="461"/>
      <c r="C47" s="1502" t="s">
        <v>26</v>
      </c>
      <c r="D47" s="1503"/>
      <c r="E47" s="1504">
        <v>29629</v>
      </c>
      <c r="F47" s="1505"/>
      <c r="G47" s="1506">
        <v>30579</v>
      </c>
      <c r="H47" s="1507"/>
      <c r="I47" s="1504">
        <v>32174</v>
      </c>
      <c r="J47" s="1507"/>
      <c r="K47" s="2417"/>
      <c r="L47" s="1256"/>
      <c r="M47" s="1257"/>
      <c r="N47" s="1244"/>
      <c r="O47" s="1257"/>
      <c r="P47" s="3050" t="str">
        <f>A47</f>
        <v>成交单价（元/平方米）</v>
      </c>
      <c r="Q47" s="3050"/>
      <c r="R47" s="3051">
        <f>E47</f>
        <v>29629</v>
      </c>
      <c r="S47" s="3051"/>
      <c r="T47" s="3051">
        <f>G47</f>
        <v>30579</v>
      </c>
      <c r="U47" s="3051"/>
      <c r="V47" s="3051">
        <f>I47</f>
        <v>32174</v>
      </c>
      <c r="W47" s="3051"/>
      <c r="X47" s="738"/>
      <c r="Y47" s="760"/>
      <c r="Z47" s="738"/>
      <c r="AA47" s="738"/>
      <c r="AB47" s="738"/>
      <c r="AC47" s="738"/>
    </row>
    <row r="48" spans="1:29" ht="15.75" thickBot="1">
      <c r="A48" s="467" t="s">
        <v>2384</v>
      </c>
      <c r="B48" s="468"/>
      <c r="C48" s="1508">
        <f>R49</f>
        <v>29242</v>
      </c>
      <c r="D48" s="1509"/>
      <c r="E48" s="1510">
        <f>R48</f>
        <v>28097</v>
      </c>
      <c r="F48" s="1510"/>
      <c r="G48" s="1508">
        <f>T48</f>
        <v>29228</v>
      </c>
      <c r="H48" s="1509"/>
      <c r="I48" s="1510">
        <f>V48</f>
        <v>30402</v>
      </c>
      <c r="J48" s="1509"/>
      <c r="K48" s="2418"/>
      <c r="L48" s="1256"/>
      <c r="M48" s="1257"/>
      <c r="N48" s="1257"/>
      <c r="O48" s="1257"/>
      <c r="P48" s="3050" t="str">
        <f>A48</f>
        <v>比较价值（元/平方米）</v>
      </c>
      <c r="Q48" s="3050"/>
      <c r="R48" s="3051">
        <f>IF(E1="售价",ROUND(PRODUCT(R47,AA7:AA46),0),ROUND(PRODUCT(R47,AA7:AA46),1))</f>
        <v>28097</v>
      </c>
      <c r="S48" s="3051"/>
      <c r="T48" s="3054">
        <f>IF(E1="售价",ROUND(PRODUCT(T47,AB7:AB46),0),ROUND(PRODUCT(T47,AB7:AB46),1))</f>
        <v>29228</v>
      </c>
      <c r="U48" s="3055"/>
      <c r="V48" s="3051">
        <f>IF(E1="售价",ROUND(PRODUCT(V47,AC7:AC46),0),ROUND(PRODUCT(V47,AC7:AC46),1))</f>
        <v>30402</v>
      </c>
      <c r="W48" s="3051"/>
      <c r="X48" s="738"/>
      <c r="Y48" s="738"/>
      <c r="Z48" s="738"/>
      <c r="AA48" s="738"/>
      <c r="AB48" s="738"/>
      <c r="AC48" s="738"/>
    </row>
    <row r="49" spans="1:29" ht="15.75" thickBot="1">
      <c r="A49" s="473" t="s">
        <v>2385</v>
      </c>
      <c r="B49" s="474"/>
      <c r="C49" s="1511">
        <f>R49</f>
        <v>29242</v>
      </c>
      <c r="D49" s="1512"/>
      <c r="E49" s="1512"/>
      <c r="F49" s="1512"/>
      <c r="G49" s="1512"/>
      <c r="H49" s="1512"/>
      <c r="I49" s="1512"/>
      <c r="J49" s="1512"/>
      <c r="K49" s="2419"/>
      <c r="L49" s="1256"/>
      <c r="M49" s="1257"/>
      <c r="N49" s="1257"/>
      <c r="O49" s="1257"/>
      <c r="P49" s="3056" t="str">
        <f>A49</f>
        <v>估价对象XX用房的比较价值（楼面单价，元/平方米）</v>
      </c>
      <c r="Q49" s="3057"/>
      <c r="R49" s="3058">
        <f>IF(E1="售价",ROUND(AVERAGE(R48:V48),0),ROUND(AVERAGE(R48:V48),1))</f>
        <v>29242</v>
      </c>
      <c r="S49" s="3058"/>
      <c r="T49" s="3058"/>
      <c r="U49" s="3058"/>
      <c r="V49" s="3058"/>
      <c r="W49" s="3058"/>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5.4525394170196195E-2</v>
      </c>
      <c r="F52" s="481" t="str">
        <f>IF(OR(E52&gt;=0.3,E52&lt;=-0.3),"超过30%","")</f>
        <v/>
      </c>
      <c r="G52" s="480">
        <f>IF(G47&lt;G48,G48/G47-1,G47/G48-1)</f>
        <v>4.6222800054741997E-2</v>
      </c>
      <c r="H52" s="481" t="str">
        <f>IF(OR(G52&gt;=0.3,G52&lt;=-0.3),"超过30%","")</f>
        <v/>
      </c>
      <c r="I52" s="480">
        <f>IF(I47&lt;I48,I48/I47-1,I47/I48-1)</f>
        <v>5.8285639102690689E-2</v>
      </c>
      <c r="J52" s="481" t="str">
        <f>IF(OR(I52&gt;=0.3,I52&lt;=-0.3),"超过30%","")</f>
        <v/>
      </c>
      <c r="K52" s="1262"/>
      <c r="L52" s="1258"/>
      <c r="M52" s="1257"/>
      <c r="N52" s="1257"/>
      <c r="O52" s="1257"/>
    </row>
    <row r="53" spans="1:29" ht="13.5" customHeight="1">
      <c r="A53" s="1257"/>
      <c r="B53" s="1257"/>
      <c r="C53" s="478" t="s">
        <v>2387</v>
      </c>
      <c r="D53" s="482"/>
      <c r="E53" s="480">
        <f>IF(E48&lt;G48,G48/E48-1,E48/G48-1)</f>
        <v>4.0253407837135713E-2</v>
      </c>
      <c r="F53" s="481" t="str">
        <f>IF(OR(E53&gt;=0.2,E53&lt;=-0.2),"超过20%","")</f>
        <v/>
      </c>
      <c r="G53" s="480">
        <f>IF(G48&lt;I48,I48/G48-1,G48/I48-1)</f>
        <v>4.0166963185986004E-2</v>
      </c>
      <c r="H53" s="481" t="str">
        <f>IF(OR(G53&gt;=0.2,G53&lt;=-0.2),"超过20%","")</f>
        <v/>
      </c>
      <c r="I53" s="480">
        <f>IF(I48&lt;E48,E48/I48-1,I48/E48-1)</f>
        <v>8.2037228173826415E-2</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3.2063181342603553E-2</v>
      </c>
      <c r="F54" s="481" t="str">
        <f>IF(OR(E54&gt;=0.3,E54&lt;=-0.3),"超过30%","")</f>
        <v/>
      </c>
      <c r="G54" s="480">
        <f>IF(G47&lt;I47,I47/G47-1,G47/I47-1)</f>
        <v>5.215997907060399E-2</v>
      </c>
      <c r="H54" s="481" t="str">
        <f>IF(OR(G54&gt;=0.3,G54&lt;=-0.3),"超过30%","")</f>
        <v/>
      </c>
      <c r="I54" s="480">
        <f>IF(I47&lt;E47,E47/I47-1,I47/E47-1)</f>
        <v>8.589557528097469E-2</v>
      </c>
      <c r="J54" s="481" t="str">
        <f>IF(OR(I54&gt;=0.3,I54&lt;=-0.3),"超过30%","")</f>
        <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2"/>
      <c r="Q57" s="485"/>
    </row>
    <row r="58" spans="1:29" s="489" customFormat="1" ht="15">
      <c r="A58" s="486" t="s">
        <v>2390</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3"/>
    </row>
    <row r="59" spans="1:29" s="35" customFormat="1" ht="15">
      <c r="A59" s="490"/>
      <c r="B59" s="491"/>
      <c r="C59" s="623">
        <v>100</v>
      </c>
      <c r="D59" s="493">
        <v>99.5</v>
      </c>
      <c r="E59" s="493">
        <v>99</v>
      </c>
      <c r="F59" s="493">
        <v>98.5</v>
      </c>
      <c r="G59" s="493">
        <v>98</v>
      </c>
      <c r="H59" s="493"/>
      <c r="I59" s="493"/>
      <c r="J59" s="493"/>
      <c r="K59" s="493"/>
      <c r="L59" s="493"/>
      <c r="M59" s="494"/>
      <c r="N59" s="493"/>
      <c r="O59" s="494"/>
      <c r="P59" s="2424"/>
    </row>
    <row r="60" spans="1:29" s="35" customFormat="1" ht="15.75" thickBot="1">
      <c r="A60" s="496" t="s">
        <v>2391</v>
      </c>
      <c r="B60" s="497"/>
      <c r="C60" s="498"/>
      <c r="D60" s="499"/>
      <c r="E60" s="499"/>
      <c r="F60" s="499"/>
      <c r="G60" s="499"/>
      <c r="H60" s="499"/>
      <c r="I60" s="499"/>
      <c r="J60" s="499"/>
      <c r="K60" s="499"/>
      <c r="L60" s="499"/>
      <c r="M60" s="500"/>
      <c r="N60" s="499"/>
      <c r="O60" s="500"/>
      <c r="P60" s="2424"/>
      <c r="Q60" s="485"/>
    </row>
    <row r="61" spans="1:29" s="35" customFormat="1" ht="15">
      <c r="A61" s="502" t="s">
        <v>2392</v>
      </c>
      <c r="B61" s="491"/>
      <c r="C61" s="503" t="s">
        <v>2393</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2394</v>
      </c>
      <c r="B63" s="509" t="s">
        <v>2359</v>
      </c>
      <c r="C63" s="510" t="str">
        <f>C9</f>
        <v>住宅</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6"/>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6"/>
      <c r="Q66" s="485"/>
    </row>
    <row r="67" spans="1:17" ht="15.75" hidden="1" thickTop="1">
      <c r="A67" s="516"/>
      <c r="B67" s="529" t="s">
        <v>2363</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hidden="1">
      <c r="A68" s="516"/>
      <c r="B68" s="531"/>
      <c r="C68" s="532">
        <v>1</v>
      </c>
      <c r="D68" s="532"/>
      <c r="E68" s="532"/>
      <c r="F68" s="532"/>
      <c r="G68" s="532"/>
      <c r="H68" s="532"/>
      <c r="I68" s="532"/>
      <c r="J68" s="532"/>
      <c r="K68" s="533"/>
      <c r="L68" s="534"/>
      <c r="M68" s="535"/>
      <c r="N68" s="1267"/>
      <c r="O68" s="1267"/>
      <c r="P68" s="2426"/>
      <c r="Q68" s="485"/>
    </row>
    <row r="69" spans="1:17" ht="15.75" hidden="1"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hidden="1" thickTop="1">
      <c r="A70" s="536"/>
      <c r="B70" s="521">
        <f>B12</f>
        <v>111</v>
      </c>
      <c r="C70" s="537"/>
      <c r="D70" s="537"/>
      <c r="E70" s="537"/>
      <c r="F70" s="537"/>
      <c r="G70" s="537"/>
      <c r="H70" s="538"/>
      <c r="I70" s="538"/>
      <c r="J70" s="538"/>
      <c r="K70" s="538"/>
      <c r="L70" s="539"/>
      <c r="M70" s="540"/>
      <c r="N70" s="1269"/>
      <c r="O70" s="1269"/>
      <c r="P70" s="2427"/>
      <c r="Q70" s="543"/>
    </row>
    <row r="71" spans="1:17" s="452" customFormat="1" ht="15.75" hidden="1" thickBot="1">
      <c r="A71" s="536"/>
      <c r="B71" s="526"/>
      <c r="C71" s="544"/>
      <c r="D71" s="518"/>
      <c r="E71" s="518"/>
      <c r="F71" s="518"/>
      <c r="G71" s="518"/>
      <c r="H71" s="518"/>
      <c r="I71" s="518"/>
      <c r="J71" s="518"/>
      <c r="K71" s="518"/>
      <c r="L71" s="518"/>
      <c r="M71" s="519"/>
      <c r="N71" s="1268"/>
      <c r="O71" s="1268"/>
      <c r="P71" s="2427"/>
      <c r="Q71" s="543"/>
    </row>
    <row r="72" spans="1:17" s="452" customFormat="1" ht="15.75" hidden="1" thickTop="1">
      <c r="A72" s="536"/>
      <c r="B72" s="521">
        <f>B13</f>
        <v>111</v>
      </c>
      <c r="C72" s="537"/>
      <c r="D72" s="537"/>
      <c r="E72" s="537"/>
      <c r="F72" s="537"/>
      <c r="G72" s="537"/>
      <c r="H72" s="538"/>
      <c r="I72" s="538"/>
      <c r="J72" s="538"/>
      <c r="K72" s="538"/>
      <c r="L72" s="539"/>
      <c r="M72" s="540"/>
      <c r="N72" s="1269"/>
      <c r="O72" s="1269"/>
      <c r="P72" s="2428"/>
      <c r="Q72" s="545"/>
    </row>
    <row r="73" spans="1:17" s="452" customFormat="1" ht="15.75" hidden="1" thickBot="1">
      <c r="A73" s="536"/>
      <c r="B73" s="526"/>
      <c r="C73" s="544"/>
      <c r="D73" s="544"/>
      <c r="E73" s="544"/>
      <c r="F73" s="544"/>
      <c r="G73" s="544"/>
      <c r="H73" s="546"/>
      <c r="I73" s="546"/>
      <c r="J73" s="546"/>
      <c r="K73" s="546"/>
      <c r="L73" s="546"/>
      <c r="M73" s="547"/>
      <c r="N73" s="1269"/>
      <c r="O73" s="1269"/>
      <c r="P73" s="2427"/>
      <c r="Q73" s="543"/>
    </row>
    <row r="74" spans="1:17" s="452" customFormat="1" ht="15.75" hidden="1" thickTop="1">
      <c r="A74" s="536"/>
      <c r="B74" s="529">
        <f>B14</f>
        <v>111</v>
      </c>
      <c r="C74" s="537"/>
      <c r="D74" s="537"/>
      <c r="E74" s="537"/>
      <c r="F74" s="537"/>
      <c r="G74" s="504"/>
      <c r="H74" s="548"/>
      <c r="I74" s="548"/>
      <c r="J74" s="548"/>
      <c r="K74" s="548"/>
      <c r="L74" s="549"/>
      <c r="M74" s="550"/>
      <c r="N74" s="1269"/>
      <c r="O74" s="1269"/>
      <c r="P74" s="2429"/>
      <c r="Q74" s="543"/>
    </row>
    <row r="75" spans="1:17" s="452" customFormat="1" ht="15.75" hidden="1" thickBot="1">
      <c r="A75" s="552"/>
      <c r="B75" s="553"/>
      <c r="C75" s="554"/>
      <c r="D75" s="554"/>
      <c r="E75" s="554"/>
      <c r="F75" s="554"/>
      <c r="G75" s="554"/>
      <c r="H75" s="555"/>
      <c r="I75" s="555"/>
      <c r="J75" s="555"/>
      <c r="K75" s="555"/>
      <c r="L75" s="555"/>
      <c r="M75" s="556"/>
      <c r="N75" s="1269"/>
      <c r="O75" s="1269"/>
      <c r="P75" s="2427"/>
      <c r="Q75" s="543"/>
    </row>
    <row r="76" spans="1:17" ht="15" thickTop="1">
      <c r="A76" s="508" t="s">
        <v>2364</v>
      </c>
      <c r="B76" s="509" t="s">
        <v>2402</v>
      </c>
      <c r="C76" s="557" t="s">
        <v>2403</v>
      </c>
      <c r="D76" s="557" t="s">
        <v>2404</v>
      </c>
      <c r="E76" s="557" t="s">
        <v>2405</v>
      </c>
      <c r="F76" s="557" t="s">
        <v>2406</v>
      </c>
      <c r="G76" s="557" t="s">
        <v>2407</v>
      </c>
      <c r="H76" s="510"/>
      <c r="I76" s="510"/>
      <c r="J76" s="510"/>
      <c r="K76" s="558"/>
      <c r="L76" s="559"/>
      <c r="M76" s="560"/>
      <c r="N76" s="1267"/>
      <c r="O76" s="1267"/>
      <c r="P76" s="2430"/>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8"/>
      <c r="O77" s="1268"/>
      <c r="P77" s="2426"/>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6"/>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8"/>
      <c r="O79" s="1268"/>
      <c r="P79" s="2426"/>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6"/>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8"/>
      <c r="O81" s="1268"/>
      <c r="P81" s="2426"/>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6"/>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6"/>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6"/>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6"/>
      <c r="Q85" s="485"/>
    </row>
    <row r="86" spans="1:17" s="35" customFormat="1" ht="15.75" hidden="1" thickTop="1">
      <c r="A86" s="563"/>
      <c r="B86" s="521" t="s">
        <v>2416</v>
      </c>
      <c r="C86" s="537"/>
      <c r="D86" s="537"/>
      <c r="E86" s="537"/>
      <c r="F86" s="537"/>
      <c r="G86" s="537"/>
      <c r="H86" s="537"/>
      <c r="I86" s="537"/>
      <c r="J86" s="537"/>
      <c r="K86" s="537"/>
      <c r="L86" s="564"/>
      <c r="M86" s="565"/>
      <c r="N86" s="1266"/>
      <c r="O86" s="1266"/>
      <c r="P86" s="2426"/>
      <c r="Q86" s="485"/>
    </row>
    <row r="87" spans="1:17" s="35" customFormat="1" ht="15.75" hidden="1"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2417</v>
      </c>
      <c r="C88" s="2743" t="s">
        <v>2846</v>
      </c>
      <c r="D88" s="2743" t="s">
        <v>2847</v>
      </c>
      <c r="E88" s="2743" t="s">
        <v>2848</v>
      </c>
      <c r="F88" s="2743" t="s">
        <v>2849</v>
      </c>
      <c r="G88" s="2743" t="s">
        <v>2850</v>
      </c>
      <c r="H88" s="2743" t="s">
        <v>2851</v>
      </c>
      <c r="I88" s="2743" t="s">
        <v>2852</v>
      </c>
      <c r="J88" s="2743" t="s">
        <v>2853</v>
      </c>
      <c r="K88" s="2744" t="s">
        <v>2854</v>
      </c>
      <c r="L88" s="2744" t="s">
        <v>2855</v>
      </c>
      <c r="M88" s="565"/>
      <c r="N88" s="1266"/>
      <c r="O88" s="1266"/>
      <c r="P88" s="2426"/>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6"/>
      <c r="Q89" s="485"/>
    </row>
    <row r="90" spans="1:17" s="452" customFormat="1" ht="15.75" thickTop="1">
      <c r="A90" s="536"/>
      <c r="B90" s="521" t="str">
        <f>B27</f>
        <v>道路级别</v>
      </c>
      <c r="C90" s="2743" t="s">
        <v>2856</v>
      </c>
      <c r="D90" s="2743" t="s">
        <v>2857</v>
      </c>
      <c r="E90" s="2743" t="s">
        <v>2858</v>
      </c>
      <c r="F90" s="2743" t="s">
        <v>2859</v>
      </c>
      <c r="G90" s="2743" t="s">
        <v>2860</v>
      </c>
      <c r="H90" s="538"/>
      <c r="I90" s="538"/>
      <c r="J90" s="538"/>
      <c r="K90" s="538"/>
      <c r="L90" s="539"/>
      <c r="M90" s="540"/>
      <c r="N90" s="1269"/>
      <c r="O90" s="1269"/>
      <c r="P90" s="2427"/>
      <c r="Q90" s="543"/>
    </row>
    <row r="91" spans="1:17" s="452" customFormat="1" ht="15.75" thickBot="1">
      <c r="A91" s="536"/>
      <c r="B91" s="526"/>
      <c r="C91" s="544">
        <v>100</v>
      </c>
      <c r="D91" s="544">
        <v>99</v>
      </c>
      <c r="E91" s="544">
        <v>98</v>
      </c>
      <c r="F91" s="544">
        <v>97</v>
      </c>
      <c r="G91" s="544">
        <v>96</v>
      </c>
      <c r="H91" s="546"/>
      <c r="I91" s="546"/>
      <c r="J91" s="546"/>
      <c r="K91" s="546"/>
      <c r="L91" s="546"/>
      <c r="M91" s="547"/>
      <c r="N91" s="1269"/>
      <c r="O91" s="1269"/>
      <c r="P91" s="2427"/>
      <c r="Q91" s="543"/>
    </row>
    <row r="92" spans="1:17" ht="15.75" thickTop="1">
      <c r="A92" s="516"/>
      <c r="B92" s="521" t="str">
        <f>B28</f>
        <v>楼层</v>
      </c>
      <c r="C92" s="414" t="s">
        <v>2861</v>
      </c>
      <c r="D92" s="414" t="s">
        <v>2862</v>
      </c>
      <c r="E92" s="537"/>
      <c r="F92" s="537"/>
      <c r="G92" s="567"/>
      <c r="H92" s="567"/>
      <c r="I92" s="567"/>
      <c r="J92" s="567"/>
      <c r="K92" s="568"/>
      <c r="L92" s="569"/>
      <c r="M92" s="570"/>
      <c r="N92" s="1267"/>
      <c r="O92" s="1267"/>
      <c r="P92" s="2426"/>
      <c r="Q92" s="485"/>
    </row>
    <row r="93" spans="1:17" ht="15.75" thickBot="1">
      <c r="A93" s="516"/>
      <c r="B93" s="526"/>
      <c r="C93" s="544">
        <v>100</v>
      </c>
      <c r="D93" s="544">
        <v>98</v>
      </c>
      <c r="E93" s="518"/>
      <c r="F93" s="518"/>
      <c r="G93" s="518"/>
      <c r="H93" s="518"/>
      <c r="I93" s="518"/>
      <c r="J93" s="518"/>
      <c r="K93" s="518"/>
      <c r="L93" s="518"/>
      <c r="M93" s="519"/>
      <c r="N93" s="1268"/>
      <c r="O93" s="1268"/>
      <c r="P93" s="2426"/>
      <c r="Q93" s="485"/>
    </row>
    <row r="94" spans="1:17" ht="15.75" hidden="1" thickTop="1">
      <c r="A94" s="516"/>
      <c r="B94" s="521">
        <f>B29</f>
        <v>111</v>
      </c>
      <c r="C94" s="537"/>
      <c r="D94" s="537"/>
      <c r="E94" s="537"/>
      <c r="F94" s="537"/>
      <c r="G94" s="567"/>
      <c r="H94" s="567"/>
      <c r="I94" s="567"/>
      <c r="J94" s="567"/>
      <c r="K94" s="568"/>
      <c r="L94" s="569"/>
      <c r="M94" s="570"/>
      <c r="N94" s="1267"/>
      <c r="O94" s="1267"/>
      <c r="P94" s="2426"/>
      <c r="Q94" s="485"/>
    </row>
    <row r="95" spans="1:17" ht="15.75" hidden="1" thickBot="1">
      <c r="A95" s="516"/>
      <c r="B95" s="526"/>
      <c r="C95" s="544"/>
      <c r="D95" s="544"/>
      <c r="E95" s="544"/>
      <c r="F95" s="544"/>
      <c r="G95" s="518"/>
      <c r="H95" s="518"/>
      <c r="I95" s="518"/>
      <c r="J95" s="518"/>
      <c r="K95" s="518"/>
      <c r="L95" s="518"/>
      <c r="M95" s="519"/>
      <c r="N95" s="1268"/>
      <c r="O95" s="1268"/>
      <c r="P95" s="2426"/>
      <c r="Q95" s="485"/>
    </row>
    <row r="96" spans="1:17" ht="15.75" hidden="1" thickTop="1">
      <c r="A96" s="516"/>
      <c r="B96" s="521">
        <f>B30</f>
        <v>111</v>
      </c>
      <c r="C96" s="537"/>
      <c r="D96" s="537"/>
      <c r="E96" s="537"/>
      <c r="F96" s="537"/>
      <c r="G96" s="567"/>
      <c r="H96" s="567"/>
      <c r="I96" s="567"/>
      <c r="J96" s="567"/>
      <c r="K96" s="568"/>
      <c r="L96" s="569"/>
      <c r="M96" s="570"/>
      <c r="N96" s="1267"/>
      <c r="O96" s="1267"/>
      <c r="P96" s="2426"/>
      <c r="Q96" s="485"/>
    </row>
    <row r="97" spans="1:17" ht="15.75" hidden="1" thickBot="1">
      <c r="A97" s="516"/>
      <c r="B97" s="526"/>
      <c r="C97" s="554"/>
      <c r="D97" s="554"/>
      <c r="E97" s="554"/>
      <c r="F97" s="554"/>
      <c r="G97" s="518"/>
      <c r="H97" s="518"/>
      <c r="I97" s="518"/>
      <c r="J97" s="518"/>
      <c r="K97" s="518"/>
      <c r="L97" s="518"/>
      <c r="M97" s="519"/>
      <c r="N97" s="1268"/>
      <c r="O97" s="1268"/>
      <c r="P97" s="2426"/>
      <c r="Q97" s="485"/>
    </row>
    <row r="98" spans="1:17" ht="15.75" hidden="1" thickTop="1">
      <c r="A98" s="516"/>
      <c r="B98" s="529">
        <f>B31</f>
        <v>111</v>
      </c>
      <c r="C98" s="571"/>
      <c r="D98" s="571"/>
      <c r="E98" s="571"/>
      <c r="F98" s="571"/>
      <c r="G98" s="571"/>
      <c r="H98" s="571"/>
      <c r="I98" s="571"/>
      <c r="J98" s="571"/>
      <c r="K98" s="572"/>
      <c r="L98" s="573"/>
      <c r="M98" s="574"/>
      <c r="N98" s="1267"/>
      <c r="O98" s="1267"/>
      <c r="P98" s="2426"/>
      <c r="Q98" s="485"/>
    </row>
    <row r="99" spans="1:17" ht="15.75" hidden="1" thickBot="1">
      <c r="A99" s="2432"/>
      <c r="B99" s="553"/>
      <c r="C99" s="575"/>
      <c r="D99" s="575"/>
      <c r="E99" s="575"/>
      <c r="F99" s="575"/>
      <c r="G99" s="575"/>
      <c r="H99" s="575"/>
      <c r="I99" s="575"/>
      <c r="J99" s="575"/>
      <c r="K99" s="575"/>
      <c r="L99" s="575"/>
      <c r="M99" s="576"/>
      <c r="N99" s="1268"/>
      <c r="O99" s="1268"/>
      <c r="P99" s="2426"/>
      <c r="Q99" s="485"/>
    </row>
    <row r="100" spans="1:17" ht="15" thickTop="1">
      <c r="A100" s="508" t="s">
        <v>2369</v>
      </c>
      <c r="B100" s="509" t="s">
        <v>2418</v>
      </c>
      <c r="C100" s="2746" t="s">
        <v>2864</v>
      </c>
      <c r="D100" s="2746" t="s">
        <v>2865</v>
      </c>
      <c r="E100" s="2747" t="s">
        <v>2866</v>
      </c>
      <c r="F100" s="2746" t="s">
        <v>2867</v>
      </c>
      <c r="G100" s="2746" t="s">
        <v>2868</v>
      </c>
      <c r="H100" s="2748" t="s">
        <v>2869</v>
      </c>
      <c r="I100" s="511"/>
      <c r="J100" s="511"/>
      <c r="K100" s="512"/>
      <c r="L100" s="513"/>
      <c r="M100" s="514"/>
      <c r="N100" s="1267"/>
      <c r="O100" s="1267"/>
      <c r="P100" s="2426"/>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6"/>
      <c r="Q101" s="485"/>
    </row>
    <row r="102" spans="1:17" ht="15.75" thickTop="1">
      <c r="A102" s="516"/>
      <c r="B102" s="521" t="s">
        <v>2419</v>
      </c>
      <c r="C102" s="562" t="str">
        <f>C103&amp;"(含)"&amp;"-"&amp;D103</f>
        <v>0(含)-30</v>
      </c>
      <c r="D102" s="562" t="str">
        <f t="shared" ref="D102:L102" si="23">D103&amp;"(含)"&amp;"-"&amp;E103</f>
        <v>30(含)-60</v>
      </c>
      <c r="E102" s="562" t="str">
        <f t="shared" si="23"/>
        <v>60(含)-90</v>
      </c>
      <c r="F102" s="562" t="str">
        <f t="shared" si="23"/>
        <v>90(含)-120</v>
      </c>
      <c r="G102" s="562" t="str">
        <f t="shared" si="23"/>
        <v>120(含)-150</v>
      </c>
      <c r="H102" s="562" t="str">
        <f t="shared" si="23"/>
        <v>150(含)-180</v>
      </c>
      <c r="I102" s="562" t="str">
        <f t="shared" si="23"/>
        <v>180(含)-210</v>
      </c>
      <c r="J102" s="562" t="str">
        <f t="shared" si="23"/>
        <v>210(含)-</v>
      </c>
      <c r="K102" s="562" t="str">
        <f t="shared" si="23"/>
        <v>(含)-</v>
      </c>
      <c r="L102" s="562" t="str">
        <f t="shared" si="23"/>
        <v>(含)-</v>
      </c>
      <c r="M102" s="562" t="str">
        <f>M103&amp;"(含)"&amp;"-"&amp;P103</f>
        <v>(含)-</v>
      </c>
      <c r="N102" s="1266"/>
      <c r="O102" s="1266"/>
      <c r="P102" s="2426"/>
      <c r="Q102" s="485"/>
    </row>
    <row r="103" spans="1:17" s="452" customFormat="1">
      <c r="A103" s="577"/>
      <c r="B103" s="578"/>
      <c r="C103" s="579">
        <v>0</v>
      </c>
      <c r="D103" s="579">
        <v>30</v>
      </c>
      <c r="E103" s="579">
        <v>60</v>
      </c>
      <c r="F103" s="579">
        <v>90</v>
      </c>
      <c r="G103" s="579">
        <v>120</v>
      </c>
      <c r="H103" s="579">
        <v>150</v>
      </c>
      <c r="I103" s="579">
        <v>180</v>
      </c>
      <c r="J103" s="580">
        <v>210</v>
      </c>
      <c r="K103" s="580"/>
      <c r="L103" s="581"/>
      <c r="M103" s="582"/>
      <c r="N103" s="1269"/>
      <c r="O103" s="1269"/>
      <c r="P103" s="2427"/>
      <c r="Q103" s="543"/>
    </row>
    <row r="104" spans="1:17" s="452" customFormat="1" ht="15.75" thickBot="1">
      <c r="A104" s="536"/>
      <c r="B104" s="526"/>
      <c r="C104" s="544">
        <v>100</v>
      </c>
      <c r="D104" s="518">
        <v>98</v>
      </c>
      <c r="E104" s="518">
        <v>96</v>
      </c>
      <c r="F104" s="518">
        <v>94</v>
      </c>
      <c r="G104" s="518">
        <v>92</v>
      </c>
      <c r="H104" s="518">
        <v>90</v>
      </c>
      <c r="I104" s="518">
        <v>88</v>
      </c>
      <c r="J104" s="518">
        <v>86</v>
      </c>
      <c r="K104" s="518"/>
      <c r="L104" s="518"/>
      <c r="M104" s="518"/>
      <c r="N104" s="1268"/>
      <c r="O104" s="1268"/>
      <c r="P104" s="2427"/>
      <c r="Q104" s="543"/>
    </row>
    <row r="105" spans="1:17" ht="15" thickTop="1">
      <c r="A105" s="583"/>
      <c r="B105" s="521" t="s">
        <v>2420</v>
      </c>
      <c r="C105" s="2743" t="s">
        <v>2870</v>
      </c>
      <c r="D105" s="2743" t="s">
        <v>2871</v>
      </c>
      <c r="E105" s="2749" t="s">
        <v>2872</v>
      </c>
      <c r="F105" s="2749" t="s">
        <v>2873</v>
      </c>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6"/>
      <c r="Q106" s="485"/>
    </row>
    <row r="107" spans="1:17" ht="15" hidden="1" thickTop="1">
      <c r="A107" s="583"/>
      <c r="B107" s="521" t="s">
        <v>2421</v>
      </c>
      <c r="C107" s="2743" t="s">
        <v>2874</v>
      </c>
      <c r="D107" s="2743" t="s">
        <v>2875</v>
      </c>
      <c r="E107" s="2743" t="s">
        <v>2876</v>
      </c>
      <c r="F107" s="2749" t="s">
        <v>2877</v>
      </c>
      <c r="G107" s="567"/>
      <c r="H107" s="567"/>
      <c r="I107" s="567"/>
      <c r="J107" s="567"/>
      <c r="K107" s="568"/>
      <c r="L107" s="569"/>
      <c r="M107" s="570"/>
      <c r="N107" s="1267"/>
      <c r="O107" s="1267"/>
      <c r="P107" s="2426"/>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2422</v>
      </c>
      <c r="C109" s="2743" t="s">
        <v>2874</v>
      </c>
      <c r="D109" s="2743" t="s">
        <v>2875</v>
      </c>
      <c r="E109" s="2743" t="s">
        <v>2876</v>
      </c>
      <c r="F109" s="2749" t="s">
        <v>2877</v>
      </c>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8"/>
      <c r="O110" s="1268"/>
      <c r="P110" s="2426"/>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15" thickTop="1">
      <c r="A114" s="583"/>
      <c r="B114" s="521" t="s">
        <v>2424</v>
      </c>
      <c r="C114" s="2743" t="s">
        <v>2878</v>
      </c>
      <c r="D114" s="2743" t="s">
        <v>2879</v>
      </c>
      <c r="E114" s="2750" t="s">
        <v>2880</v>
      </c>
      <c r="F114" s="2750" t="s">
        <v>2901</v>
      </c>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6"/>
      <c r="Q115" s="485"/>
    </row>
    <row r="116" spans="1:17" ht="15" thickTop="1">
      <c r="A116" s="583"/>
      <c r="B116" s="521" t="s">
        <v>2425</v>
      </c>
      <c r="C116" s="2743" t="s">
        <v>2881</v>
      </c>
      <c r="D116" s="2743" t="s">
        <v>2882</v>
      </c>
      <c r="E116" s="2743" t="s">
        <v>2883</v>
      </c>
      <c r="F116" s="2743" t="s">
        <v>2884</v>
      </c>
      <c r="G116" s="2743" t="s">
        <v>2885</v>
      </c>
      <c r="H116" s="567"/>
      <c r="I116" s="567"/>
      <c r="J116" s="567"/>
      <c r="K116" s="568"/>
      <c r="L116" s="569"/>
      <c r="M116" s="570"/>
      <c r="N116" s="1267"/>
      <c r="O116" s="1267"/>
      <c r="P116" s="2426"/>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6"/>
      <c r="Q117" s="485"/>
    </row>
    <row r="118" spans="1:17" ht="15" thickTop="1">
      <c r="A118" s="583"/>
      <c r="B118" s="521" t="s">
        <v>2426</v>
      </c>
      <c r="C118" s="2749" t="s">
        <v>2886</v>
      </c>
      <c r="E118" s="2750" t="s">
        <v>2887</v>
      </c>
      <c r="F118" s="2749" t="s">
        <v>2888</v>
      </c>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8"/>
      <c r="O119" s="1268"/>
      <c r="P119" s="2426"/>
      <c r="Q119" s="485"/>
    </row>
    <row r="120" spans="1:17" s="452" customFormat="1" ht="28.5" hidden="1" thickTop="1">
      <c r="A120" s="577"/>
      <c r="B120" s="521" t="s">
        <v>2380</v>
      </c>
      <c r="C120" s="537"/>
      <c r="D120" s="537"/>
      <c r="E120" s="537"/>
      <c r="F120" s="537"/>
      <c r="G120" s="537"/>
      <c r="H120" s="537"/>
      <c r="I120" s="537"/>
      <c r="J120" s="537"/>
      <c r="K120" s="537"/>
      <c r="L120" s="564"/>
      <c r="M120" s="565"/>
      <c r="N120" s="1269"/>
      <c r="O120" s="1269"/>
      <c r="P120" s="2427"/>
      <c r="Q120" s="543"/>
    </row>
    <row r="121" spans="1:17" s="452" customFormat="1" ht="15.75" hidden="1"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2427</v>
      </c>
      <c r="C122" s="2743" t="s">
        <v>2874</v>
      </c>
      <c r="D122" s="2743" t="s">
        <v>2875</v>
      </c>
      <c r="E122" s="2743" t="s">
        <v>2876</v>
      </c>
      <c r="F122" s="2749" t="s">
        <v>2877</v>
      </c>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6"/>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7"/>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6"/>
      <c r="Q125" s="485"/>
    </row>
    <row r="126" spans="1:17" s="452" customFormat="1" ht="15" thickTop="1">
      <c r="A126" s="577"/>
      <c r="B126" s="521" t="str">
        <f>B44</f>
        <v>建成年代</v>
      </c>
      <c r="C126" s="537">
        <v>1993</v>
      </c>
      <c r="D126" s="537">
        <v>1996</v>
      </c>
      <c r="E126" s="537">
        <v>2000</v>
      </c>
      <c r="F126" s="537">
        <v>2002</v>
      </c>
      <c r="G126" s="537"/>
      <c r="H126" s="538"/>
      <c r="I126" s="538"/>
      <c r="J126" s="538"/>
      <c r="K126" s="538"/>
      <c r="L126" s="539"/>
      <c r="M126" s="540"/>
      <c r="N126" s="1269"/>
      <c r="O126" s="1269"/>
      <c r="P126" s="2427"/>
      <c r="Q126" s="543"/>
    </row>
    <row r="127" spans="1:17" s="452" customFormat="1" ht="15.75" thickBot="1">
      <c r="A127" s="536"/>
      <c r="B127" s="526"/>
      <c r="C127" s="544">
        <v>100</v>
      </c>
      <c r="D127" s="518">
        <v>100.6</v>
      </c>
      <c r="E127" s="518">
        <v>101.4</v>
      </c>
      <c r="F127" s="518">
        <v>101.8</v>
      </c>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44"/>
      <c r="E129" s="544"/>
      <c r="F129" s="544"/>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row r="136" spans="1:17" ht="15" thickBot="1">
      <c r="B136" s="2433" t="s">
        <v>2429</v>
      </c>
    </row>
    <row r="137" spans="1:17" ht="15">
      <c r="B137" s="2434" t="s">
        <v>2430</v>
      </c>
      <c r="C137" s="2435"/>
      <c r="D137" s="2435"/>
      <c r="E137" s="2435"/>
      <c r="F137" s="2435"/>
      <c r="G137" s="2436"/>
      <c r="H137" s="2437"/>
      <c r="I137" s="2438" t="s">
        <v>2431</v>
      </c>
      <c r="J137" s="2435"/>
      <c r="K137" s="2439"/>
    </row>
    <row r="138" spans="1:17" ht="15">
      <c r="B138" s="2440"/>
      <c r="C138" s="62" t="s">
        <v>2432</v>
      </c>
      <c r="D138" s="62" t="s">
        <v>2433</v>
      </c>
      <c r="E138" s="2441" t="s">
        <v>2434</v>
      </c>
      <c r="F138" s="2442" t="s">
        <v>2435</v>
      </c>
      <c r="G138" s="62" t="s">
        <v>2433</v>
      </c>
      <c r="H138" s="63" t="s">
        <v>2434</v>
      </c>
      <c r="I138" s="2443"/>
      <c r="J138" s="62" t="s">
        <v>2436</v>
      </c>
      <c r="K138" s="63" t="s">
        <v>2437</v>
      </c>
    </row>
    <row r="139" spans="1:17" ht="15">
      <c r="B139" s="1125">
        <v>6</v>
      </c>
      <c r="C139" s="1133">
        <v>96</v>
      </c>
      <c r="D139" s="2444" t="s">
        <v>2438</v>
      </c>
      <c r="E139" s="1134">
        <v>100</v>
      </c>
      <c r="F139" s="1135">
        <v>102.5</v>
      </c>
      <c r="G139" s="2444" t="s">
        <v>2438</v>
      </c>
      <c r="H139" s="1136">
        <v>105</v>
      </c>
      <c r="I139" s="2445" t="s">
        <v>2439</v>
      </c>
      <c r="J139" s="1133">
        <v>20</v>
      </c>
      <c r="K139" s="1127">
        <f>C145/(J139-2)</f>
        <v>4.0555555555555553E-3</v>
      </c>
    </row>
    <row r="140" spans="1:17" ht="15">
      <c r="B140" s="1126">
        <v>5</v>
      </c>
      <c r="C140" s="1137">
        <v>100</v>
      </c>
      <c r="D140" s="1137"/>
      <c r="E140" s="1138"/>
      <c r="F140" s="1139">
        <v>102</v>
      </c>
      <c r="G140" s="1137"/>
      <c r="H140" s="1140"/>
      <c r="I140" s="2446" t="s">
        <v>2440</v>
      </c>
      <c r="J140" s="217">
        <f>ROUNDUP((J139-1)/2,0)</f>
        <v>10</v>
      </c>
      <c r="K140" s="1128">
        <v>100</v>
      </c>
    </row>
    <row r="141" spans="1:17" ht="15">
      <c r="B141" s="1126">
        <v>4</v>
      </c>
      <c r="C141" s="1137">
        <v>102</v>
      </c>
      <c r="D141" s="1137"/>
      <c r="E141" s="1138"/>
      <c r="F141" s="1139">
        <v>101.5</v>
      </c>
      <c r="G141" s="1137"/>
      <c r="H141" s="1140"/>
      <c r="I141" s="2446" t="s">
        <v>2441</v>
      </c>
      <c r="J141" s="217">
        <v>1</v>
      </c>
      <c r="K141" s="1129">
        <f>ROUND(100+(J141-J140)*K139*100,1)</f>
        <v>96.4</v>
      </c>
    </row>
    <row r="142" spans="1:17" ht="15">
      <c r="B142" s="1126">
        <v>3</v>
      </c>
      <c r="C142" s="1137">
        <v>103</v>
      </c>
      <c r="D142" s="1137"/>
      <c r="E142" s="1138"/>
      <c r="F142" s="1139">
        <v>101</v>
      </c>
      <c r="G142" s="1137"/>
      <c r="H142" s="1140"/>
      <c r="I142" s="2446" t="s">
        <v>2442</v>
      </c>
      <c r="J142" s="217">
        <f>J139</f>
        <v>20</v>
      </c>
      <c r="K142" s="1142">
        <v>95</v>
      </c>
    </row>
    <row r="143" spans="1:17" ht="15">
      <c r="B143" s="1126">
        <v>2</v>
      </c>
      <c r="C143" s="1137">
        <v>100</v>
      </c>
      <c r="D143" s="1137"/>
      <c r="E143" s="1138"/>
      <c r="F143" s="1139">
        <v>100.5</v>
      </c>
      <c r="G143" s="1137"/>
      <c r="H143" s="1140"/>
      <c r="I143" s="2446" t="s">
        <v>2443</v>
      </c>
      <c r="J143" s="1137">
        <v>15</v>
      </c>
      <c r="K143" s="1129">
        <f>ROUND(100+(J143-J140)*K139*100,1)</f>
        <v>102</v>
      </c>
    </row>
    <row r="144" spans="1:17" ht="15">
      <c r="B144" s="1126">
        <v>1</v>
      </c>
      <c r="C144" s="1137">
        <v>98</v>
      </c>
      <c r="D144" s="2447" t="s">
        <v>2444</v>
      </c>
      <c r="E144" s="1138">
        <v>102</v>
      </c>
      <c r="F144" s="1141">
        <v>100</v>
      </c>
      <c r="G144" s="2447" t="s">
        <v>2444</v>
      </c>
      <c r="H144" s="1140">
        <v>105</v>
      </c>
      <c r="I144" s="2446" t="s">
        <v>2443</v>
      </c>
      <c r="J144" s="1137">
        <v>18</v>
      </c>
      <c r="K144" s="1129">
        <f>ROUND(100+(J144-J140)*K139*100,1)</f>
        <v>103.2</v>
      </c>
    </row>
    <row r="145" spans="2:11" ht="15.75" thickBot="1">
      <c r="B145" s="2448" t="s">
        <v>2445</v>
      </c>
      <c r="C145" s="1131">
        <f>ROUND(MAX(C139:C144)/MIN(C139:C144)-1,3)</f>
        <v>7.2999999999999995E-2</v>
      </c>
      <c r="D145" s="1132"/>
      <c r="E145" s="1132"/>
      <c r="F145" s="2449" t="s">
        <v>2446</v>
      </c>
      <c r="G145" s="2450"/>
      <c r="H145" s="2451"/>
      <c r="I145" s="2452" t="s">
        <v>2443</v>
      </c>
      <c r="J145" s="1143">
        <v>8</v>
      </c>
      <c r="K145" s="1130">
        <f>ROUND(100+(J145-J140)*K139*100,1)</f>
        <v>99.2</v>
      </c>
    </row>
    <row r="147" spans="2:11">
      <c r="B147" s="2433" t="s">
        <v>2447</v>
      </c>
    </row>
    <row r="148" spans="2:11">
      <c r="B148" s="2433" t="s">
        <v>2448</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3"/>
      <c r="E1" s="2382"/>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4"/>
      <c r="E2" s="2454" t="e">
        <f ca="1">SUMIF(INDIRECT("'"&amp;G2&amp;"'"&amp;"!A:A"),"承租人权益价值",INDIRECT("'"&amp;G2&amp;"'"&amp;"!c:c"))</f>
        <v>#REF!</v>
      </c>
      <c r="F2" s="2385" t="str">
        <f>C2</f>
        <v>元</v>
      </c>
      <c r="G2" s="2386"/>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60.74</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2340</v>
      </c>
      <c r="B4" s="381"/>
      <c r="C4" s="3014" t="s">
        <v>2341</v>
      </c>
      <c r="D4" s="3015"/>
      <c r="E4" s="3016" t="s">
        <v>2342</v>
      </c>
      <c r="F4" s="3017"/>
      <c r="G4" s="3014" t="s">
        <v>2343</v>
      </c>
      <c r="H4" s="3015"/>
      <c r="I4" s="3014" t="s">
        <v>2344</v>
      </c>
      <c r="J4" s="3015"/>
      <c r="K4" s="594" t="s">
        <v>2345</v>
      </c>
      <c r="L4" s="1243"/>
      <c r="M4" s="1244"/>
      <c r="N4" s="1244"/>
      <c r="O4" s="1244"/>
      <c r="P4" s="3018" t="s">
        <v>2346</v>
      </c>
      <c r="Q4" s="3019"/>
      <c r="R4" s="3024" t="s">
        <v>2342</v>
      </c>
      <c r="S4" s="3025"/>
      <c r="T4" s="3024" t="s">
        <v>2343</v>
      </c>
      <c r="U4" s="3025"/>
      <c r="V4" s="3030" t="s">
        <v>2344</v>
      </c>
      <c r="W4" s="3030"/>
      <c r="X4" s="1900"/>
      <c r="Y4" s="3024" t="s">
        <v>2346</v>
      </c>
      <c r="Z4" s="3025"/>
      <c r="AA4" s="3011" t="s">
        <v>2342</v>
      </c>
      <c r="AB4" s="3030" t="s">
        <v>2343</v>
      </c>
      <c r="AC4" s="3011" t="s">
        <v>2344</v>
      </c>
    </row>
    <row r="5" spans="1:29" ht="15">
      <c r="A5" s="383"/>
      <c r="B5" s="384"/>
      <c r="C5" s="3059" t="s">
        <v>2347</v>
      </c>
      <c r="D5" s="3060"/>
      <c r="E5" s="3061" t="s">
        <v>2348</v>
      </c>
      <c r="F5" s="3062"/>
      <c r="G5" s="3059" t="s">
        <v>2349</v>
      </c>
      <c r="H5" s="3060"/>
      <c r="I5" s="3059" t="s">
        <v>2350</v>
      </c>
      <c r="J5" s="3060"/>
      <c r="K5" s="594"/>
      <c r="L5" s="1243"/>
      <c r="M5" s="1244"/>
      <c r="N5" s="1244"/>
      <c r="O5" s="1244"/>
      <c r="P5" s="3020"/>
      <c r="Q5" s="3021"/>
      <c r="R5" s="3026"/>
      <c r="S5" s="3027"/>
      <c r="T5" s="3026"/>
      <c r="U5" s="3027"/>
      <c r="V5" s="3030"/>
      <c r="W5" s="3030"/>
      <c r="X5" s="1900"/>
      <c r="Y5" s="3026"/>
      <c r="Z5" s="3027"/>
      <c r="AA5" s="3012"/>
      <c r="AB5" s="3030"/>
      <c r="AC5" s="3012"/>
    </row>
    <row r="6" spans="1:29" ht="15.75" thickBot="1">
      <c r="A6" s="385"/>
      <c r="B6" s="386"/>
      <c r="C6" s="3035" t="s">
        <v>2351</v>
      </c>
      <c r="D6" s="3036"/>
      <c r="E6" s="3037" t="s">
        <v>2351</v>
      </c>
      <c r="F6" s="3038"/>
      <c r="G6" s="3035" t="s">
        <v>2351</v>
      </c>
      <c r="H6" s="3036"/>
      <c r="I6" s="3035" t="s">
        <v>2351</v>
      </c>
      <c r="J6" s="3036"/>
      <c r="K6" s="594" t="s">
        <v>2352</v>
      </c>
      <c r="L6" s="1243"/>
      <c r="M6" s="1244"/>
      <c r="N6" s="1244"/>
      <c r="O6" s="1244"/>
      <c r="P6" s="3022"/>
      <c r="Q6" s="3023"/>
      <c r="R6" s="3026"/>
      <c r="S6" s="3027"/>
      <c r="T6" s="3028"/>
      <c r="U6" s="3029"/>
      <c r="V6" s="3030"/>
      <c r="W6" s="3030"/>
      <c r="X6" s="1900"/>
      <c r="Y6" s="3028"/>
      <c r="Z6" s="3029"/>
      <c r="AA6" s="3013"/>
      <c r="AB6" s="3030"/>
      <c r="AC6" s="3013"/>
    </row>
    <row r="7" spans="1:29" s="35" customFormat="1" ht="15.75" thickBot="1">
      <c r="A7" s="387" t="s">
        <v>2353</v>
      </c>
      <c r="B7" s="388"/>
      <c r="C7" s="389">
        <f>'数据-取费表'!B2</f>
        <v>43242</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6" t="s">
        <v>2354</v>
      </c>
      <c r="Q7" s="3048"/>
      <c r="R7" s="749" t="s">
        <v>25</v>
      </c>
      <c r="S7" s="750">
        <f t="shared" ref="S7:S15" si="0">F7</f>
        <v>0</v>
      </c>
      <c r="T7" s="749" t="s">
        <v>25</v>
      </c>
      <c r="U7" s="750">
        <f t="shared" ref="U7:U15" si="1">H7</f>
        <v>0</v>
      </c>
      <c r="V7" s="749" t="s">
        <v>25</v>
      </c>
      <c r="W7" s="750">
        <f t="shared" ref="W7:W15" si="2">J7</f>
        <v>0</v>
      </c>
      <c r="X7" s="751"/>
      <c r="Y7" s="3046" t="s">
        <v>2354</v>
      </c>
      <c r="Z7" s="3047"/>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6" t="s">
        <v>2357</v>
      </c>
      <c r="Q8" s="3047"/>
      <c r="R8" s="749" t="s">
        <v>25</v>
      </c>
      <c r="S8" s="750">
        <f t="shared" si="0"/>
        <v>0</v>
      </c>
      <c r="T8" s="749" t="s">
        <v>25</v>
      </c>
      <c r="U8" s="750">
        <f t="shared" si="1"/>
        <v>0</v>
      </c>
      <c r="V8" s="749" t="s">
        <v>25</v>
      </c>
      <c r="W8" s="750">
        <f t="shared" si="2"/>
        <v>0</v>
      </c>
      <c r="X8" s="751"/>
      <c r="Y8" s="3046" t="s">
        <v>2357</v>
      </c>
      <c r="Z8" s="3047"/>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9" t="s">
        <v>2360</v>
      </c>
      <c r="Q9" s="1887" t="str">
        <f t="shared" ref="Q9:Q15" si="6">B9</f>
        <v>用途</v>
      </c>
      <c r="R9" s="749" t="s">
        <v>25</v>
      </c>
      <c r="S9" s="750">
        <f t="shared" si="0"/>
        <v>100</v>
      </c>
      <c r="T9" s="749" t="s">
        <v>25</v>
      </c>
      <c r="U9" s="750">
        <f t="shared" si="1"/>
        <v>100</v>
      </c>
      <c r="V9" s="749" t="s">
        <v>25</v>
      </c>
      <c r="W9" s="750">
        <f t="shared" si="2"/>
        <v>100</v>
      </c>
      <c r="X9" s="751"/>
      <c r="Y9" s="2862"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9"/>
      <c r="Q10" s="1887" t="str">
        <f t="shared" si="6"/>
        <v>土地使用年限（年）</v>
      </c>
      <c r="R10" s="749" t="s">
        <v>25</v>
      </c>
      <c r="S10" s="750">
        <f t="shared" si="0"/>
        <v>100</v>
      </c>
      <c r="T10" s="749" t="s">
        <v>25</v>
      </c>
      <c r="U10" s="750">
        <f t="shared" si="1"/>
        <v>100</v>
      </c>
      <c r="V10" s="749" t="s">
        <v>25</v>
      </c>
      <c r="W10" s="750">
        <f t="shared" si="2"/>
        <v>100</v>
      </c>
      <c r="X10" s="751"/>
      <c r="Y10" s="2862"/>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9"/>
      <c r="Q11" s="1887" t="str">
        <f t="shared" si="6"/>
        <v>容积率</v>
      </c>
      <c r="R11" s="749" t="s">
        <v>25</v>
      </c>
      <c r="S11" s="750" t="e">
        <f t="shared" si="0"/>
        <v>#N/A</v>
      </c>
      <c r="T11" s="749" t="s">
        <v>25</v>
      </c>
      <c r="U11" s="750" t="e">
        <f t="shared" si="1"/>
        <v>#N/A</v>
      </c>
      <c r="V11" s="749" t="s">
        <v>25</v>
      </c>
      <c r="W11" s="750" t="e">
        <f t="shared" si="2"/>
        <v>#N/A</v>
      </c>
      <c r="X11" s="751"/>
      <c r="Y11" s="2862"/>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9"/>
      <c r="Q12" s="1887">
        <f t="shared" si="6"/>
        <v>111</v>
      </c>
      <c r="R12" s="749" t="s">
        <v>25</v>
      </c>
      <c r="S12" s="750">
        <f t="shared" si="0"/>
        <v>100</v>
      </c>
      <c r="T12" s="749" t="s">
        <v>25</v>
      </c>
      <c r="U12" s="750">
        <f t="shared" si="1"/>
        <v>100</v>
      </c>
      <c r="V12" s="749" t="s">
        <v>25</v>
      </c>
      <c r="W12" s="750">
        <f t="shared" si="2"/>
        <v>100</v>
      </c>
      <c r="X12" s="751"/>
      <c r="Y12" s="2862"/>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9"/>
      <c r="Q13" s="1887">
        <f t="shared" si="6"/>
        <v>111</v>
      </c>
      <c r="R13" s="749" t="s">
        <v>25</v>
      </c>
      <c r="S13" s="750">
        <f t="shared" si="0"/>
        <v>100</v>
      </c>
      <c r="T13" s="749" t="s">
        <v>25</v>
      </c>
      <c r="U13" s="750">
        <f t="shared" si="1"/>
        <v>100</v>
      </c>
      <c r="V13" s="749" t="s">
        <v>25</v>
      </c>
      <c r="W13" s="750">
        <f t="shared" si="2"/>
        <v>100</v>
      </c>
      <c r="X13" s="751"/>
      <c r="Y13" s="2862"/>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9"/>
      <c r="Q14" s="1887">
        <f t="shared" si="6"/>
        <v>111</v>
      </c>
      <c r="R14" s="749" t="s">
        <v>25</v>
      </c>
      <c r="S14" s="750">
        <f t="shared" si="0"/>
        <v>100</v>
      </c>
      <c r="T14" s="749" t="s">
        <v>25</v>
      </c>
      <c r="U14" s="750">
        <f t="shared" si="1"/>
        <v>100</v>
      </c>
      <c r="V14" s="749" t="s">
        <v>25</v>
      </c>
      <c r="W14" s="750">
        <f t="shared" si="2"/>
        <v>100</v>
      </c>
      <c r="X14" s="751"/>
      <c r="Y14" s="2862"/>
      <c r="Z14" s="23">
        <f t="shared" si="7"/>
        <v>111</v>
      </c>
      <c r="AA14" s="752">
        <f t="shared" si="3"/>
        <v>1</v>
      </c>
      <c r="AB14" s="752">
        <f t="shared" si="4"/>
        <v>1</v>
      </c>
      <c r="AC14" s="752">
        <f t="shared" si="5"/>
        <v>1</v>
      </c>
    </row>
    <row r="15" spans="1:29" ht="15">
      <c r="A15" s="419" t="s">
        <v>2364</v>
      </c>
      <c r="B15" s="26" t="s">
        <v>2450</v>
      </c>
      <c r="C15" s="2403">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52" t="s">
        <v>2365</v>
      </c>
      <c r="Q15" s="1899" t="str">
        <f t="shared" si="6"/>
        <v>商业繁华度</v>
      </c>
      <c r="R15" s="753" t="s">
        <v>25</v>
      </c>
      <c r="S15" s="754">
        <f t="shared" si="0"/>
        <v>100</v>
      </c>
      <c r="T15" s="753" t="s">
        <v>25</v>
      </c>
      <c r="U15" s="754">
        <f t="shared" si="1"/>
        <v>100</v>
      </c>
      <c r="V15" s="753" t="s">
        <v>25</v>
      </c>
      <c r="W15" s="754">
        <f t="shared" si="2"/>
        <v>100</v>
      </c>
      <c r="X15" s="1900"/>
      <c r="Y15" s="3039"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53"/>
      <c r="Q16" s="1899"/>
      <c r="R16" s="753"/>
      <c r="S16" s="754"/>
      <c r="T16" s="753"/>
      <c r="U16" s="754"/>
      <c r="V16" s="753"/>
      <c r="W16" s="754"/>
      <c r="X16" s="1900"/>
      <c r="Y16" s="3040"/>
      <c r="Z16" s="1902"/>
      <c r="AA16" s="1903">
        <v>1</v>
      </c>
      <c r="AB16" s="1903">
        <v>1</v>
      </c>
      <c r="AC16" s="1903">
        <v>1</v>
      </c>
    </row>
    <row r="17" spans="1:29" ht="114">
      <c r="A17" s="408"/>
      <c r="B17" s="431" t="s">
        <v>1750</v>
      </c>
      <c r="C17" s="2406" t="str">
        <f>估价对象房地状况!C6</f>
        <v>估价对象紧邻城市支路——下园一条，周边无地铁、有868路、916路、h58路、h59路公交线路等，综合评价交通便捷度一般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53"/>
      <c r="Q17" s="1899" t="str">
        <f>B17</f>
        <v>交通便捷度</v>
      </c>
      <c r="R17" s="753" t="s">
        <v>25</v>
      </c>
      <c r="S17" s="754">
        <f>F17</f>
        <v>100</v>
      </c>
      <c r="T17" s="753" t="s">
        <v>25</v>
      </c>
      <c r="U17" s="754">
        <f>H17</f>
        <v>100</v>
      </c>
      <c r="V17" s="753" t="s">
        <v>25</v>
      </c>
      <c r="W17" s="754">
        <f>J17</f>
        <v>100</v>
      </c>
      <c r="X17" s="1900"/>
      <c r="Y17" s="3040"/>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44"/>
      <c r="P18" s="3053"/>
      <c r="Q18" s="1899"/>
      <c r="R18" s="753"/>
      <c r="S18" s="754"/>
      <c r="T18" s="753"/>
      <c r="U18" s="754"/>
      <c r="V18" s="753"/>
      <c r="W18" s="754"/>
      <c r="X18" s="1900"/>
      <c r="Y18" s="3040"/>
      <c r="Z18" s="1902"/>
      <c r="AA18" s="1903">
        <v>1</v>
      </c>
      <c r="AB18" s="1903">
        <v>1</v>
      </c>
      <c r="AC18" s="1903">
        <v>1</v>
      </c>
    </row>
    <row r="19" spans="1:29" ht="42.75">
      <c r="A19" s="408"/>
      <c r="B19" s="431" t="s">
        <v>2451</v>
      </c>
      <c r="C19" s="2406" t="str">
        <f>估价对象房地状况!C7</f>
        <v>估价对象所在区域公共配套设施齐备情况一般</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53"/>
      <c r="Q19" s="1899" t="str">
        <f>B19</f>
        <v>公共配套设施</v>
      </c>
      <c r="R19" s="753" t="s">
        <v>25</v>
      </c>
      <c r="S19" s="754">
        <f>F19</f>
        <v>100</v>
      </c>
      <c r="T19" s="753" t="s">
        <v>25</v>
      </c>
      <c r="U19" s="754">
        <f>H19</f>
        <v>100</v>
      </c>
      <c r="V19" s="753" t="s">
        <v>25</v>
      </c>
      <c r="W19" s="754">
        <f>J19</f>
        <v>100</v>
      </c>
      <c r="X19" s="1900"/>
      <c r="Y19" s="3040"/>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599"/>
      <c r="L20" s="1253"/>
      <c r="M20" s="1244"/>
      <c r="N20" s="1244"/>
      <c r="O20" s="1244"/>
      <c r="P20" s="3053"/>
      <c r="Q20" s="1899"/>
      <c r="R20" s="753"/>
      <c r="S20" s="754"/>
      <c r="T20" s="753"/>
      <c r="U20" s="754"/>
      <c r="V20" s="753"/>
      <c r="W20" s="754"/>
      <c r="X20" s="1900"/>
      <c r="Y20" s="3040"/>
      <c r="Z20" s="1902"/>
      <c r="AA20" s="1903">
        <v>1</v>
      </c>
      <c r="AB20" s="1903">
        <v>1</v>
      </c>
      <c r="AC20" s="1903">
        <v>1</v>
      </c>
    </row>
    <row r="21" spans="1:29" ht="42.75">
      <c r="A21" s="408"/>
      <c r="B21" s="2408" t="s">
        <v>2452</v>
      </c>
      <c r="C21" s="2406"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53"/>
      <c r="Q21" s="1899" t="str">
        <f>B21</f>
        <v>基础设施水平</v>
      </c>
      <c r="R21" s="753" t="s">
        <v>25</v>
      </c>
      <c r="S21" s="754">
        <f>F21</f>
        <v>100</v>
      </c>
      <c r="T21" s="753" t="s">
        <v>25</v>
      </c>
      <c r="U21" s="754">
        <f>H21</f>
        <v>100</v>
      </c>
      <c r="V21" s="753" t="s">
        <v>25</v>
      </c>
      <c r="W21" s="754">
        <f>J21</f>
        <v>100</v>
      </c>
      <c r="X21" s="1900"/>
      <c r="Y21" s="3040"/>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44"/>
      <c r="P22" s="3053"/>
      <c r="Q22" s="1899"/>
      <c r="R22" s="753"/>
      <c r="S22" s="754"/>
      <c r="T22" s="753"/>
      <c r="U22" s="754"/>
      <c r="V22" s="753"/>
      <c r="W22" s="754"/>
      <c r="X22" s="1900"/>
      <c r="Y22" s="3040"/>
      <c r="Z22" s="1902"/>
      <c r="AA22" s="1903">
        <v>1</v>
      </c>
      <c r="AB22" s="1903">
        <v>1</v>
      </c>
      <c r="AC22" s="1903">
        <v>1</v>
      </c>
    </row>
    <row r="23" spans="1:29" ht="99.75">
      <c r="A23" s="408"/>
      <c r="B23" s="431" t="s">
        <v>1755</v>
      </c>
      <c r="C23" s="2457" t="str">
        <f>估价对象房地状况!C9</f>
        <v>自然环境：普法公园、迎宾公园、怀柔水库等；人文环境：怀柔区博物馆等，综合评价环境状况一般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53"/>
      <c r="Q23" s="1899" t="str">
        <f>B23</f>
        <v>自然及人文环境</v>
      </c>
      <c r="R23" s="753" t="s">
        <v>25</v>
      </c>
      <c r="S23" s="754">
        <f>F23</f>
        <v>100</v>
      </c>
      <c r="T23" s="753" t="s">
        <v>25</v>
      </c>
      <c r="U23" s="754">
        <f>H23</f>
        <v>100</v>
      </c>
      <c r="V23" s="753" t="s">
        <v>25</v>
      </c>
      <c r="W23" s="754">
        <f>J23</f>
        <v>100</v>
      </c>
      <c r="X23" s="1900"/>
      <c r="Y23" s="3040"/>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599"/>
      <c r="L24" s="1253"/>
      <c r="M24" s="1244"/>
      <c r="N24" s="1244"/>
      <c r="O24" s="1244"/>
      <c r="P24" s="3053"/>
      <c r="Q24" s="1899"/>
      <c r="R24" s="753"/>
      <c r="S24" s="754"/>
      <c r="T24" s="753"/>
      <c r="U24" s="754"/>
      <c r="V24" s="753"/>
      <c r="W24" s="754"/>
      <c r="X24" s="1900"/>
      <c r="Y24" s="3040"/>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53"/>
      <c r="Q25" s="1899" t="str">
        <f t="shared" ref="Q25:Q46" si="11">B25</f>
        <v>临街状况</v>
      </c>
      <c r="R25" s="753" t="s">
        <v>25</v>
      </c>
      <c r="S25" s="754">
        <f>F25</f>
        <v>100</v>
      </c>
      <c r="T25" s="753" t="s">
        <v>25</v>
      </c>
      <c r="U25" s="754">
        <f>H25</f>
        <v>100</v>
      </c>
      <c r="V25" s="753" t="s">
        <v>25</v>
      </c>
      <c r="W25" s="754">
        <f>J25</f>
        <v>100</v>
      </c>
      <c r="X25" s="1900"/>
      <c r="Y25" s="3040"/>
      <c r="Z25" s="1902" t="str">
        <f>Q25</f>
        <v>临街状况</v>
      </c>
      <c r="AA25" s="1903">
        <f t="shared" si="3"/>
        <v>1</v>
      </c>
      <c r="AB25" s="1903">
        <f t="shared" si="4"/>
        <v>1</v>
      </c>
      <c r="AC25" s="1903">
        <f t="shared" si="5"/>
        <v>1</v>
      </c>
    </row>
    <row r="26" spans="1:29" ht="15">
      <c r="A26" s="408"/>
      <c r="B26" s="2412"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53"/>
      <c r="Q26" s="1899" t="str">
        <f t="shared" si="11"/>
        <v>平面位置/可视性</v>
      </c>
      <c r="R26" s="753" t="s">
        <v>25</v>
      </c>
      <c r="S26" s="754">
        <f>F26</f>
        <v>100</v>
      </c>
      <c r="T26" s="753" t="s">
        <v>25</v>
      </c>
      <c r="U26" s="754">
        <f>H26</f>
        <v>100</v>
      </c>
      <c r="V26" s="753" t="s">
        <v>25</v>
      </c>
      <c r="W26" s="754">
        <f>J26</f>
        <v>100</v>
      </c>
      <c r="X26" s="1900"/>
      <c r="Y26" s="3040"/>
      <c r="Z26" s="1902" t="str">
        <f>Q26</f>
        <v>平面位置/可视性</v>
      </c>
      <c r="AA26" s="1903">
        <f t="shared" si="3"/>
        <v>1</v>
      </c>
      <c r="AB26" s="1903">
        <f t="shared" si="4"/>
        <v>1</v>
      </c>
      <c r="AC26" s="1903">
        <f t="shared" si="5"/>
        <v>1</v>
      </c>
    </row>
    <row r="27" spans="1:29" s="35" customFormat="1" ht="15">
      <c r="A27" s="411"/>
      <c r="B27" s="431" t="s">
        <v>2455</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53"/>
      <c r="Q27" s="1887" t="str">
        <f t="shared" si="11"/>
        <v>人流量</v>
      </c>
      <c r="R27" s="749" t="s">
        <v>25</v>
      </c>
      <c r="S27" s="750">
        <f>F27</f>
        <v>100</v>
      </c>
      <c r="T27" s="749" t="s">
        <v>25</v>
      </c>
      <c r="U27" s="750">
        <f>H27</f>
        <v>100</v>
      </c>
      <c r="V27" s="749" t="s">
        <v>25</v>
      </c>
      <c r="W27" s="750">
        <f>J27</f>
        <v>100</v>
      </c>
      <c r="X27" s="751"/>
      <c r="Y27" s="3040"/>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53"/>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40"/>
      <c r="Z28" s="1902" t="str">
        <f t="shared" ref="Z28:Z46" si="15">Q28</f>
        <v>楼层</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53"/>
      <c r="Q29" s="1899">
        <f t="shared" si="11"/>
        <v>111</v>
      </c>
      <c r="R29" s="753" t="s">
        <v>25</v>
      </c>
      <c r="S29" s="754">
        <f t="shared" si="12"/>
        <v>100</v>
      </c>
      <c r="T29" s="753" t="s">
        <v>25</v>
      </c>
      <c r="U29" s="754">
        <f t="shared" si="13"/>
        <v>100</v>
      </c>
      <c r="V29" s="753" t="s">
        <v>25</v>
      </c>
      <c r="W29" s="754">
        <f t="shared" si="14"/>
        <v>100</v>
      </c>
      <c r="X29" s="1900"/>
      <c r="Y29" s="3040"/>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53"/>
      <c r="Q30" s="1899">
        <f t="shared" si="11"/>
        <v>111</v>
      </c>
      <c r="R30" s="753" t="s">
        <v>25</v>
      </c>
      <c r="S30" s="754">
        <f t="shared" si="12"/>
        <v>100</v>
      </c>
      <c r="T30" s="753" t="s">
        <v>25</v>
      </c>
      <c r="U30" s="754">
        <f t="shared" si="13"/>
        <v>100</v>
      </c>
      <c r="V30" s="753" t="s">
        <v>25</v>
      </c>
      <c r="W30" s="754">
        <f t="shared" si="14"/>
        <v>100</v>
      </c>
      <c r="X30" s="1900"/>
      <c r="Y30" s="3040"/>
      <c r="Z30" s="1902">
        <f t="shared" si="15"/>
        <v>111</v>
      </c>
      <c r="AA30" s="1903">
        <f t="shared" si="3"/>
        <v>1</v>
      </c>
      <c r="AB30" s="1903">
        <f t="shared" si="4"/>
        <v>1</v>
      </c>
      <c r="AC30" s="1903">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53"/>
      <c r="Q31" s="1899">
        <f t="shared" si="11"/>
        <v>111</v>
      </c>
      <c r="R31" s="753" t="s">
        <v>25</v>
      </c>
      <c r="S31" s="754">
        <f t="shared" si="12"/>
        <v>100</v>
      </c>
      <c r="T31" s="753" t="s">
        <v>25</v>
      </c>
      <c r="U31" s="754">
        <f t="shared" si="13"/>
        <v>100</v>
      </c>
      <c r="V31" s="753" t="s">
        <v>25</v>
      </c>
      <c r="W31" s="754">
        <f t="shared" si="14"/>
        <v>100</v>
      </c>
      <c r="X31" s="1900"/>
      <c r="Y31" s="3040"/>
      <c r="Z31" s="1902">
        <f t="shared" si="15"/>
        <v>111</v>
      </c>
      <c r="AA31" s="1903">
        <f t="shared" si="3"/>
        <v>1</v>
      </c>
      <c r="AB31" s="1903">
        <f t="shared" si="4"/>
        <v>1</v>
      </c>
      <c r="AC31" s="1903">
        <f t="shared" si="5"/>
        <v>1</v>
      </c>
    </row>
    <row r="32" spans="1:29" ht="15">
      <c r="A32" s="419" t="s">
        <v>2369</v>
      </c>
      <c r="B32" s="28" t="s">
        <v>2457</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41" t="s">
        <v>2371</v>
      </c>
      <c r="Q32" s="1899" t="str">
        <f t="shared" si="11"/>
        <v>商业类型</v>
      </c>
      <c r="R32" s="753" t="s">
        <v>25</v>
      </c>
      <c r="S32" s="754">
        <f t="shared" si="12"/>
        <v>100</v>
      </c>
      <c r="T32" s="753" t="s">
        <v>25</v>
      </c>
      <c r="U32" s="754">
        <f t="shared" si="13"/>
        <v>100</v>
      </c>
      <c r="V32" s="753" t="s">
        <v>25</v>
      </c>
      <c r="W32" s="754">
        <f t="shared" si="14"/>
        <v>100</v>
      </c>
      <c r="X32" s="1900"/>
      <c r="Y32" s="3044"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2"/>
      <c r="Q33" s="755" t="str">
        <f t="shared" si="11"/>
        <v>项目建筑规模</v>
      </c>
      <c r="R33" s="756" t="s">
        <v>25</v>
      </c>
      <c r="S33" s="757" t="e">
        <f t="shared" si="12"/>
        <v>#N/A</v>
      </c>
      <c r="T33" s="756" t="s">
        <v>25</v>
      </c>
      <c r="U33" s="757" t="e">
        <f t="shared" si="13"/>
        <v>#N/A</v>
      </c>
      <c r="V33" s="756" t="s">
        <v>25</v>
      </c>
      <c r="W33" s="757" t="e">
        <f t="shared" si="14"/>
        <v>#N/A</v>
      </c>
      <c r="X33" s="758"/>
      <c r="Y33" s="3044"/>
      <c r="Z33" s="759" t="str">
        <f t="shared" si="15"/>
        <v>项目建筑规模</v>
      </c>
      <c r="AA33" s="1903" t="e">
        <f t="shared" si="3"/>
        <v>#N/A</v>
      </c>
      <c r="AB33" s="1903" t="e">
        <f t="shared" si="4"/>
        <v>#N/A</v>
      </c>
      <c r="AC33" s="1903" t="e">
        <f t="shared" si="5"/>
        <v>#N/A</v>
      </c>
    </row>
    <row r="34" spans="1:29" ht="15">
      <c r="A34" s="453"/>
      <c r="B34" s="402" t="s">
        <v>2373</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42"/>
      <c r="Q34" s="1899" t="str">
        <f t="shared" si="11"/>
        <v>建筑结构</v>
      </c>
      <c r="R34" s="753" t="s">
        <v>25</v>
      </c>
      <c r="S34" s="754">
        <f t="shared" si="12"/>
        <v>100</v>
      </c>
      <c r="T34" s="753" t="s">
        <v>25</v>
      </c>
      <c r="U34" s="754">
        <f t="shared" si="13"/>
        <v>100</v>
      </c>
      <c r="V34" s="753" t="s">
        <v>25</v>
      </c>
      <c r="W34" s="754">
        <f t="shared" si="14"/>
        <v>100</v>
      </c>
      <c r="X34" s="1900"/>
      <c r="Y34" s="3044"/>
      <c r="Z34" s="1902" t="str">
        <f t="shared" si="15"/>
        <v>建筑结构</v>
      </c>
      <c r="AA34" s="1903">
        <f t="shared" si="3"/>
        <v>1</v>
      </c>
      <c r="AB34" s="1903">
        <f t="shared" si="4"/>
        <v>1</v>
      </c>
      <c r="AC34" s="1903">
        <f t="shared" si="5"/>
        <v>1</v>
      </c>
    </row>
    <row r="35" spans="1:29" ht="15">
      <c r="A35" s="453"/>
      <c r="B35" s="402" t="s">
        <v>2458</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42"/>
      <c r="Q35" s="1899" t="str">
        <f t="shared" si="11"/>
        <v>公共部分装修</v>
      </c>
      <c r="R35" s="753" t="s">
        <v>25</v>
      </c>
      <c r="S35" s="754">
        <f t="shared" si="12"/>
        <v>100</v>
      </c>
      <c r="T35" s="753" t="s">
        <v>25</v>
      </c>
      <c r="U35" s="754">
        <f t="shared" si="13"/>
        <v>100</v>
      </c>
      <c r="V35" s="753" t="s">
        <v>25</v>
      </c>
      <c r="W35" s="754">
        <f t="shared" si="14"/>
        <v>100</v>
      </c>
      <c r="X35" s="1900"/>
      <c r="Y35" s="3044"/>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2"/>
      <c r="Q36" s="1899" t="str">
        <f t="shared" si="11"/>
        <v>成新度</v>
      </c>
      <c r="R36" s="753" t="s">
        <v>25</v>
      </c>
      <c r="S36" s="754" t="e">
        <f t="shared" si="12"/>
        <v>#N/A</v>
      </c>
      <c r="T36" s="753" t="s">
        <v>25</v>
      </c>
      <c r="U36" s="754" t="e">
        <f t="shared" si="13"/>
        <v>#N/A</v>
      </c>
      <c r="V36" s="753" t="s">
        <v>25</v>
      </c>
      <c r="W36" s="754" t="e">
        <f t="shared" si="14"/>
        <v>#N/A</v>
      </c>
      <c r="X36" s="1900"/>
      <c r="Y36" s="3044"/>
      <c r="Z36" s="1902" t="str">
        <f t="shared" si="15"/>
        <v>成新度</v>
      </c>
      <c r="AA36" s="1903" t="e">
        <f t="shared" si="3"/>
        <v>#N/A</v>
      </c>
      <c r="AB36" s="1903" t="e">
        <f t="shared" si="4"/>
        <v>#N/A</v>
      </c>
      <c r="AC36" s="1903" t="e">
        <f t="shared" si="5"/>
        <v>#N/A</v>
      </c>
    </row>
    <row r="37" spans="1:29" s="35" customFormat="1" ht="15">
      <c r="A37" s="454"/>
      <c r="B37" s="402" t="s">
        <v>2460</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42"/>
      <c r="Q37" s="1887" t="str">
        <f t="shared" si="11"/>
        <v>市政基础设施</v>
      </c>
      <c r="R37" s="749" t="s">
        <v>25</v>
      </c>
      <c r="S37" s="750">
        <f t="shared" si="12"/>
        <v>100</v>
      </c>
      <c r="T37" s="749" t="s">
        <v>25</v>
      </c>
      <c r="U37" s="750">
        <f t="shared" si="13"/>
        <v>100</v>
      </c>
      <c r="V37" s="749" t="s">
        <v>25</v>
      </c>
      <c r="W37" s="750">
        <f t="shared" si="14"/>
        <v>100</v>
      </c>
      <c r="X37" s="751"/>
      <c r="Y37" s="3044"/>
      <c r="Z37" s="23" t="str">
        <f t="shared" si="15"/>
        <v>市政基础设施</v>
      </c>
      <c r="AA37" s="752">
        <f t="shared" si="3"/>
        <v>1</v>
      </c>
      <c r="AB37" s="752">
        <f t="shared" si="4"/>
        <v>1</v>
      </c>
      <c r="AC37" s="752">
        <f t="shared" si="5"/>
        <v>1</v>
      </c>
    </row>
    <row r="38" spans="1:29" ht="15">
      <c r="A38" s="453"/>
      <c r="B38" s="402" t="s">
        <v>2461</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42" t="s">
        <v>2371</v>
      </c>
      <c r="Q38" s="1899" t="str">
        <f t="shared" si="11"/>
        <v>业态</v>
      </c>
      <c r="R38" s="753" t="s">
        <v>25</v>
      </c>
      <c r="S38" s="754">
        <f t="shared" si="12"/>
        <v>100</v>
      </c>
      <c r="T38" s="753" t="s">
        <v>25</v>
      </c>
      <c r="U38" s="754">
        <f t="shared" si="13"/>
        <v>100</v>
      </c>
      <c r="V38" s="753" t="s">
        <v>25</v>
      </c>
      <c r="W38" s="754">
        <f t="shared" si="14"/>
        <v>100</v>
      </c>
      <c r="X38" s="1900"/>
      <c r="Y38" s="3044" t="s">
        <v>2371</v>
      </c>
      <c r="Z38" s="1902" t="str">
        <f t="shared" si="15"/>
        <v>业态</v>
      </c>
      <c r="AA38" s="1903">
        <f t="shared" si="3"/>
        <v>1</v>
      </c>
      <c r="AB38" s="1903">
        <f t="shared" si="4"/>
        <v>1</v>
      </c>
      <c r="AC38" s="1903">
        <f t="shared" si="5"/>
        <v>1</v>
      </c>
    </row>
    <row r="39" spans="1:29" ht="15">
      <c r="A39" s="453"/>
      <c r="B39" s="402" t="s">
        <v>2462</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42"/>
      <c r="Q39" s="1899" t="str">
        <f t="shared" si="11"/>
        <v>层高</v>
      </c>
      <c r="R39" s="753" t="s">
        <v>25</v>
      </c>
      <c r="S39" s="754">
        <f t="shared" si="12"/>
        <v>100</v>
      </c>
      <c r="T39" s="753" t="s">
        <v>25</v>
      </c>
      <c r="U39" s="754">
        <f t="shared" si="13"/>
        <v>100</v>
      </c>
      <c r="V39" s="753" t="s">
        <v>25</v>
      </c>
      <c r="W39" s="754">
        <f t="shared" si="14"/>
        <v>100</v>
      </c>
      <c r="X39" s="1900"/>
      <c r="Y39" s="3044"/>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2"/>
      <c r="Q40" s="1899" t="str">
        <f t="shared" si="11"/>
        <v>单套建筑面积</v>
      </c>
      <c r="R40" s="753" t="s">
        <v>25</v>
      </c>
      <c r="S40" s="754">
        <f t="shared" si="12"/>
        <v>100</v>
      </c>
      <c r="T40" s="753" t="s">
        <v>25</v>
      </c>
      <c r="U40" s="754">
        <f t="shared" si="13"/>
        <v>100</v>
      </c>
      <c r="V40" s="753" t="s">
        <v>25</v>
      </c>
      <c r="W40" s="754">
        <f t="shared" si="14"/>
        <v>100</v>
      </c>
      <c r="X40" s="1900"/>
      <c r="Y40" s="3044"/>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2"/>
      <c r="Q41" s="755" t="str">
        <f t="shared" si="11"/>
        <v>进深比</v>
      </c>
      <c r="R41" s="756" t="s">
        <v>25</v>
      </c>
      <c r="S41" s="757">
        <f t="shared" si="12"/>
        <v>100</v>
      </c>
      <c r="T41" s="756" t="s">
        <v>25</v>
      </c>
      <c r="U41" s="757">
        <f t="shared" si="13"/>
        <v>100</v>
      </c>
      <c r="V41" s="756" t="s">
        <v>25</v>
      </c>
      <c r="W41" s="757">
        <f t="shared" si="14"/>
        <v>100</v>
      </c>
      <c r="X41" s="758"/>
      <c r="Y41" s="3044"/>
      <c r="Z41" s="759" t="str">
        <f t="shared" si="15"/>
        <v>进深比</v>
      </c>
      <c r="AA41" s="1903">
        <f t="shared" si="3"/>
        <v>1</v>
      </c>
      <c r="AB41" s="1903">
        <f t="shared" si="4"/>
        <v>1</v>
      </c>
      <c r="AC41" s="1903">
        <f t="shared" si="5"/>
        <v>1</v>
      </c>
    </row>
    <row r="42" spans="1:29" ht="15">
      <c r="A42" s="453"/>
      <c r="B42" s="402" t="s">
        <v>2465</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42"/>
      <c r="Q42" s="1899" t="str">
        <f t="shared" si="11"/>
        <v>内部装修</v>
      </c>
      <c r="R42" s="753" t="s">
        <v>25</v>
      </c>
      <c r="S42" s="754">
        <f t="shared" si="12"/>
        <v>100</v>
      </c>
      <c r="T42" s="753" t="s">
        <v>25</v>
      </c>
      <c r="U42" s="754">
        <f t="shared" si="13"/>
        <v>100</v>
      </c>
      <c r="V42" s="753" t="s">
        <v>25</v>
      </c>
      <c r="W42" s="754">
        <f t="shared" si="14"/>
        <v>100</v>
      </c>
      <c r="X42" s="1900"/>
      <c r="Y42" s="3044"/>
      <c r="Z42" s="1902" t="str">
        <f t="shared" si="15"/>
        <v>内部装修</v>
      </c>
      <c r="AA42" s="1903">
        <f t="shared" si="3"/>
        <v>1</v>
      </c>
      <c r="AB42" s="1903">
        <f t="shared" si="4"/>
        <v>1</v>
      </c>
      <c r="AC42" s="1903">
        <f t="shared" si="5"/>
        <v>1</v>
      </c>
    </row>
    <row r="43" spans="1:29" ht="15">
      <c r="A43" s="453"/>
      <c r="B43" s="402" t="s">
        <v>2382</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42"/>
      <c r="Q43" s="1899" t="str">
        <f t="shared" si="11"/>
        <v>内部装修维护情况</v>
      </c>
      <c r="R43" s="753" t="s">
        <v>25</v>
      </c>
      <c r="S43" s="754">
        <f t="shared" si="12"/>
        <v>100</v>
      </c>
      <c r="T43" s="753" t="s">
        <v>25</v>
      </c>
      <c r="U43" s="754">
        <f t="shared" si="13"/>
        <v>100</v>
      </c>
      <c r="V43" s="753" t="s">
        <v>25</v>
      </c>
      <c r="W43" s="754">
        <f t="shared" si="14"/>
        <v>100</v>
      </c>
      <c r="X43" s="1900"/>
      <c r="Y43" s="3044"/>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2"/>
      <c r="Q44" s="1887">
        <f t="shared" si="11"/>
        <v>111</v>
      </c>
      <c r="R44" s="749" t="s">
        <v>25</v>
      </c>
      <c r="S44" s="750">
        <f t="shared" si="12"/>
        <v>100</v>
      </c>
      <c r="T44" s="749" t="s">
        <v>25</v>
      </c>
      <c r="U44" s="750">
        <f t="shared" si="13"/>
        <v>100</v>
      </c>
      <c r="V44" s="749" t="s">
        <v>25</v>
      </c>
      <c r="W44" s="750">
        <f t="shared" si="14"/>
        <v>100</v>
      </c>
      <c r="X44" s="751"/>
      <c r="Y44" s="3044"/>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2"/>
      <c r="Q45" s="1899">
        <f t="shared" si="11"/>
        <v>111</v>
      </c>
      <c r="R45" s="753" t="s">
        <v>25</v>
      </c>
      <c r="S45" s="754">
        <f t="shared" si="12"/>
        <v>100</v>
      </c>
      <c r="T45" s="753" t="s">
        <v>25</v>
      </c>
      <c r="U45" s="754">
        <f t="shared" si="13"/>
        <v>100</v>
      </c>
      <c r="V45" s="753" t="s">
        <v>25</v>
      </c>
      <c r="W45" s="754">
        <f t="shared" si="14"/>
        <v>100</v>
      </c>
      <c r="X45" s="1900"/>
      <c r="Y45" s="3044"/>
      <c r="Z45" s="1902">
        <f t="shared" si="15"/>
        <v>111</v>
      </c>
      <c r="AA45" s="1903">
        <f t="shared" si="3"/>
        <v>1</v>
      </c>
      <c r="AB45" s="1903">
        <f t="shared" si="4"/>
        <v>1</v>
      </c>
      <c r="AC45" s="1903">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3"/>
      <c r="Q46" s="1899">
        <f t="shared" si="11"/>
        <v>111</v>
      </c>
      <c r="R46" s="753" t="s">
        <v>25</v>
      </c>
      <c r="S46" s="754">
        <f t="shared" si="12"/>
        <v>100</v>
      </c>
      <c r="T46" s="753" t="s">
        <v>25</v>
      </c>
      <c r="U46" s="754">
        <f t="shared" si="13"/>
        <v>100</v>
      </c>
      <c r="V46" s="753" t="s">
        <v>25</v>
      </c>
      <c r="W46" s="754">
        <f t="shared" si="14"/>
        <v>100</v>
      </c>
      <c r="X46" s="1900"/>
      <c r="Y46" s="3045"/>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50" t="str">
        <f>A47</f>
        <v>成交单价（元/平方米）</v>
      </c>
      <c r="Q47" s="3050"/>
      <c r="R47" s="3051">
        <f>E47</f>
        <v>0</v>
      </c>
      <c r="S47" s="3051"/>
      <c r="T47" s="3051">
        <f>G47</f>
        <v>0</v>
      </c>
      <c r="U47" s="3051"/>
      <c r="V47" s="3051">
        <f>I47</f>
        <v>0</v>
      </c>
      <c r="W47" s="3051"/>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50" t="str">
        <f>A48</f>
        <v>比较价值（元/平方米）</v>
      </c>
      <c r="Q48" s="3050"/>
      <c r="R48" s="3051" t="e">
        <f>IF(E1="售价",ROUND(PRODUCT(R47,AA7:AA46),0),ROUND(PRODUCT(R47,AA7:AA46),1))</f>
        <v>#DIV/0!</v>
      </c>
      <c r="S48" s="3051"/>
      <c r="T48" s="3051" t="e">
        <f>IF(E1="售价",ROUND(PRODUCT(T47,AB7:AB46),0),ROUND(PRODUCT(T47,AB7:AB46),1))</f>
        <v>#DIV/0!</v>
      </c>
      <c r="U48" s="3051"/>
      <c r="V48" s="3051" t="e">
        <f>IF(E1="售价",ROUND(PRODUCT(V47,AC7:AC46),0),ROUND(PRODUCT(V47,AC7:AC46),1))</f>
        <v>#DIV/0!</v>
      </c>
      <c r="W48" s="3051"/>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56" t="str">
        <f>A49</f>
        <v>估价对象XX用房的比较价值（楼面单价，元/平方米）</v>
      </c>
      <c r="Q49" s="3057"/>
      <c r="R49" s="3058" t="e">
        <f>IF(E1="售价",ROUND(AVERAGE(R48:V48),0),ROUND(AVERAGE(R48:V48),1))</f>
        <v>#DIV/0!</v>
      </c>
      <c r="S49" s="3058"/>
      <c r="T49" s="3058"/>
      <c r="U49" s="3058"/>
      <c r="V49" s="3058"/>
      <c r="W49" s="3058"/>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2391</v>
      </c>
      <c r="B60" s="497"/>
      <c r="C60" s="498"/>
      <c r="D60" s="499"/>
      <c r="E60" s="499"/>
      <c r="F60" s="499"/>
      <c r="G60" s="499"/>
      <c r="H60" s="499"/>
      <c r="I60" s="499"/>
      <c r="J60" s="499"/>
      <c r="K60" s="499"/>
      <c r="L60" s="499"/>
      <c r="M60" s="500"/>
      <c r="N60" s="499"/>
      <c r="O60" s="500"/>
      <c r="P60" s="2424"/>
      <c r="Q60" s="485"/>
    </row>
    <row r="61" spans="1:29" s="35" customFormat="1" ht="15">
      <c r="A61" s="502" t="s">
        <v>2355</v>
      </c>
      <c r="B61" s="491"/>
      <c r="C61" s="503" t="s">
        <v>2356</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2394</v>
      </c>
      <c r="B63" s="509" t="s">
        <v>2359</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2472</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2369</v>
      </c>
      <c r="B100" s="509" t="s">
        <v>2473</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2420</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2422</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2474</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2475</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2476</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2427</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2"/>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2007</v>
      </c>
      <c r="B2" s="1725" t="e">
        <f ca="1">IF(D2="——",IF(C2="元",ROUND(C50*D3,0),ROUND(C50*D3/10000,0)),IF(C2="元",ROUND(C50*D3,0),ROUND(C50*D3/10000,0))-E2)</f>
        <v>#DIV/0!</v>
      </c>
      <c r="C2" s="163" t="str">
        <f>'数据-取费表'!B3</f>
        <v>元</v>
      </c>
      <c r="D2" s="2384"/>
      <c r="E2" s="1842"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2008</v>
      </c>
      <c r="B3" s="593" t="e">
        <f ca="1">ROUND(IF(D2="——",C50,IF(C2="万元",B2*10000/D3,B2/D3)),0)</f>
        <v>#DIV/0!</v>
      </c>
      <c r="C3" s="379" t="s">
        <v>2339</v>
      </c>
      <c r="D3" s="378">
        <f>IF(C1="仅计算典型户型",'数据-取费表'!E5,'数据-取费表'!B5)</f>
        <v>60.74</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2340</v>
      </c>
      <c r="B4" s="381"/>
      <c r="C4" s="3014" t="s">
        <v>2341</v>
      </c>
      <c r="D4" s="3015"/>
      <c r="E4" s="3016" t="s">
        <v>2342</v>
      </c>
      <c r="F4" s="3017"/>
      <c r="G4" s="3014" t="s">
        <v>2343</v>
      </c>
      <c r="H4" s="3015"/>
      <c r="I4" s="3014" t="s">
        <v>2344</v>
      </c>
      <c r="J4" s="3015"/>
      <c r="K4" s="594" t="s">
        <v>2345</v>
      </c>
      <c r="L4" s="1243"/>
      <c r="M4" s="1244"/>
      <c r="N4" s="1244"/>
      <c r="O4" s="1244"/>
      <c r="P4" s="3063" t="s">
        <v>2346</v>
      </c>
      <c r="Q4" s="3019"/>
      <c r="R4" s="3024" t="s">
        <v>2342</v>
      </c>
      <c r="S4" s="3025"/>
      <c r="T4" s="3024" t="s">
        <v>2343</v>
      </c>
      <c r="U4" s="3025"/>
      <c r="V4" s="3030" t="s">
        <v>2344</v>
      </c>
      <c r="W4" s="3030"/>
      <c r="X4" s="1900"/>
      <c r="Y4" s="3024" t="s">
        <v>2346</v>
      </c>
      <c r="Z4" s="3025"/>
      <c r="AA4" s="3011" t="s">
        <v>2342</v>
      </c>
      <c r="AB4" s="3011" t="s">
        <v>2343</v>
      </c>
      <c r="AC4" s="3011" t="s">
        <v>2344</v>
      </c>
    </row>
    <row r="5" spans="1:29" ht="15">
      <c r="A5" s="383"/>
      <c r="B5" s="384"/>
      <c r="C5" s="3059" t="s">
        <v>2347</v>
      </c>
      <c r="D5" s="3060"/>
      <c r="E5" s="3061" t="s">
        <v>2348</v>
      </c>
      <c r="F5" s="3062"/>
      <c r="G5" s="3059" t="s">
        <v>2349</v>
      </c>
      <c r="H5" s="3060"/>
      <c r="I5" s="3059" t="s">
        <v>2350</v>
      </c>
      <c r="J5" s="3060"/>
      <c r="K5" s="594"/>
      <c r="L5" s="1243"/>
      <c r="M5" s="1244"/>
      <c r="N5" s="1244"/>
      <c r="O5" s="1244"/>
      <c r="P5" s="3064"/>
      <c r="Q5" s="3021"/>
      <c r="R5" s="3026"/>
      <c r="S5" s="3027"/>
      <c r="T5" s="3026"/>
      <c r="U5" s="3027"/>
      <c r="V5" s="3030"/>
      <c r="W5" s="3030"/>
      <c r="X5" s="1900"/>
      <c r="Y5" s="3026"/>
      <c r="Z5" s="3027"/>
      <c r="AA5" s="3012"/>
      <c r="AB5" s="3012"/>
      <c r="AC5" s="3012"/>
    </row>
    <row r="6" spans="1:29" ht="15.75" thickBot="1">
      <c r="A6" s="385"/>
      <c r="B6" s="386"/>
      <c r="C6" s="3035" t="s">
        <v>2351</v>
      </c>
      <c r="D6" s="3036"/>
      <c r="E6" s="3037" t="s">
        <v>2351</v>
      </c>
      <c r="F6" s="3038"/>
      <c r="G6" s="3035" t="s">
        <v>2351</v>
      </c>
      <c r="H6" s="3036"/>
      <c r="I6" s="3035" t="s">
        <v>2351</v>
      </c>
      <c r="J6" s="3036"/>
      <c r="K6" s="594" t="s">
        <v>2352</v>
      </c>
      <c r="L6" s="1243"/>
      <c r="M6" s="1244"/>
      <c r="N6" s="1244"/>
      <c r="O6" s="1244"/>
      <c r="P6" s="3065"/>
      <c r="Q6" s="3023"/>
      <c r="R6" s="3026"/>
      <c r="S6" s="3027"/>
      <c r="T6" s="3028"/>
      <c r="U6" s="3029"/>
      <c r="V6" s="3030"/>
      <c r="W6" s="3030"/>
      <c r="X6" s="1900"/>
      <c r="Y6" s="3028"/>
      <c r="Z6" s="3029"/>
      <c r="AA6" s="3013"/>
      <c r="AB6" s="3013"/>
      <c r="AC6" s="3013"/>
    </row>
    <row r="7" spans="1:29" s="35" customFormat="1" ht="15.75" thickBot="1">
      <c r="A7" s="387" t="s">
        <v>2353</v>
      </c>
      <c r="B7" s="388"/>
      <c r="C7" s="389">
        <f>'数据-取费表'!B2</f>
        <v>43242</v>
      </c>
      <c r="D7" s="390">
        <v>100</v>
      </c>
      <c r="E7" s="391"/>
      <c r="F7" s="392">
        <f>SUMIF(59:59,YEAR(E7)&amp;"-"&amp;MONTH(E7),60:60)</f>
        <v>0</v>
      </c>
      <c r="G7" s="2466"/>
      <c r="H7" s="390">
        <f>SUMIF(59:59,YEAR(G7)&amp;"-"&amp;MONTH(G7),60:60)</f>
        <v>0</v>
      </c>
      <c r="I7" s="2466"/>
      <c r="J7" s="390">
        <f>SUMIF(59:59,YEAR(I7)&amp;"-"&amp;MONTH(I7),60:60)</f>
        <v>0</v>
      </c>
      <c r="K7" s="595"/>
      <c r="L7" s="1245"/>
      <c r="M7" s="1246"/>
      <c r="N7" s="1246"/>
      <c r="O7" s="1246"/>
      <c r="P7" s="3048" t="s">
        <v>2354</v>
      </c>
      <c r="Q7" s="3048"/>
      <c r="R7" s="749" t="s">
        <v>25</v>
      </c>
      <c r="S7" s="750">
        <f t="shared" ref="S7:S15" si="0">F7</f>
        <v>0</v>
      </c>
      <c r="T7" s="749" t="s">
        <v>25</v>
      </c>
      <c r="U7" s="750">
        <f t="shared" ref="U7:U15" si="1">H7</f>
        <v>0</v>
      </c>
      <c r="V7" s="749" t="s">
        <v>25</v>
      </c>
      <c r="W7" s="750">
        <f t="shared" ref="W7:W15" si="2">J7</f>
        <v>0</v>
      </c>
      <c r="X7" s="751"/>
      <c r="Y7" s="3046" t="s">
        <v>2354</v>
      </c>
      <c r="Z7" s="3047"/>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48" t="s">
        <v>2357</v>
      </c>
      <c r="Q8" s="3047"/>
      <c r="R8" s="749" t="s">
        <v>25</v>
      </c>
      <c r="S8" s="750">
        <f t="shared" si="0"/>
        <v>0</v>
      </c>
      <c r="T8" s="749" t="s">
        <v>25</v>
      </c>
      <c r="U8" s="750">
        <f t="shared" si="1"/>
        <v>0</v>
      </c>
      <c r="V8" s="749" t="s">
        <v>25</v>
      </c>
      <c r="W8" s="750">
        <f t="shared" si="2"/>
        <v>0</v>
      </c>
      <c r="X8" s="751"/>
      <c r="Y8" s="3046" t="s">
        <v>2357</v>
      </c>
      <c r="Z8" s="3047"/>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57" t="s">
        <v>2360</v>
      </c>
      <c r="Q9" s="1887" t="str">
        <f t="shared" ref="Q9:Q15" si="6">B9</f>
        <v>用途</v>
      </c>
      <c r="R9" s="749" t="s">
        <v>25</v>
      </c>
      <c r="S9" s="750">
        <f t="shared" si="0"/>
        <v>100</v>
      </c>
      <c r="T9" s="749" t="s">
        <v>25</v>
      </c>
      <c r="U9" s="750">
        <f t="shared" si="1"/>
        <v>100</v>
      </c>
      <c r="V9" s="749" t="s">
        <v>25</v>
      </c>
      <c r="W9" s="750">
        <f t="shared" si="2"/>
        <v>100</v>
      </c>
      <c r="X9" s="751"/>
      <c r="Y9" s="2862"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57"/>
      <c r="Q10" s="1887" t="str">
        <f t="shared" si="6"/>
        <v>土地使用年限（年）</v>
      </c>
      <c r="R10" s="749" t="s">
        <v>25</v>
      </c>
      <c r="S10" s="750">
        <f t="shared" si="0"/>
        <v>100</v>
      </c>
      <c r="T10" s="749" t="s">
        <v>25</v>
      </c>
      <c r="U10" s="750">
        <f t="shared" si="1"/>
        <v>100</v>
      </c>
      <c r="V10" s="749" t="s">
        <v>25</v>
      </c>
      <c r="W10" s="750">
        <f t="shared" si="2"/>
        <v>100</v>
      </c>
      <c r="X10" s="751"/>
      <c r="Y10" s="2862"/>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57"/>
      <c r="Q11" s="1887" t="str">
        <f t="shared" si="6"/>
        <v>容积率</v>
      </c>
      <c r="R11" s="749" t="s">
        <v>25</v>
      </c>
      <c r="S11" s="750" t="e">
        <f t="shared" si="0"/>
        <v>#N/A</v>
      </c>
      <c r="T11" s="749" t="s">
        <v>25</v>
      </c>
      <c r="U11" s="750" t="e">
        <f t="shared" si="1"/>
        <v>#N/A</v>
      </c>
      <c r="V11" s="749" t="s">
        <v>25</v>
      </c>
      <c r="W11" s="750" t="e">
        <f t="shared" si="2"/>
        <v>#N/A</v>
      </c>
      <c r="X11" s="751"/>
      <c r="Y11" s="2862"/>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57"/>
      <c r="Q12" s="1887">
        <f t="shared" si="6"/>
        <v>111</v>
      </c>
      <c r="R12" s="749" t="s">
        <v>25</v>
      </c>
      <c r="S12" s="750">
        <f t="shared" si="0"/>
        <v>100</v>
      </c>
      <c r="T12" s="749" t="s">
        <v>25</v>
      </c>
      <c r="U12" s="750">
        <f t="shared" si="1"/>
        <v>100</v>
      </c>
      <c r="V12" s="749" t="s">
        <v>25</v>
      </c>
      <c r="W12" s="750">
        <f t="shared" si="2"/>
        <v>100</v>
      </c>
      <c r="X12" s="751"/>
      <c r="Y12" s="2862"/>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57"/>
      <c r="Q13" s="1887">
        <f t="shared" si="6"/>
        <v>111</v>
      </c>
      <c r="R13" s="749" t="s">
        <v>25</v>
      </c>
      <c r="S13" s="750">
        <f t="shared" si="0"/>
        <v>100</v>
      </c>
      <c r="T13" s="749" t="s">
        <v>25</v>
      </c>
      <c r="U13" s="750">
        <f t="shared" si="1"/>
        <v>100</v>
      </c>
      <c r="V13" s="749" t="s">
        <v>25</v>
      </c>
      <c r="W13" s="750">
        <f t="shared" si="2"/>
        <v>100</v>
      </c>
      <c r="X13" s="751"/>
      <c r="Y13" s="2862"/>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57"/>
      <c r="Q14" s="1887">
        <f t="shared" si="6"/>
        <v>111</v>
      </c>
      <c r="R14" s="749" t="s">
        <v>25</v>
      </c>
      <c r="S14" s="750">
        <f t="shared" si="0"/>
        <v>100</v>
      </c>
      <c r="T14" s="749" t="s">
        <v>25</v>
      </c>
      <c r="U14" s="750">
        <f t="shared" si="1"/>
        <v>100</v>
      </c>
      <c r="V14" s="749" t="s">
        <v>25</v>
      </c>
      <c r="W14" s="750">
        <f t="shared" si="2"/>
        <v>100</v>
      </c>
      <c r="X14" s="751"/>
      <c r="Y14" s="2862"/>
      <c r="Z14" s="23">
        <f t="shared" si="7"/>
        <v>111</v>
      </c>
      <c r="AA14" s="752">
        <f t="shared" si="3"/>
        <v>1</v>
      </c>
      <c r="AB14" s="752">
        <f t="shared" si="4"/>
        <v>1</v>
      </c>
      <c r="AC14" s="752">
        <f t="shared" si="5"/>
        <v>1</v>
      </c>
    </row>
    <row r="15" spans="1:29" ht="15">
      <c r="A15" s="419" t="s">
        <v>2364</v>
      </c>
      <c r="B15" s="613" t="s">
        <v>2479</v>
      </c>
      <c r="C15" s="2467">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19" t="s">
        <v>2365</v>
      </c>
      <c r="Q15" s="1899" t="str">
        <f t="shared" si="6"/>
        <v>办公集聚程度</v>
      </c>
      <c r="R15" s="753" t="s">
        <v>25</v>
      </c>
      <c r="S15" s="754">
        <f t="shared" si="0"/>
        <v>100</v>
      </c>
      <c r="T15" s="753" t="s">
        <v>25</v>
      </c>
      <c r="U15" s="754">
        <f t="shared" si="1"/>
        <v>100</v>
      </c>
      <c r="V15" s="753" t="s">
        <v>25</v>
      </c>
      <c r="W15" s="754">
        <f t="shared" si="2"/>
        <v>100</v>
      </c>
      <c r="X15" s="1900"/>
      <c r="Y15" s="3039"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21"/>
      <c r="Q16" s="1899"/>
      <c r="R16" s="753"/>
      <c r="S16" s="754"/>
      <c r="T16" s="753"/>
      <c r="U16" s="754"/>
      <c r="V16" s="753"/>
      <c r="W16" s="754"/>
      <c r="X16" s="1900"/>
      <c r="Y16" s="3040"/>
      <c r="Z16" s="1902"/>
      <c r="AA16" s="1903">
        <v>1</v>
      </c>
      <c r="AB16" s="1903">
        <v>1</v>
      </c>
      <c r="AC16" s="1903">
        <v>1</v>
      </c>
    </row>
    <row r="17" spans="1:29" ht="114">
      <c r="A17" s="408"/>
      <c r="B17" s="615" t="s">
        <v>1750</v>
      </c>
      <c r="C17" s="2468" t="str">
        <f>估价对象房地状况!C6</f>
        <v>估价对象紧邻城市支路——下园一条，周边无地铁、有868路、916路、h58路、h59路公交线路等，综合评价交通便捷度一般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21"/>
      <c r="Q17" s="1899" t="str">
        <f>B17</f>
        <v>交通便捷度</v>
      </c>
      <c r="R17" s="753" t="s">
        <v>25</v>
      </c>
      <c r="S17" s="754">
        <f>F17</f>
        <v>100</v>
      </c>
      <c r="T17" s="753" t="s">
        <v>25</v>
      </c>
      <c r="U17" s="754">
        <f>H17</f>
        <v>100</v>
      </c>
      <c r="V17" s="753" t="s">
        <v>25</v>
      </c>
      <c r="W17" s="754">
        <f>J17</f>
        <v>100</v>
      </c>
      <c r="X17" s="1900"/>
      <c r="Y17" s="3040"/>
      <c r="Z17" s="1902" t="str">
        <f>Q17</f>
        <v>交通便捷度</v>
      </c>
      <c r="AA17" s="1903">
        <f t="shared" si="3"/>
        <v>1</v>
      </c>
      <c r="AB17" s="1903">
        <f t="shared" si="4"/>
        <v>1</v>
      </c>
      <c r="AC17" s="1903">
        <f t="shared" si="5"/>
        <v>1</v>
      </c>
    </row>
    <row r="18" spans="1:29" ht="15">
      <c r="A18" s="408"/>
      <c r="B18" s="616"/>
      <c r="C18" s="2469"/>
      <c r="D18" s="430"/>
      <c r="E18" s="2407"/>
      <c r="F18" s="430"/>
      <c r="G18" s="1468"/>
      <c r="H18" s="427"/>
      <c r="I18" s="1468"/>
      <c r="J18" s="427"/>
      <c r="K18" s="599"/>
      <c r="L18" s="1253"/>
      <c r="M18" s="1244"/>
      <c r="N18" s="1244"/>
      <c r="O18" s="1244"/>
      <c r="P18" s="3021"/>
      <c r="Q18" s="1899"/>
      <c r="R18" s="753"/>
      <c r="S18" s="754"/>
      <c r="T18" s="753"/>
      <c r="U18" s="754"/>
      <c r="V18" s="753"/>
      <c r="W18" s="754"/>
      <c r="X18" s="1900"/>
      <c r="Y18" s="3040"/>
      <c r="Z18" s="1902"/>
      <c r="AA18" s="1903">
        <v>1</v>
      </c>
      <c r="AB18" s="1903">
        <v>1</v>
      </c>
      <c r="AC18" s="1903">
        <v>1</v>
      </c>
    </row>
    <row r="19" spans="1:29" ht="42.75">
      <c r="A19" s="408"/>
      <c r="B19" s="615" t="s">
        <v>2480</v>
      </c>
      <c r="C19" s="2468" t="str">
        <f>估价对象房地状况!C7</f>
        <v>估价对象所在区域公共配套设施齐备情况一般</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21"/>
      <c r="Q19" s="1899" t="str">
        <f>B19</f>
        <v>公共配套设施</v>
      </c>
      <c r="R19" s="753" t="s">
        <v>25</v>
      </c>
      <c r="S19" s="754">
        <f>F19</f>
        <v>100</v>
      </c>
      <c r="T19" s="753" t="s">
        <v>25</v>
      </c>
      <c r="U19" s="754">
        <f>H19</f>
        <v>100</v>
      </c>
      <c r="V19" s="753" t="s">
        <v>25</v>
      </c>
      <c r="W19" s="754">
        <f>J19</f>
        <v>100</v>
      </c>
      <c r="X19" s="1900"/>
      <c r="Y19" s="3040"/>
      <c r="Z19" s="1902" t="str">
        <f>Q19</f>
        <v>公共配套设施</v>
      </c>
      <c r="AA19" s="1903">
        <f t="shared" si="3"/>
        <v>1</v>
      </c>
      <c r="AB19" s="1903">
        <f t="shared" si="4"/>
        <v>1</v>
      </c>
      <c r="AC19" s="1903">
        <f t="shared" si="5"/>
        <v>1</v>
      </c>
    </row>
    <row r="20" spans="1:29" ht="15">
      <c r="A20" s="408"/>
      <c r="B20" s="616"/>
      <c r="C20" s="1472"/>
      <c r="D20" s="427"/>
      <c r="E20" s="2404"/>
      <c r="F20" s="427"/>
      <c r="G20" s="428"/>
      <c r="H20" s="427"/>
      <c r="I20" s="428"/>
      <c r="J20" s="427"/>
      <c r="K20" s="599"/>
      <c r="L20" s="1253"/>
      <c r="M20" s="1244"/>
      <c r="N20" s="1244"/>
      <c r="O20" s="1244"/>
      <c r="P20" s="3021"/>
      <c r="Q20" s="1899"/>
      <c r="R20" s="753"/>
      <c r="S20" s="754"/>
      <c r="T20" s="753"/>
      <c r="U20" s="754"/>
      <c r="V20" s="753"/>
      <c r="W20" s="754"/>
      <c r="X20" s="1900"/>
      <c r="Y20" s="3040"/>
      <c r="Z20" s="1902"/>
      <c r="AA20" s="1903">
        <v>1</v>
      </c>
      <c r="AB20" s="1903">
        <v>1</v>
      </c>
      <c r="AC20" s="1903">
        <v>1</v>
      </c>
    </row>
    <row r="21" spans="1:29" ht="42.75">
      <c r="A21" s="408"/>
      <c r="B21" s="617" t="s">
        <v>2481</v>
      </c>
      <c r="C21" s="2468"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21"/>
      <c r="Q21" s="1899" t="str">
        <f>B21</f>
        <v>基础设施水平</v>
      </c>
      <c r="R21" s="753" t="s">
        <v>25</v>
      </c>
      <c r="S21" s="754">
        <f>F21</f>
        <v>100</v>
      </c>
      <c r="T21" s="753" t="s">
        <v>25</v>
      </c>
      <c r="U21" s="754">
        <f>H21</f>
        <v>100</v>
      </c>
      <c r="V21" s="753" t="s">
        <v>25</v>
      </c>
      <c r="W21" s="754">
        <f>J21</f>
        <v>100</v>
      </c>
      <c r="X21" s="1900"/>
      <c r="Y21" s="3040"/>
      <c r="Z21" s="1902" t="str">
        <f>Q21</f>
        <v>基础设施水平</v>
      </c>
      <c r="AA21" s="1903">
        <f t="shared" ref="AA21" si="8">D21/F21</f>
        <v>1</v>
      </c>
      <c r="AB21" s="1903">
        <f t="shared" ref="AB21" si="9">D21/H21</f>
        <v>1</v>
      </c>
      <c r="AC21" s="1903">
        <f t="shared" ref="AC21" si="10">D21/J21</f>
        <v>1</v>
      </c>
    </row>
    <row r="22" spans="1:29" ht="15">
      <c r="A22" s="408"/>
      <c r="B22" s="617"/>
      <c r="C22" s="2469"/>
      <c r="D22" s="427"/>
      <c r="E22" s="426"/>
      <c r="F22" s="427"/>
      <c r="G22" s="1472"/>
      <c r="H22" s="427"/>
      <c r="I22" s="1472"/>
      <c r="J22" s="427"/>
      <c r="K22" s="1469"/>
      <c r="L22" s="1253"/>
      <c r="M22" s="1244"/>
      <c r="N22" s="1244"/>
      <c r="O22" s="1244"/>
      <c r="P22" s="3021"/>
      <c r="Q22" s="1899"/>
      <c r="R22" s="753"/>
      <c r="S22" s="754"/>
      <c r="T22" s="753"/>
      <c r="U22" s="754"/>
      <c r="V22" s="753"/>
      <c r="W22" s="754"/>
      <c r="X22" s="1900"/>
      <c r="Y22" s="3040"/>
      <c r="Z22" s="1902"/>
      <c r="AA22" s="1903">
        <v>1</v>
      </c>
      <c r="AB22" s="1903">
        <v>1</v>
      </c>
      <c r="AC22" s="1903">
        <v>1</v>
      </c>
    </row>
    <row r="23" spans="1:29" ht="99.75">
      <c r="A23" s="408"/>
      <c r="B23" s="615" t="s">
        <v>2482</v>
      </c>
      <c r="C23" s="2468" t="str">
        <f>估价对象房地状况!C9</f>
        <v>自然环境：普法公园、迎宾公园、怀柔水库等；人文环境：怀柔区博物馆等，综合评价环境状况一般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21"/>
      <c r="Q23" s="1899" t="str">
        <f>B23</f>
        <v>环境质量</v>
      </c>
      <c r="R23" s="753" t="s">
        <v>25</v>
      </c>
      <c r="S23" s="754">
        <f>F23</f>
        <v>100</v>
      </c>
      <c r="T23" s="753" t="s">
        <v>25</v>
      </c>
      <c r="U23" s="754">
        <f>H23</f>
        <v>100</v>
      </c>
      <c r="V23" s="753" t="s">
        <v>25</v>
      </c>
      <c r="W23" s="754">
        <f>J23</f>
        <v>100</v>
      </c>
      <c r="X23" s="1900"/>
      <c r="Y23" s="3040"/>
      <c r="Z23" s="1902" t="str">
        <f>Q23</f>
        <v>环境质量</v>
      </c>
      <c r="AA23" s="1903">
        <f t="shared" si="3"/>
        <v>1</v>
      </c>
      <c r="AB23" s="1903">
        <f t="shared" si="4"/>
        <v>1</v>
      </c>
      <c r="AC23" s="1903">
        <f t="shared" si="5"/>
        <v>1</v>
      </c>
    </row>
    <row r="24" spans="1:29" ht="15">
      <c r="A24" s="408"/>
      <c r="B24" s="617"/>
      <c r="C24" s="1472"/>
      <c r="D24" s="427"/>
      <c r="E24" s="2404"/>
      <c r="F24" s="427"/>
      <c r="G24" s="428"/>
      <c r="H24" s="427"/>
      <c r="I24" s="428"/>
      <c r="J24" s="427"/>
      <c r="K24" s="599"/>
      <c r="L24" s="1253"/>
      <c r="M24" s="1244"/>
      <c r="N24" s="1244"/>
      <c r="O24" s="1244"/>
      <c r="P24" s="3021"/>
      <c r="Q24" s="1899"/>
      <c r="R24" s="753"/>
      <c r="S24" s="754"/>
      <c r="T24" s="753"/>
      <c r="U24" s="754"/>
      <c r="V24" s="753"/>
      <c r="W24" s="754"/>
      <c r="X24" s="1900"/>
      <c r="Y24" s="3040"/>
      <c r="Z24" s="1902"/>
      <c r="AA24" s="1903">
        <v>1</v>
      </c>
      <c r="AB24" s="1903">
        <v>1</v>
      </c>
      <c r="AC24" s="1903">
        <v>1</v>
      </c>
    </row>
    <row r="25" spans="1:29" ht="27">
      <c r="A25" s="383"/>
      <c r="B25" s="615" t="s">
        <v>2483</v>
      </c>
      <c r="C25" s="2470"/>
      <c r="D25" s="415">
        <v>100</v>
      </c>
      <c r="E25" s="414"/>
      <c r="F25" s="415">
        <f>SUMIF(87:87,E26,88:88)-SUMIF(87:87,C26,88:88)+100</f>
        <v>100</v>
      </c>
      <c r="G25" s="2470"/>
      <c r="H25" s="415">
        <f>SUMIF(87:87,G26,88:88)-SUMIF(87:87,C26,88:88)+100</f>
        <v>100</v>
      </c>
      <c r="I25" s="414"/>
      <c r="J25" s="415">
        <f>SUMIF(87:87,I26,88:88)-SUMIF(87:87,C26,88:88)+100</f>
        <v>100</v>
      </c>
      <c r="K25" s="598"/>
      <c r="L25" s="1253"/>
      <c r="M25" s="1244"/>
      <c r="N25" s="1244"/>
      <c r="O25" s="1244"/>
      <c r="P25" s="3021"/>
      <c r="Q25" s="1899" t="str">
        <f>B25</f>
        <v>毗邻道路的类型与等级</v>
      </c>
      <c r="R25" s="753" t="s">
        <v>25</v>
      </c>
      <c r="S25" s="754">
        <f>F25</f>
        <v>100</v>
      </c>
      <c r="T25" s="753" t="s">
        <v>25</v>
      </c>
      <c r="U25" s="754">
        <f>H25</f>
        <v>100</v>
      </c>
      <c r="V25" s="753" t="s">
        <v>25</v>
      </c>
      <c r="W25" s="754">
        <f>J25</f>
        <v>100</v>
      </c>
      <c r="X25" s="1900"/>
      <c r="Y25" s="3040"/>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21"/>
      <c r="Q26" s="1899"/>
      <c r="R26" s="753"/>
      <c r="S26" s="754"/>
      <c r="T26" s="753"/>
      <c r="U26" s="754"/>
      <c r="V26" s="753"/>
      <c r="W26" s="754"/>
      <c r="X26" s="1900"/>
      <c r="Y26" s="3040"/>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21"/>
      <c r="Q27" s="1899" t="str">
        <f t="shared" ref="Q27:Q47" si="11">B27</f>
        <v>楼层</v>
      </c>
      <c r="R27" s="753" t="s">
        <v>25</v>
      </c>
      <c r="S27" s="754">
        <f>F27</f>
        <v>100</v>
      </c>
      <c r="T27" s="753" t="s">
        <v>25</v>
      </c>
      <c r="U27" s="754">
        <f>H27</f>
        <v>100</v>
      </c>
      <c r="V27" s="753" t="s">
        <v>25</v>
      </c>
      <c r="W27" s="754">
        <f>J27</f>
        <v>100</v>
      </c>
      <c r="X27" s="1900"/>
      <c r="Y27" s="3040"/>
      <c r="Z27" s="1902" t="str">
        <f>Q27</f>
        <v>楼层</v>
      </c>
      <c r="AA27" s="1903">
        <f t="shared" si="3"/>
        <v>1</v>
      </c>
      <c r="AB27" s="1903">
        <f t="shared" si="4"/>
        <v>1</v>
      </c>
      <c r="AC27" s="1903">
        <f t="shared" si="5"/>
        <v>1</v>
      </c>
    </row>
    <row r="28" spans="1:29" s="35" customFormat="1" ht="15">
      <c r="A28" s="411"/>
      <c r="B28" s="615" t="s">
        <v>2484</v>
      </c>
      <c r="C28" s="2471"/>
      <c r="D28" s="443">
        <v>100</v>
      </c>
      <c r="E28" s="2458"/>
      <c r="F28" s="443">
        <f>SUMIF(91:91,E28,92:92)-SUMIF(91:91,C28,92:92)+100</f>
        <v>100</v>
      </c>
      <c r="G28" s="2471"/>
      <c r="H28" s="443">
        <f>SUMIF(91:91,G28,92:92)-SUMIF(91:91,C28,92:92)+100</f>
        <v>100</v>
      </c>
      <c r="I28" s="2458"/>
      <c r="J28" s="443">
        <f>SUMIF(91:91,I28,92:92)-SUMIF(91:91,C28,92:92)+100</f>
        <v>100</v>
      </c>
      <c r="K28" s="596"/>
      <c r="L28" s="1245"/>
      <c r="M28" s="1246"/>
      <c r="N28" s="1246"/>
      <c r="O28" s="1246"/>
      <c r="P28" s="3021"/>
      <c r="Q28" s="1887" t="str">
        <f t="shared" si="11"/>
        <v>朝向</v>
      </c>
      <c r="R28" s="749" t="s">
        <v>25</v>
      </c>
      <c r="S28" s="750">
        <f>F28</f>
        <v>100</v>
      </c>
      <c r="T28" s="749" t="s">
        <v>25</v>
      </c>
      <c r="U28" s="750">
        <f>H28</f>
        <v>100</v>
      </c>
      <c r="V28" s="749" t="s">
        <v>25</v>
      </c>
      <c r="W28" s="750">
        <f>J28</f>
        <v>100</v>
      </c>
      <c r="X28" s="751"/>
      <c r="Y28" s="3040"/>
      <c r="Z28" s="23" t="str">
        <f>Q28</f>
        <v>朝向</v>
      </c>
      <c r="AA28" s="1903">
        <f>D28/F28</f>
        <v>1</v>
      </c>
      <c r="AB28" s="1903">
        <f>D28/H28</f>
        <v>1</v>
      </c>
      <c r="AC28" s="1903">
        <f>D28/J28</f>
        <v>1</v>
      </c>
    </row>
    <row r="29" spans="1:29" ht="15">
      <c r="A29" s="408"/>
      <c r="B29" s="2472">
        <v>111</v>
      </c>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21"/>
      <c r="Q29" s="1899">
        <f t="shared" si="11"/>
        <v>111</v>
      </c>
      <c r="R29" s="753" t="s">
        <v>25</v>
      </c>
      <c r="S29" s="754">
        <f t="shared" ref="S29:S47" si="12">F29</f>
        <v>100</v>
      </c>
      <c r="T29" s="753" t="s">
        <v>25</v>
      </c>
      <c r="U29" s="754">
        <f t="shared" ref="U29:U47" si="13">H29</f>
        <v>100</v>
      </c>
      <c r="V29" s="753" t="s">
        <v>25</v>
      </c>
      <c r="W29" s="754">
        <f t="shared" ref="W29:W47" si="14">J29</f>
        <v>100</v>
      </c>
      <c r="X29" s="1900"/>
      <c r="Y29" s="3040"/>
      <c r="Z29" s="1902">
        <f t="shared" ref="Z29:Z47" si="15">Q29</f>
        <v>111</v>
      </c>
      <c r="AA29" s="1903">
        <f t="shared" si="3"/>
        <v>1</v>
      </c>
      <c r="AB29" s="1903">
        <f t="shared" si="4"/>
        <v>1</v>
      </c>
      <c r="AC29" s="1903">
        <f t="shared" si="5"/>
        <v>1</v>
      </c>
    </row>
    <row r="30" spans="1:29" ht="15">
      <c r="A30" s="408"/>
      <c r="B30" s="2472">
        <v>111</v>
      </c>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21"/>
      <c r="Q30" s="1899">
        <f t="shared" si="11"/>
        <v>111</v>
      </c>
      <c r="R30" s="753" t="s">
        <v>25</v>
      </c>
      <c r="S30" s="754">
        <f t="shared" si="12"/>
        <v>100</v>
      </c>
      <c r="T30" s="753" t="s">
        <v>25</v>
      </c>
      <c r="U30" s="754">
        <f t="shared" si="13"/>
        <v>100</v>
      </c>
      <c r="V30" s="753" t="s">
        <v>25</v>
      </c>
      <c r="W30" s="754">
        <f t="shared" si="14"/>
        <v>100</v>
      </c>
      <c r="X30" s="1900"/>
      <c r="Y30" s="3040"/>
      <c r="Z30" s="1902">
        <f t="shared" si="15"/>
        <v>111</v>
      </c>
      <c r="AA30" s="1903">
        <f t="shared" si="3"/>
        <v>1</v>
      </c>
      <c r="AB30" s="1903">
        <f t="shared" si="4"/>
        <v>1</v>
      </c>
      <c r="AC30" s="1903">
        <f t="shared" si="5"/>
        <v>1</v>
      </c>
    </row>
    <row r="31" spans="1:29" ht="15">
      <c r="A31" s="408"/>
      <c r="B31" s="2472">
        <v>111</v>
      </c>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21"/>
      <c r="Q31" s="1899">
        <f t="shared" si="11"/>
        <v>111</v>
      </c>
      <c r="R31" s="753" t="s">
        <v>25</v>
      </c>
      <c r="S31" s="754">
        <f t="shared" si="12"/>
        <v>100</v>
      </c>
      <c r="T31" s="753" t="s">
        <v>25</v>
      </c>
      <c r="U31" s="754">
        <f t="shared" si="13"/>
        <v>100</v>
      </c>
      <c r="V31" s="753" t="s">
        <v>25</v>
      </c>
      <c r="W31" s="754">
        <f t="shared" si="14"/>
        <v>100</v>
      </c>
      <c r="X31" s="1900"/>
      <c r="Y31" s="3040"/>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21"/>
      <c r="Q32" s="1899">
        <f t="shared" si="11"/>
        <v>111</v>
      </c>
      <c r="R32" s="753" t="s">
        <v>25</v>
      </c>
      <c r="S32" s="754">
        <f t="shared" si="12"/>
        <v>100</v>
      </c>
      <c r="T32" s="753" t="s">
        <v>25</v>
      </c>
      <c r="U32" s="754">
        <f t="shared" si="13"/>
        <v>100</v>
      </c>
      <c r="V32" s="753" t="s">
        <v>25</v>
      </c>
      <c r="W32" s="754">
        <f t="shared" si="14"/>
        <v>100</v>
      </c>
      <c r="X32" s="1900"/>
      <c r="Y32" s="3040"/>
      <c r="Z32" s="1902">
        <f t="shared" si="15"/>
        <v>111</v>
      </c>
      <c r="AA32" s="1903">
        <f t="shared" si="3"/>
        <v>1</v>
      </c>
      <c r="AB32" s="1903">
        <f t="shared" si="4"/>
        <v>1</v>
      </c>
      <c r="AC32" s="1903">
        <f t="shared" si="5"/>
        <v>1</v>
      </c>
    </row>
    <row r="33" spans="1:29" ht="15">
      <c r="A33" s="419" t="s">
        <v>2369</v>
      </c>
      <c r="B33" s="28" t="s">
        <v>2485</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3"/>
      <c r="M33" s="1244"/>
      <c r="N33" s="1244"/>
      <c r="O33" s="1244"/>
      <c r="P33" s="3066" t="s">
        <v>2371</v>
      </c>
      <c r="Q33" s="1899" t="str">
        <f t="shared" si="11"/>
        <v>建筑类型</v>
      </c>
      <c r="R33" s="753" t="s">
        <v>25</v>
      </c>
      <c r="S33" s="754">
        <f t="shared" si="12"/>
        <v>100</v>
      </c>
      <c r="T33" s="753" t="s">
        <v>25</v>
      </c>
      <c r="U33" s="754">
        <f t="shared" si="13"/>
        <v>100</v>
      </c>
      <c r="V33" s="753" t="s">
        <v>25</v>
      </c>
      <c r="W33" s="754">
        <f t="shared" si="14"/>
        <v>100</v>
      </c>
      <c r="X33" s="1900"/>
      <c r="Y33" s="3044"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7"/>
      <c r="Q34" s="755" t="str">
        <f t="shared" si="11"/>
        <v>项目建筑规模</v>
      </c>
      <c r="R34" s="756" t="s">
        <v>25</v>
      </c>
      <c r="S34" s="757" t="e">
        <f t="shared" si="12"/>
        <v>#N/A</v>
      </c>
      <c r="T34" s="756" t="s">
        <v>25</v>
      </c>
      <c r="U34" s="757" t="e">
        <f t="shared" si="13"/>
        <v>#N/A</v>
      </c>
      <c r="V34" s="756" t="s">
        <v>25</v>
      </c>
      <c r="W34" s="757" t="e">
        <f t="shared" si="14"/>
        <v>#N/A</v>
      </c>
      <c r="X34" s="758"/>
      <c r="Y34" s="3044"/>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7"/>
      <c r="Q35" s="1899" t="str">
        <f t="shared" si="11"/>
        <v>建筑结构</v>
      </c>
      <c r="R35" s="753" t="s">
        <v>25</v>
      </c>
      <c r="S35" s="754">
        <f t="shared" si="12"/>
        <v>100</v>
      </c>
      <c r="T35" s="753" t="s">
        <v>25</v>
      </c>
      <c r="U35" s="754">
        <f t="shared" si="13"/>
        <v>100</v>
      </c>
      <c r="V35" s="753" t="s">
        <v>25</v>
      </c>
      <c r="W35" s="754">
        <f t="shared" si="14"/>
        <v>100</v>
      </c>
      <c r="X35" s="1900"/>
      <c r="Y35" s="3044"/>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7"/>
      <c r="Q36" s="1899" t="str">
        <f t="shared" si="11"/>
        <v>公共部分装修</v>
      </c>
      <c r="R36" s="753" t="s">
        <v>25</v>
      </c>
      <c r="S36" s="754">
        <f t="shared" si="12"/>
        <v>100</v>
      </c>
      <c r="T36" s="753" t="s">
        <v>25</v>
      </c>
      <c r="U36" s="754">
        <f t="shared" si="13"/>
        <v>100</v>
      </c>
      <c r="V36" s="753" t="s">
        <v>25</v>
      </c>
      <c r="W36" s="754">
        <f t="shared" si="14"/>
        <v>100</v>
      </c>
      <c r="X36" s="1900"/>
      <c r="Y36" s="3044"/>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7"/>
      <c r="Q37" s="1899" t="str">
        <f t="shared" si="11"/>
        <v>成新度</v>
      </c>
      <c r="R37" s="753" t="s">
        <v>25</v>
      </c>
      <c r="S37" s="754" t="e">
        <f t="shared" si="12"/>
        <v>#N/A</v>
      </c>
      <c r="T37" s="753" t="s">
        <v>25</v>
      </c>
      <c r="U37" s="754" t="e">
        <f t="shared" si="13"/>
        <v>#N/A</v>
      </c>
      <c r="V37" s="753" t="s">
        <v>25</v>
      </c>
      <c r="W37" s="754" t="e">
        <f t="shared" si="14"/>
        <v>#N/A</v>
      </c>
      <c r="X37" s="1900"/>
      <c r="Y37" s="3044"/>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7"/>
      <c r="Q38" s="1887" t="str">
        <f t="shared" si="11"/>
        <v>写字楼等级</v>
      </c>
      <c r="R38" s="749" t="s">
        <v>25</v>
      </c>
      <c r="S38" s="750">
        <f t="shared" si="12"/>
        <v>100</v>
      </c>
      <c r="T38" s="749" t="s">
        <v>25</v>
      </c>
      <c r="U38" s="750">
        <f t="shared" si="13"/>
        <v>100</v>
      </c>
      <c r="V38" s="749" t="s">
        <v>25</v>
      </c>
      <c r="W38" s="750">
        <f t="shared" si="14"/>
        <v>100</v>
      </c>
      <c r="X38" s="751"/>
      <c r="Y38" s="3044"/>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7" t="s">
        <v>2371</v>
      </c>
      <c r="Q39" s="1899" t="str">
        <f t="shared" si="11"/>
        <v>物业管理</v>
      </c>
      <c r="R39" s="753" t="s">
        <v>25</v>
      </c>
      <c r="S39" s="754">
        <f t="shared" si="12"/>
        <v>100</v>
      </c>
      <c r="T39" s="753" t="s">
        <v>25</v>
      </c>
      <c r="U39" s="754">
        <f t="shared" si="13"/>
        <v>100</v>
      </c>
      <c r="V39" s="753" t="s">
        <v>25</v>
      </c>
      <c r="W39" s="754">
        <f t="shared" si="14"/>
        <v>100</v>
      </c>
      <c r="X39" s="1900"/>
      <c r="Y39" s="3044"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7"/>
      <c r="Q40" s="1899" t="str">
        <f t="shared" si="11"/>
        <v>市政基础设施</v>
      </c>
      <c r="R40" s="753" t="s">
        <v>25</v>
      </c>
      <c r="S40" s="754">
        <f t="shared" si="12"/>
        <v>100</v>
      </c>
      <c r="T40" s="753" t="s">
        <v>25</v>
      </c>
      <c r="U40" s="754">
        <f t="shared" si="13"/>
        <v>100</v>
      </c>
      <c r="V40" s="753" t="s">
        <v>25</v>
      </c>
      <c r="W40" s="754">
        <f t="shared" si="14"/>
        <v>100</v>
      </c>
      <c r="X40" s="1900"/>
      <c r="Y40" s="3044"/>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7"/>
      <c r="Q41" s="1899" t="str">
        <f t="shared" si="11"/>
        <v>层高</v>
      </c>
      <c r="R41" s="753" t="s">
        <v>25</v>
      </c>
      <c r="S41" s="754">
        <f t="shared" si="12"/>
        <v>100</v>
      </c>
      <c r="T41" s="753" t="s">
        <v>25</v>
      </c>
      <c r="U41" s="754">
        <f t="shared" si="13"/>
        <v>100</v>
      </c>
      <c r="V41" s="753" t="s">
        <v>25</v>
      </c>
      <c r="W41" s="754">
        <f t="shared" si="14"/>
        <v>100</v>
      </c>
      <c r="X41" s="1900"/>
      <c r="Y41" s="3044"/>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7"/>
      <c r="Q42" s="755" t="str">
        <f t="shared" si="11"/>
        <v>单套建筑面积</v>
      </c>
      <c r="R42" s="756" t="s">
        <v>25</v>
      </c>
      <c r="S42" s="757">
        <f t="shared" si="12"/>
        <v>100</v>
      </c>
      <c r="T42" s="756" t="s">
        <v>25</v>
      </c>
      <c r="U42" s="757">
        <f t="shared" si="13"/>
        <v>100</v>
      </c>
      <c r="V42" s="756" t="s">
        <v>25</v>
      </c>
      <c r="W42" s="757">
        <f t="shared" si="14"/>
        <v>100</v>
      </c>
      <c r="X42" s="758"/>
      <c r="Y42" s="3044"/>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7"/>
      <c r="Q43" s="1899" t="str">
        <f t="shared" si="11"/>
        <v>内部装修</v>
      </c>
      <c r="R43" s="753" t="s">
        <v>25</v>
      </c>
      <c r="S43" s="754">
        <f t="shared" si="12"/>
        <v>100</v>
      </c>
      <c r="T43" s="753" t="s">
        <v>25</v>
      </c>
      <c r="U43" s="754">
        <f t="shared" si="13"/>
        <v>100</v>
      </c>
      <c r="V43" s="753" t="s">
        <v>25</v>
      </c>
      <c r="W43" s="754">
        <f t="shared" si="14"/>
        <v>100</v>
      </c>
      <c r="X43" s="1900"/>
      <c r="Y43" s="3044"/>
      <c r="Z43" s="1902" t="str">
        <f t="shared" si="15"/>
        <v>内部装修</v>
      </c>
      <c r="AA43" s="1903">
        <f t="shared" si="3"/>
        <v>1</v>
      </c>
      <c r="AB43" s="1903">
        <f t="shared" si="4"/>
        <v>1</v>
      </c>
      <c r="AC43" s="1903">
        <f t="shared" si="5"/>
        <v>1</v>
      </c>
    </row>
    <row r="44" spans="1:29" ht="15">
      <c r="A44" s="453"/>
      <c r="B44" s="402" t="s">
        <v>2382</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3"/>
      <c r="M44" s="1244"/>
      <c r="N44" s="1244"/>
      <c r="O44" s="1244"/>
      <c r="P44" s="3067"/>
      <c r="Q44" s="1899" t="str">
        <f t="shared" si="11"/>
        <v>内部装修维护情况</v>
      </c>
      <c r="R44" s="753" t="s">
        <v>25</v>
      </c>
      <c r="S44" s="754">
        <f t="shared" si="12"/>
        <v>100</v>
      </c>
      <c r="T44" s="753" t="s">
        <v>25</v>
      </c>
      <c r="U44" s="754">
        <f t="shared" si="13"/>
        <v>100</v>
      </c>
      <c r="V44" s="753" t="s">
        <v>25</v>
      </c>
      <c r="W44" s="754">
        <f t="shared" si="14"/>
        <v>100</v>
      </c>
      <c r="X44" s="1900"/>
      <c r="Y44" s="3044"/>
      <c r="Z44" s="1902" t="str">
        <f t="shared" si="15"/>
        <v>内部装修维护情况</v>
      </c>
      <c r="AA44" s="1903">
        <f t="shared" si="3"/>
        <v>1</v>
      </c>
      <c r="AB44" s="1903">
        <f t="shared" si="4"/>
        <v>1</v>
      </c>
      <c r="AC44" s="1903">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7"/>
      <c r="Q45" s="1887">
        <f t="shared" si="11"/>
        <v>111</v>
      </c>
      <c r="R45" s="749" t="s">
        <v>25</v>
      </c>
      <c r="S45" s="750">
        <f t="shared" si="12"/>
        <v>100</v>
      </c>
      <c r="T45" s="749" t="s">
        <v>25</v>
      </c>
      <c r="U45" s="750">
        <f t="shared" si="13"/>
        <v>100</v>
      </c>
      <c r="V45" s="749" t="s">
        <v>25</v>
      </c>
      <c r="W45" s="750">
        <f t="shared" si="14"/>
        <v>100</v>
      </c>
      <c r="X45" s="751"/>
      <c r="Y45" s="3044"/>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7"/>
      <c r="Q46" s="1899">
        <f t="shared" si="11"/>
        <v>111</v>
      </c>
      <c r="R46" s="753" t="s">
        <v>25</v>
      </c>
      <c r="S46" s="754">
        <f t="shared" si="12"/>
        <v>100</v>
      </c>
      <c r="T46" s="753" t="s">
        <v>25</v>
      </c>
      <c r="U46" s="754">
        <f t="shared" si="13"/>
        <v>100</v>
      </c>
      <c r="V46" s="753" t="s">
        <v>25</v>
      </c>
      <c r="W46" s="754">
        <f t="shared" si="14"/>
        <v>100</v>
      </c>
      <c r="X46" s="1900"/>
      <c r="Y46" s="3044"/>
      <c r="Z46" s="1902">
        <f t="shared" si="15"/>
        <v>111</v>
      </c>
      <c r="AA46" s="1903">
        <f t="shared" si="3"/>
        <v>1</v>
      </c>
      <c r="AB46" s="1903">
        <f t="shared" si="4"/>
        <v>1</v>
      </c>
      <c r="AC46" s="1903">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8"/>
      <c r="Q47" s="1899">
        <f t="shared" si="11"/>
        <v>111</v>
      </c>
      <c r="R47" s="753" t="s">
        <v>25</v>
      </c>
      <c r="S47" s="754">
        <f t="shared" si="12"/>
        <v>100</v>
      </c>
      <c r="T47" s="753" t="s">
        <v>25</v>
      </c>
      <c r="U47" s="754">
        <f t="shared" si="13"/>
        <v>100</v>
      </c>
      <c r="V47" s="753" t="s">
        <v>25</v>
      </c>
      <c r="W47" s="754">
        <f t="shared" si="14"/>
        <v>100</v>
      </c>
      <c r="X47" s="1900"/>
      <c r="Y47" s="3045"/>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57" t="str">
        <f>A48</f>
        <v>成交单价（元/平方米）</v>
      </c>
      <c r="Q48" s="3050"/>
      <c r="R48" s="3051">
        <f>E48</f>
        <v>0</v>
      </c>
      <c r="S48" s="3051"/>
      <c r="T48" s="3051">
        <f>G48</f>
        <v>0</v>
      </c>
      <c r="U48" s="3051"/>
      <c r="V48" s="3051">
        <f>I48</f>
        <v>0</v>
      </c>
      <c r="W48" s="3051"/>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57" t="str">
        <f>A49</f>
        <v>比较价值（元/平方米）</v>
      </c>
      <c r="Q49" s="3050"/>
      <c r="R49" s="3051" t="e">
        <f>IF(E1="售价",ROUND(PRODUCT(R48,AA7:AA47),0),ROUND(PRODUCT(R48,AA7:AA47),1))</f>
        <v>#DIV/0!</v>
      </c>
      <c r="S49" s="3051"/>
      <c r="T49" s="3051" t="e">
        <f>IF(E1="售价",ROUND(PRODUCT(T48,AB7:AB47),0),ROUND(PRODUCT(T48,AB7:AB47),1))</f>
        <v>#DIV/0!</v>
      </c>
      <c r="U49" s="3051"/>
      <c r="V49" s="3051" t="e">
        <f>IF(E1="售价",ROUND(PRODUCT(V48,AC7:AC47),0),ROUND(PRODUCT(V48,AC7:AC47),1))</f>
        <v>#DIV/0!</v>
      </c>
      <c r="W49" s="3051"/>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69" t="str">
        <f>A50</f>
        <v>估价对象XX用房的比较价值（楼面单价，元/平方米）</v>
      </c>
      <c r="Q50" s="3057"/>
      <c r="R50" s="3058" t="e">
        <f>IF(E1="售价",ROUND(AVERAGE(R49:V49),0),ROUND(AVERAGE(R49:V49),1))</f>
        <v>#DIV/0!</v>
      </c>
      <c r="S50" s="3058"/>
      <c r="T50" s="3058"/>
      <c r="U50" s="3058"/>
      <c r="V50" s="3058"/>
      <c r="W50" s="3058"/>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2018-5</v>
      </c>
      <c r="D59" s="1679">
        <f>EDATE(C59,-1)</f>
        <v>43191</v>
      </c>
      <c r="E59" s="1679">
        <f t="shared" ref="E59:O59" si="16">EDATE(D59,-1)</f>
        <v>43160</v>
      </c>
      <c r="F59" s="1679">
        <f t="shared" si="16"/>
        <v>43132</v>
      </c>
      <c r="G59" s="1679">
        <f t="shared" si="16"/>
        <v>43101</v>
      </c>
      <c r="H59" s="1679">
        <f t="shared" si="16"/>
        <v>43070</v>
      </c>
      <c r="I59" s="1679">
        <f t="shared" si="16"/>
        <v>43040</v>
      </c>
      <c r="J59" s="1679">
        <f t="shared" si="16"/>
        <v>43009</v>
      </c>
      <c r="K59" s="1679">
        <f t="shared" si="16"/>
        <v>42979</v>
      </c>
      <c r="L59" s="1679">
        <f t="shared" si="16"/>
        <v>42948</v>
      </c>
      <c r="M59" s="1679">
        <f t="shared" si="16"/>
        <v>42917</v>
      </c>
      <c r="N59" s="1679">
        <f t="shared" si="16"/>
        <v>42887</v>
      </c>
      <c r="O59" s="1679">
        <f t="shared" si="16"/>
        <v>42856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1"/>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4"/>
      <c r="E2" s="2477"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60.74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14" t="s">
        <v>2341</v>
      </c>
      <c r="D4" s="3015"/>
      <c r="E4" s="3016" t="s">
        <v>2342</v>
      </c>
      <c r="F4" s="3017"/>
      <c r="G4" s="3014" t="s">
        <v>2343</v>
      </c>
      <c r="H4" s="3015"/>
      <c r="I4" s="3014" t="s">
        <v>2344</v>
      </c>
      <c r="J4" s="3015"/>
      <c r="K4" s="594" t="s">
        <v>2345</v>
      </c>
      <c r="L4" s="1243"/>
      <c r="M4" s="1244"/>
      <c r="N4" s="1244"/>
      <c r="O4" s="1244"/>
      <c r="P4" s="3018" t="s">
        <v>2346</v>
      </c>
      <c r="Q4" s="3019"/>
      <c r="R4" s="3024" t="s">
        <v>2342</v>
      </c>
      <c r="S4" s="3025"/>
      <c r="T4" s="3024" t="s">
        <v>2343</v>
      </c>
      <c r="U4" s="3025"/>
      <c r="V4" s="3030" t="s">
        <v>2344</v>
      </c>
      <c r="W4" s="3030"/>
      <c r="X4" s="1900"/>
      <c r="Y4" s="3024" t="s">
        <v>2346</v>
      </c>
      <c r="Z4" s="3025"/>
      <c r="AA4" s="3011" t="s">
        <v>2342</v>
      </c>
      <c r="AB4" s="3012" t="s">
        <v>2343</v>
      </c>
      <c r="AC4" s="3011" t="s">
        <v>2344</v>
      </c>
    </row>
    <row r="5" spans="1:29" ht="15">
      <c r="A5" s="383"/>
      <c r="B5" s="384"/>
      <c r="C5" s="3059" t="s">
        <v>2347</v>
      </c>
      <c r="D5" s="3060"/>
      <c r="E5" s="3061" t="s">
        <v>2348</v>
      </c>
      <c r="F5" s="3062"/>
      <c r="G5" s="3059" t="s">
        <v>2349</v>
      </c>
      <c r="H5" s="3060"/>
      <c r="I5" s="3059" t="s">
        <v>2350</v>
      </c>
      <c r="J5" s="3060"/>
      <c r="K5" s="594"/>
      <c r="L5" s="1243"/>
      <c r="M5" s="1244"/>
      <c r="N5" s="1244"/>
      <c r="O5" s="1244"/>
      <c r="P5" s="3020"/>
      <c r="Q5" s="3021"/>
      <c r="R5" s="3026"/>
      <c r="S5" s="3027"/>
      <c r="T5" s="3026"/>
      <c r="U5" s="3027"/>
      <c r="V5" s="3030"/>
      <c r="W5" s="3030"/>
      <c r="X5" s="1900"/>
      <c r="Y5" s="3026"/>
      <c r="Z5" s="3027"/>
      <c r="AA5" s="3012"/>
      <c r="AB5" s="3012"/>
      <c r="AC5" s="3012"/>
    </row>
    <row r="6" spans="1:29" ht="15.75" thickBot="1">
      <c r="A6" s="385"/>
      <c r="B6" s="386"/>
      <c r="C6" s="3035" t="s">
        <v>2351</v>
      </c>
      <c r="D6" s="3036"/>
      <c r="E6" s="3037" t="s">
        <v>2351</v>
      </c>
      <c r="F6" s="3038"/>
      <c r="G6" s="3035" t="s">
        <v>2351</v>
      </c>
      <c r="H6" s="3036"/>
      <c r="I6" s="3035" t="s">
        <v>2351</v>
      </c>
      <c r="J6" s="3036"/>
      <c r="K6" s="594" t="s">
        <v>2352</v>
      </c>
      <c r="L6" s="1243"/>
      <c r="M6" s="1244"/>
      <c r="N6" s="1244"/>
      <c r="O6" s="1244"/>
      <c r="P6" s="3022"/>
      <c r="Q6" s="3023"/>
      <c r="R6" s="3026"/>
      <c r="S6" s="3027"/>
      <c r="T6" s="3028"/>
      <c r="U6" s="3029"/>
      <c r="V6" s="3030"/>
      <c r="W6" s="3030"/>
      <c r="X6" s="1900"/>
      <c r="Y6" s="3028"/>
      <c r="Z6" s="3029"/>
      <c r="AA6" s="3013"/>
      <c r="AB6" s="3013"/>
      <c r="AC6" s="3013"/>
    </row>
    <row r="7" spans="1:29" s="35" customFormat="1" ht="15.75" thickBot="1">
      <c r="A7" s="387" t="s">
        <v>2353</v>
      </c>
      <c r="B7" s="388"/>
      <c r="C7" s="389">
        <f>'数据-取费表'!B2</f>
        <v>43242</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6" t="s">
        <v>2354</v>
      </c>
      <c r="Q7" s="3048"/>
      <c r="R7" s="749" t="s">
        <v>25</v>
      </c>
      <c r="S7" s="750">
        <f t="shared" ref="S7:S15" si="0">F7</f>
        <v>0</v>
      </c>
      <c r="T7" s="749" t="s">
        <v>25</v>
      </c>
      <c r="U7" s="750">
        <f t="shared" ref="U7:U15" si="1">H7</f>
        <v>0</v>
      </c>
      <c r="V7" s="749" t="s">
        <v>25</v>
      </c>
      <c r="W7" s="750">
        <f t="shared" ref="W7:W15" si="2">J7</f>
        <v>0</v>
      </c>
      <c r="X7" s="751"/>
      <c r="Y7" s="3046" t="s">
        <v>2354</v>
      </c>
      <c r="Z7" s="3047"/>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6" t="s">
        <v>2357</v>
      </c>
      <c r="Q8" s="3047"/>
      <c r="R8" s="749" t="s">
        <v>25</v>
      </c>
      <c r="S8" s="750">
        <f t="shared" si="0"/>
        <v>100</v>
      </c>
      <c r="T8" s="749" t="s">
        <v>25</v>
      </c>
      <c r="U8" s="750">
        <f t="shared" si="1"/>
        <v>100</v>
      </c>
      <c r="V8" s="749" t="s">
        <v>25</v>
      </c>
      <c r="W8" s="750">
        <f t="shared" si="2"/>
        <v>100</v>
      </c>
      <c r="X8" s="751"/>
      <c r="Y8" s="3046" t="s">
        <v>2357</v>
      </c>
      <c r="Z8" s="3047"/>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50" t="s">
        <v>2360</v>
      </c>
      <c r="Q9" s="1887" t="str">
        <f t="shared" ref="Q9:Q15" si="6">B9</f>
        <v>用途</v>
      </c>
      <c r="R9" s="749" t="s">
        <v>25</v>
      </c>
      <c r="S9" s="750">
        <f t="shared" si="0"/>
        <v>100</v>
      </c>
      <c r="T9" s="749" t="s">
        <v>25</v>
      </c>
      <c r="U9" s="750">
        <f t="shared" si="1"/>
        <v>100</v>
      </c>
      <c r="V9" s="749" t="s">
        <v>25</v>
      </c>
      <c r="W9" s="750">
        <f t="shared" si="2"/>
        <v>100</v>
      </c>
      <c r="X9" s="751"/>
      <c r="Y9" s="2862"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50"/>
      <c r="Q10" s="1887" t="str">
        <f t="shared" si="6"/>
        <v>土地使用年限（年）</v>
      </c>
      <c r="R10" s="749" t="s">
        <v>25</v>
      </c>
      <c r="S10" s="750">
        <f t="shared" si="0"/>
        <v>100</v>
      </c>
      <c r="T10" s="749" t="s">
        <v>25</v>
      </c>
      <c r="U10" s="750">
        <f t="shared" si="1"/>
        <v>100</v>
      </c>
      <c r="V10" s="749" t="s">
        <v>25</v>
      </c>
      <c r="W10" s="750">
        <f t="shared" si="2"/>
        <v>100</v>
      </c>
      <c r="X10" s="751"/>
      <c r="Y10" s="2862"/>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50"/>
      <c r="Q11" s="1887" t="str">
        <f t="shared" si="6"/>
        <v>容积率</v>
      </c>
      <c r="R11" s="749" t="s">
        <v>25</v>
      </c>
      <c r="S11" s="750" t="e">
        <f t="shared" si="0"/>
        <v>#N/A</v>
      </c>
      <c r="T11" s="749" t="s">
        <v>25</v>
      </c>
      <c r="U11" s="750" t="e">
        <f t="shared" si="1"/>
        <v>#N/A</v>
      </c>
      <c r="V11" s="749" t="s">
        <v>25</v>
      </c>
      <c r="W11" s="750" t="e">
        <f t="shared" si="2"/>
        <v>#N/A</v>
      </c>
      <c r="X11" s="751"/>
      <c r="Y11" s="2862"/>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50"/>
      <c r="Q12" s="1887">
        <f t="shared" si="6"/>
        <v>111</v>
      </c>
      <c r="R12" s="749" t="s">
        <v>25</v>
      </c>
      <c r="S12" s="750">
        <f t="shared" si="0"/>
        <v>100</v>
      </c>
      <c r="T12" s="749" t="s">
        <v>25</v>
      </c>
      <c r="U12" s="750">
        <f t="shared" si="1"/>
        <v>100</v>
      </c>
      <c r="V12" s="749" t="s">
        <v>25</v>
      </c>
      <c r="W12" s="750">
        <f t="shared" si="2"/>
        <v>100</v>
      </c>
      <c r="X12" s="751"/>
      <c r="Y12" s="2862"/>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50"/>
      <c r="Q13" s="1887">
        <f t="shared" si="6"/>
        <v>111</v>
      </c>
      <c r="R13" s="749" t="s">
        <v>25</v>
      </c>
      <c r="S13" s="750">
        <f t="shared" si="0"/>
        <v>100</v>
      </c>
      <c r="T13" s="749" t="s">
        <v>25</v>
      </c>
      <c r="U13" s="750">
        <f t="shared" si="1"/>
        <v>100</v>
      </c>
      <c r="V13" s="749" t="s">
        <v>25</v>
      </c>
      <c r="W13" s="750">
        <f t="shared" si="2"/>
        <v>100</v>
      </c>
      <c r="X13" s="751"/>
      <c r="Y13" s="2862"/>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50"/>
      <c r="Q14" s="1887">
        <f t="shared" si="6"/>
        <v>111</v>
      </c>
      <c r="R14" s="749" t="s">
        <v>25</v>
      </c>
      <c r="S14" s="750">
        <f t="shared" si="0"/>
        <v>100</v>
      </c>
      <c r="T14" s="749" t="s">
        <v>25</v>
      </c>
      <c r="U14" s="750">
        <f t="shared" si="1"/>
        <v>100</v>
      </c>
      <c r="V14" s="749" t="s">
        <v>25</v>
      </c>
      <c r="W14" s="750">
        <f t="shared" si="2"/>
        <v>100</v>
      </c>
      <c r="X14" s="751"/>
      <c r="Y14" s="2862"/>
      <c r="Z14" s="23">
        <f t="shared" si="7"/>
        <v>111</v>
      </c>
      <c r="AA14" s="752">
        <f t="shared" si="3"/>
        <v>1</v>
      </c>
      <c r="AB14" s="752">
        <f t="shared" si="4"/>
        <v>1</v>
      </c>
      <c r="AC14" s="752">
        <f t="shared" si="5"/>
        <v>1</v>
      </c>
    </row>
    <row r="15" spans="1:29" ht="57">
      <c r="A15" s="419" t="s">
        <v>2364</v>
      </c>
      <c r="B15" s="26" t="s">
        <v>2496</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9" t="s">
        <v>2365</v>
      </c>
      <c r="Q15" s="1899" t="str">
        <f t="shared" si="6"/>
        <v>产业集聚程度</v>
      </c>
      <c r="R15" s="753" t="s">
        <v>25</v>
      </c>
      <c r="S15" s="754">
        <f t="shared" si="0"/>
        <v>100</v>
      </c>
      <c r="T15" s="753" t="s">
        <v>25</v>
      </c>
      <c r="U15" s="754">
        <f t="shared" si="1"/>
        <v>100</v>
      </c>
      <c r="V15" s="753" t="s">
        <v>25</v>
      </c>
      <c r="W15" s="754">
        <f t="shared" si="2"/>
        <v>100</v>
      </c>
      <c r="X15" s="1900"/>
      <c r="Y15" s="3039"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40"/>
      <c r="Q16" s="1899"/>
      <c r="R16" s="753"/>
      <c r="S16" s="754"/>
      <c r="T16" s="753"/>
      <c r="U16" s="754"/>
      <c r="V16" s="753"/>
      <c r="W16" s="754"/>
      <c r="X16" s="1900"/>
      <c r="Y16" s="3040"/>
      <c r="Z16" s="1902"/>
      <c r="AA16" s="1903">
        <v>1</v>
      </c>
      <c r="AB16" s="1903">
        <v>1</v>
      </c>
      <c r="AC16" s="1903">
        <v>1</v>
      </c>
    </row>
    <row r="17" spans="1:29" ht="85.5">
      <c r="A17" s="408"/>
      <c r="B17" s="431" t="s">
        <v>1750</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40"/>
      <c r="Q17" s="1899" t="str">
        <f>B17</f>
        <v>交通便捷度</v>
      </c>
      <c r="R17" s="753" t="s">
        <v>25</v>
      </c>
      <c r="S17" s="754">
        <f>F17</f>
        <v>100</v>
      </c>
      <c r="T17" s="753" t="s">
        <v>25</v>
      </c>
      <c r="U17" s="754">
        <f>H17</f>
        <v>100</v>
      </c>
      <c r="V17" s="753" t="s">
        <v>25</v>
      </c>
      <c r="W17" s="754">
        <f>J17</f>
        <v>100</v>
      </c>
      <c r="X17" s="1900"/>
      <c r="Y17" s="3040"/>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52"/>
      <c r="P18" s="3040"/>
      <c r="Q18" s="1899"/>
      <c r="R18" s="753"/>
      <c r="S18" s="754"/>
      <c r="T18" s="753"/>
      <c r="U18" s="754"/>
      <c r="V18" s="753"/>
      <c r="W18" s="754"/>
      <c r="X18" s="1900"/>
      <c r="Y18" s="3040"/>
      <c r="Z18" s="1902"/>
      <c r="AA18" s="1903">
        <v>1</v>
      </c>
      <c r="AB18" s="1903">
        <v>1</v>
      </c>
      <c r="AC18" s="1903">
        <v>1</v>
      </c>
    </row>
    <row r="19" spans="1:29" ht="42.75">
      <c r="A19" s="408"/>
      <c r="B19" s="615" t="s">
        <v>2480</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40"/>
      <c r="Q19" s="1899" t="str">
        <f>B19</f>
        <v>公共配套设施</v>
      </c>
      <c r="R19" s="753" t="s">
        <v>25</v>
      </c>
      <c r="S19" s="754">
        <f>F19</f>
        <v>100</v>
      </c>
      <c r="T19" s="753" t="s">
        <v>25</v>
      </c>
      <c r="U19" s="754">
        <f>H19</f>
        <v>100</v>
      </c>
      <c r="V19" s="753" t="s">
        <v>25</v>
      </c>
      <c r="W19" s="754">
        <f>J19</f>
        <v>100</v>
      </c>
      <c r="X19" s="1900"/>
      <c r="Y19" s="3040"/>
      <c r="Z19" s="1902" t="str">
        <f>Q19</f>
        <v>公共配套设施</v>
      </c>
      <c r="AA19" s="1903">
        <f t="shared" si="3"/>
        <v>1</v>
      </c>
      <c r="AB19" s="1903">
        <f t="shared" si="4"/>
        <v>1</v>
      </c>
      <c r="AC19" s="1903">
        <f t="shared" si="5"/>
        <v>1</v>
      </c>
    </row>
    <row r="20" spans="1:29" ht="15">
      <c r="A20" s="408"/>
      <c r="B20" s="616"/>
      <c r="C20" s="426"/>
      <c r="D20" s="427"/>
      <c r="E20" s="428"/>
      <c r="F20" s="429"/>
      <c r="G20" s="2404"/>
      <c r="H20" s="427"/>
      <c r="I20" s="428"/>
      <c r="J20" s="427"/>
      <c r="K20" s="599"/>
      <c r="L20" s="1253"/>
      <c r="M20" s="1244"/>
      <c r="N20" s="1244"/>
      <c r="O20" s="1252"/>
      <c r="P20" s="3040"/>
      <c r="Q20" s="1899"/>
      <c r="R20" s="753"/>
      <c r="S20" s="754"/>
      <c r="T20" s="753"/>
      <c r="U20" s="754"/>
      <c r="V20" s="753"/>
      <c r="W20" s="754"/>
      <c r="X20" s="1900"/>
      <c r="Y20" s="3040"/>
      <c r="Z20" s="1902"/>
      <c r="AA20" s="1903">
        <v>1</v>
      </c>
      <c r="AB20" s="1903">
        <v>1</v>
      </c>
      <c r="AC20" s="1903">
        <v>1</v>
      </c>
    </row>
    <row r="21" spans="1:29" ht="28.5">
      <c r="A21" s="408"/>
      <c r="B21" s="617" t="s">
        <v>2481</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40"/>
      <c r="Q21" s="1899" t="str">
        <f>B21</f>
        <v>基础设施水平</v>
      </c>
      <c r="R21" s="753" t="s">
        <v>25</v>
      </c>
      <c r="S21" s="754">
        <f>F21</f>
        <v>100</v>
      </c>
      <c r="T21" s="753" t="s">
        <v>25</v>
      </c>
      <c r="U21" s="754">
        <f>H21</f>
        <v>100</v>
      </c>
      <c r="V21" s="753" t="s">
        <v>25</v>
      </c>
      <c r="W21" s="754">
        <f>J21</f>
        <v>100</v>
      </c>
      <c r="X21" s="1900"/>
      <c r="Y21" s="3040"/>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52"/>
      <c r="P22" s="3040"/>
      <c r="Q22" s="1899"/>
      <c r="R22" s="753"/>
      <c r="S22" s="754"/>
      <c r="T22" s="753"/>
      <c r="U22" s="754"/>
      <c r="V22" s="753"/>
      <c r="W22" s="754"/>
      <c r="X22" s="1900"/>
      <c r="Y22" s="3040"/>
      <c r="Z22" s="1902"/>
      <c r="AA22" s="1903">
        <v>1</v>
      </c>
      <c r="AB22" s="1903">
        <v>1</v>
      </c>
      <c r="AC22" s="1903">
        <v>1</v>
      </c>
    </row>
    <row r="23" spans="1:29" ht="71.25">
      <c r="A23" s="408"/>
      <c r="B23" s="431" t="s">
        <v>2482</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40"/>
      <c r="Q23" s="1899" t="str">
        <f>B23</f>
        <v>环境质量</v>
      </c>
      <c r="R23" s="753" t="s">
        <v>25</v>
      </c>
      <c r="S23" s="754">
        <f>F23</f>
        <v>100</v>
      </c>
      <c r="T23" s="753" t="s">
        <v>25</v>
      </c>
      <c r="U23" s="754">
        <f>H23</f>
        <v>100</v>
      </c>
      <c r="V23" s="753" t="s">
        <v>25</v>
      </c>
      <c r="W23" s="754">
        <f>J23</f>
        <v>100</v>
      </c>
      <c r="X23" s="1900"/>
      <c r="Y23" s="3040"/>
      <c r="Z23" s="1902" t="str">
        <f>Q23</f>
        <v>环境质量</v>
      </c>
      <c r="AA23" s="1903">
        <f t="shared" si="3"/>
        <v>1</v>
      </c>
      <c r="AB23" s="1903">
        <f t="shared" si="4"/>
        <v>1</v>
      </c>
      <c r="AC23" s="1903">
        <f t="shared" si="5"/>
        <v>1</v>
      </c>
    </row>
    <row r="24" spans="1:29" ht="15">
      <c r="A24" s="408"/>
      <c r="B24" s="2408"/>
      <c r="C24" s="426"/>
      <c r="D24" s="427"/>
      <c r="E24" s="428"/>
      <c r="F24" s="429"/>
      <c r="G24" s="2404"/>
      <c r="H24" s="427"/>
      <c r="I24" s="428"/>
      <c r="J24" s="427"/>
      <c r="K24" s="599"/>
      <c r="L24" s="1253"/>
      <c r="M24" s="1244"/>
      <c r="N24" s="1244"/>
      <c r="O24" s="1252"/>
      <c r="P24" s="3040"/>
      <c r="Q24" s="1899"/>
      <c r="R24" s="753"/>
      <c r="S24" s="754"/>
      <c r="T24" s="753"/>
      <c r="U24" s="754"/>
      <c r="V24" s="753"/>
      <c r="W24" s="754"/>
      <c r="X24" s="1900"/>
      <c r="Y24" s="3040"/>
      <c r="Z24" s="1902"/>
      <c r="AA24" s="1903">
        <v>1</v>
      </c>
      <c r="AB24" s="1903">
        <v>1</v>
      </c>
      <c r="AC24" s="1903">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40"/>
      <c r="Q25" s="1899">
        <f>B25</f>
        <v>111</v>
      </c>
      <c r="R25" s="753" t="s">
        <v>25</v>
      </c>
      <c r="S25" s="754">
        <f>F25</f>
        <v>100</v>
      </c>
      <c r="T25" s="753" t="s">
        <v>25</v>
      </c>
      <c r="U25" s="754">
        <f>H25</f>
        <v>100</v>
      </c>
      <c r="V25" s="753" t="s">
        <v>25</v>
      </c>
      <c r="W25" s="754">
        <f>J25</f>
        <v>100</v>
      </c>
      <c r="X25" s="1900"/>
      <c r="Y25" s="3040"/>
      <c r="Z25" s="1902">
        <f>Q25</f>
        <v>111</v>
      </c>
      <c r="AA25" s="1903">
        <f t="shared" si="3"/>
        <v>1</v>
      </c>
      <c r="AB25" s="1903">
        <f t="shared" si="4"/>
        <v>1</v>
      </c>
      <c r="AC25" s="1903">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40"/>
      <c r="Q26" s="1899">
        <f t="shared" ref="Q26:Q40" si="11">B26</f>
        <v>111</v>
      </c>
      <c r="R26" s="753" t="s">
        <v>25</v>
      </c>
      <c r="S26" s="754">
        <f>F26</f>
        <v>100</v>
      </c>
      <c r="T26" s="753" t="s">
        <v>25</v>
      </c>
      <c r="U26" s="754">
        <f>H26</f>
        <v>100</v>
      </c>
      <c r="V26" s="753" t="s">
        <v>25</v>
      </c>
      <c r="W26" s="754">
        <f>J26</f>
        <v>100</v>
      </c>
      <c r="X26" s="1900"/>
      <c r="Y26" s="3040"/>
      <c r="Z26" s="1902">
        <f>Q26</f>
        <v>111</v>
      </c>
      <c r="AA26" s="1903">
        <f t="shared" si="3"/>
        <v>1</v>
      </c>
      <c r="AB26" s="1903">
        <f t="shared" si="4"/>
        <v>1</v>
      </c>
      <c r="AC26" s="1903">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40"/>
      <c r="Q27" s="1887">
        <f t="shared" si="11"/>
        <v>111</v>
      </c>
      <c r="R27" s="749" t="s">
        <v>25</v>
      </c>
      <c r="S27" s="750">
        <f>F27</f>
        <v>100</v>
      </c>
      <c r="T27" s="749" t="s">
        <v>25</v>
      </c>
      <c r="U27" s="750">
        <f>H27</f>
        <v>100</v>
      </c>
      <c r="V27" s="749" t="s">
        <v>25</v>
      </c>
      <c r="W27" s="750">
        <f>J27</f>
        <v>100</v>
      </c>
      <c r="X27" s="751"/>
      <c r="Y27" s="3040"/>
      <c r="Z27" s="23">
        <f>Q27</f>
        <v>111</v>
      </c>
      <c r="AA27" s="1903">
        <f>D27/F27</f>
        <v>1</v>
      </c>
      <c r="AB27" s="1903">
        <f>D27/H27</f>
        <v>1</v>
      </c>
      <c r="AC27" s="1903">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40"/>
      <c r="Q28" s="1899">
        <f t="shared" si="11"/>
        <v>111</v>
      </c>
      <c r="R28" s="753" t="s">
        <v>25</v>
      </c>
      <c r="S28" s="754">
        <f t="shared" ref="S28:S40" si="12">F28</f>
        <v>100</v>
      </c>
      <c r="T28" s="753" t="s">
        <v>25</v>
      </c>
      <c r="U28" s="754">
        <f t="shared" ref="U28:U40" si="13">H28</f>
        <v>100</v>
      </c>
      <c r="V28" s="753" t="s">
        <v>25</v>
      </c>
      <c r="W28" s="754">
        <f t="shared" ref="W28:W40" si="14">J28</f>
        <v>100</v>
      </c>
      <c r="X28" s="1900"/>
      <c r="Y28" s="3040"/>
      <c r="Z28" s="1902">
        <f t="shared" ref="Z28:Z40" si="15">Q28</f>
        <v>111</v>
      </c>
      <c r="AA28" s="1903">
        <f t="shared" si="3"/>
        <v>1</v>
      </c>
      <c r="AB28" s="1903">
        <f t="shared" si="4"/>
        <v>1</v>
      </c>
      <c r="AC28" s="1903">
        <f t="shared" si="5"/>
        <v>1</v>
      </c>
    </row>
    <row r="29" spans="1:29" ht="15">
      <c r="A29" s="447" t="s">
        <v>2369</v>
      </c>
      <c r="B29" s="28" t="s">
        <v>2485</v>
      </c>
      <c r="C29" s="2473" t="s">
        <v>2497</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70" t="s">
        <v>2371</v>
      </c>
      <c r="Q29" s="1899" t="str">
        <f t="shared" si="11"/>
        <v>建筑类型</v>
      </c>
      <c r="R29" s="753" t="s">
        <v>25</v>
      </c>
      <c r="S29" s="754">
        <f t="shared" si="12"/>
        <v>100</v>
      </c>
      <c r="T29" s="753" t="s">
        <v>25</v>
      </c>
      <c r="U29" s="754">
        <f t="shared" si="13"/>
        <v>100</v>
      </c>
      <c r="V29" s="753" t="s">
        <v>25</v>
      </c>
      <c r="W29" s="754">
        <f t="shared" si="14"/>
        <v>100</v>
      </c>
      <c r="X29" s="1900"/>
      <c r="Y29" s="3044"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4"/>
      <c r="Q30" s="755" t="str">
        <f t="shared" si="11"/>
        <v>项目建筑规模</v>
      </c>
      <c r="R30" s="756" t="s">
        <v>25</v>
      </c>
      <c r="S30" s="757" t="e">
        <f t="shared" si="12"/>
        <v>#N/A</v>
      </c>
      <c r="T30" s="756" t="s">
        <v>25</v>
      </c>
      <c r="U30" s="757" t="e">
        <f t="shared" si="13"/>
        <v>#N/A</v>
      </c>
      <c r="V30" s="756" t="s">
        <v>25</v>
      </c>
      <c r="W30" s="757" t="e">
        <f t="shared" si="14"/>
        <v>#N/A</v>
      </c>
      <c r="X30" s="758"/>
      <c r="Y30" s="3044"/>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4"/>
      <c r="Q31" s="1899" t="str">
        <f t="shared" si="11"/>
        <v>建筑结构</v>
      </c>
      <c r="R31" s="753" t="s">
        <v>25</v>
      </c>
      <c r="S31" s="754">
        <f t="shared" si="12"/>
        <v>100</v>
      </c>
      <c r="T31" s="753" t="s">
        <v>25</v>
      </c>
      <c r="U31" s="754">
        <f t="shared" si="13"/>
        <v>100</v>
      </c>
      <c r="V31" s="753" t="s">
        <v>25</v>
      </c>
      <c r="W31" s="754">
        <f t="shared" si="14"/>
        <v>100</v>
      </c>
      <c r="X31" s="1900"/>
      <c r="Y31" s="3044"/>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4"/>
      <c r="Q32" s="1899" t="str">
        <f t="shared" si="11"/>
        <v>公共部分装修</v>
      </c>
      <c r="R32" s="753" t="s">
        <v>25</v>
      </c>
      <c r="S32" s="754">
        <f t="shared" si="12"/>
        <v>100</v>
      </c>
      <c r="T32" s="753" t="s">
        <v>25</v>
      </c>
      <c r="U32" s="754">
        <f t="shared" si="13"/>
        <v>100</v>
      </c>
      <c r="V32" s="753" t="s">
        <v>25</v>
      </c>
      <c r="W32" s="754">
        <f t="shared" si="14"/>
        <v>100</v>
      </c>
      <c r="X32" s="1900"/>
      <c r="Y32" s="3044"/>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4"/>
      <c r="Q33" s="1899" t="str">
        <f t="shared" si="11"/>
        <v>成新度</v>
      </c>
      <c r="R33" s="753" t="s">
        <v>25</v>
      </c>
      <c r="S33" s="754" t="e">
        <f t="shared" si="12"/>
        <v>#N/A</v>
      </c>
      <c r="T33" s="753" t="s">
        <v>25</v>
      </c>
      <c r="U33" s="754" t="e">
        <f t="shared" si="13"/>
        <v>#N/A</v>
      </c>
      <c r="V33" s="753" t="s">
        <v>25</v>
      </c>
      <c r="W33" s="754" t="e">
        <f t="shared" si="14"/>
        <v>#N/A</v>
      </c>
      <c r="X33" s="1900"/>
      <c r="Y33" s="3044"/>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4"/>
      <c r="Q34" s="1887" t="str">
        <f t="shared" si="11"/>
        <v>物业管理</v>
      </c>
      <c r="R34" s="749" t="s">
        <v>25</v>
      </c>
      <c r="S34" s="750">
        <f t="shared" si="12"/>
        <v>100</v>
      </c>
      <c r="T34" s="749" t="s">
        <v>25</v>
      </c>
      <c r="U34" s="750">
        <f t="shared" si="13"/>
        <v>100</v>
      </c>
      <c r="V34" s="749" t="s">
        <v>25</v>
      </c>
      <c r="W34" s="750">
        <f t="shared" si="14"/>
        <v>100</v>
      </c>
      <c r="X34" s="751"/>
      <c r="Y34" s="3044"/>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4" t="s">
        <v>2371</v>
      </c>
      <c r="Q35" s="1899" t="str">
        <f t="shared" si="11"/>
        <v>市政基础设施</v>
      </c>
      <c r="R35" s="753" t="s">
        <v>25</v>
      </c>
      <c r="S35" s="754">
        <f t="shared" si="12"/>
        <v>100</v>
      </c>
      <c r="T35" s="753" t="s">
        <v>25</v>
      </c>
      <c r="U35" s="754">
        <f t="shared" si="13"/>
        <v>100</v>
      </c>
      <c r="V35" s="753" t="s">
        <v>25</v>
      </c>
      <c r="W35" s="754">
        <f t="shared" si="14"/>
        <v>100</v>
      </c>
      <c r="X35" s="1900"/>
      <c r="Y35" s="3044"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4"/>
      <c r="Q36" s="1899" t="str">
        <f t="shared" si="11"/>
        <v>内部装修</v>
      </c>
      <c r="R36" s="753" t="s">
        <v>25</v>
      </c>
      <c r="S36" s="754">
        <f t="shared" si="12"/>
        <v>100</v>
      </c>
      <c r="T36" s="753" t="s">
        <v>25</v>
      </c>
      <c r="U36" s="754">
        <f t="shared" si="13"/>
        <v>100</v>
      </c>
      <c r="V36" s="753" t="s">
        <v>25</v>
      </c>
      <c r="W36" s="754">
        <f t="shared" si="14"/>
        <v>100</v>
      </c>
      <c r="X36" s="1900"/>
      <c r="Y36" s="3044"/>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4"/>
      <c r="Q37" s="1899" t="str">
        <f t="shared" si="11"/>
        <v>内部装修状况</v>
      </c>
      <c r="R37" s="753" t="s">
        <v>25</v>
      </c>
      <c r="S37" s="754">
        <f t="shared" si="12"/>
        <v>0</v>
      </c>
      <c r="T37" s="753" t="s">
        <v>25</v>
      </c>
      <c r="U37" s="754">
        <f t="shared" si="13"/>
        <v>0</v>
      </c>
      <c r="V37" s="753" t="s">
        <v>25</v>
      </c>
      <c r="W37" s="754">
        <f t="shared" si="14"/>
        <v>0</v>
      </c>
      <c r="X37" s="1900"/>
      <c r="Y37" s="3044"/>
      <c r="Z37" s="1902" t="str">
        <f t="shared" si="15"/>
        <v>内部装修状况</v>
      </c>
      <c r="AA37" s="1903" t="e">
        <f t="shared" si="3"/>
        <v>#DIV/0!</v>
      </c>
      <c r="AB37" s="1903" t="e">
        <f t="shared" si="4"/>
        <v>#DIV/0!</v>
      </c>
      <c r="AC37" s="1903"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4"/>
      <c r="Q38" s="755">
        <f t="shared" si="11"/>
        <v>111</v>
      </c>
      <c r="R38" s="756" t="s">
        <v>25</v>
      </c>
      <c r="S38" s="757">
        <f t="shared" si="12"/>
        <v>100</v>
      </c>
      <c r="T38" s="756" t="s">
        <v>25</v>
      </c>
      <c r="U38" s="757">
        <f t="shared" si="13"/>
        <v>100</v>
      </c>
      <c r="V38" s="756" t="s">
        <v>25</v>
      </c>
      <c r="W38" s="757">
        <f t="shared" si="14"/>
        <v>100</v>
      </c>
      <c r="X38" s="758"/>
      <c r="Y38" s="3044"/>
      <c r="Z38" s="759">
        <f t="shared" si="15"/>
        <v>111</v>
      </c>
      <c r="AA38" s="1903">
        <f t="shared" si="3"/>
        <v>1</v>
      </c>
      <c r="AB38" s="1903">
        <f t="shared" si="4"/>
        <v>1</v>
      </c>
      <c r="AC38" s="1903">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4"/>
      <c r="Q39" s="1899">
        <f t="shared" si="11"/>
        <v>111</v>
      </c>
      <c r="R39" s="753" t="s">
        <v>25</v>
      </c>
      <c r="S39" s="754">
        <f t="shared" si="12"/>
        <v>100</v>
      </c>
      <c r="T39" s="753" t="s">
        <v>25</v>
      </c>
      <c r="U39" s="754">
        <f t="shared" si="13"/>
        <v>100</v>
      </c>
      <c r="V39" s="753" t="s">
        <v>25</v>
      </c>
      <c r="W39" s="754">
        <f t="shared" si="14"/>
        <v>100</v>
      </c>
      <c r="X39" s="1900"/>
      <c r="Y39" s="3044"/>
      <c r="Z39" s="1902">
        <f t="shared" si="15"/>
        <v>111</v>
      </c>
      <c r="AA39" s="1903">
        <f t="shared" si="3"/>
        <v>1</v>
      </c>
      <c r="AB39" s="1903">
        <f t="shared" si="4"/>
        <v>1</v>
      </c>
      <c r="AC39" s="1903">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5"/>
      <c r="Q40" s="1899">
        <f t="shared" si="11"/>
        <v>111</v>
      </c>
      <c r="R40" s="753" t="s">
        <v>25</v>
      </c>
      <c r="S40" s="754">
        <f t="shared" si="12"/>
        <v>100</v>
      </c>
      <c r="T40" s="753" t="s">
        <v>25</v>
      </c>
      <c r="U40" s="754">
        <f t="shared" si="13"/>
        <v>100</v>
      </c>
      <c r="V40" s="753" t="s">
        <v>25</v>
      </c>
      <c r="W40" s="754">
        <f t="shared" si="14"/>
        <v>100</v>
      </c>
      <c r="X40" s="1900"/>
      <c r="Y40" s="3045"/>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50" t="str">
        <f>A41</f>
        <v>成交单价（元/平方米）</v>
      </c>
      <c r="Q41" s="3050"/>
      <c r="R41" s="3051">
        <f>E41</f>
        <v>0</v>
      </c>
      <c r="S41" s="3051"/>
      <c r="T41" s="3051">
        <f>G41</f>
        <v>0</v>
      </c>
      <c r="U41" s="3051"/>
      <c r="V41" s="3051">
        <f>I41</f>
        <v>0</v>
      </c>
      <c r="W41" s="3051"/>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50" t="str">
        <f>A42</f>
        <v>比较价值（元/平方米）</v>
      </c>
      <c r="Q42" s="3050"/>
      <c r="R42" s="3051" t="e">
        <f>IF(E1="售价",ROUND(PRODUCT(R41,AA7:AA40),0),ROUND(PRODUCT(R41,AA7:AA40),1))</f>
        <v>#DIV/0!</v>
      </c>
      <c r="S42" s="3051"/>
      <c r="T42" s="3051" t="e">
        <f>IF(E1="售价",ROUND(PRODUCT(T41,AB7:AB40),0),ROUND(PRODUCT(T41,AB7:AB40),1))</f>
        <v>#DIV/0!</v>
      </c>
      <c r="U42" s="3051"/>
      <c r="V42" s="3051" t="e">
        <f>IF(E1="售价",ROUND(PRODUCT(V41,AC7:AC40),0),ROUND(PRODUCT(V41,AC7:AC40),1))</f>
        <v>#DIV/0!</v>
      </c>
      <c r="W42" s="3051"/>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56" t="str">
        <f>A43</f>
        <v>估价对象XX用房的比较价值（楼面单价，元/平方米）</v>
      </c>
      <c r="Q43" s="3057"/>
      <c r="R43" s="3058" t="e">
        <f>IF(E1="售价",ROUND(AVERAGE(R42:V42),0),ROUND(AVERAGE(R42:V42),1))</f>
        <v>#DIV/0!</v>
      </c>
      <c r="S43" s="3058"/>
      <c r="T43" s="3058"/>
      <c r="U43" s="3058"/>
      <c r="V43" s="3058"/>
      <c r="W43" s="3058"/>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2018-5</v>
      </c>
      <c r="D52" s="1679">
        <f>EDATE(C52,-1)</f>
        <v>43191</v>
      </c>
      <c r="E52" s="1680">
        <f t="shared" ref="E52:O52" si="16">EDATE(D52,-1)</f>
        <v>43160</v>
      </c>
      <c r="F52" s="1680">
        <f t="shared" si="16"/>
        <v>43132</v>
      </c>
      <c r="G52" s="1680">
        <f t="shared" si="16"/>
        <v>43101</v>
      </c>
      <c r="H52" s="1680">
        <f t="shared" si="16"/>
        <v>43070</v>
      </c>
      <c r="I52" s="1680">
        <f t="shared" si="16"/>
        <v>43040</v>
      </c>
      <c r="J52" s="1680">
        <f t="shared" si="16"/>
        <v>43009</v>
      </c>
      <c r="K52" s="1680">
        <f t="shared" si="16"/>
        <v>42979</v>
      </c>
      <c r="L52" s="1680">
        <f t="shared" si="16"/>
        <v>42948</v>
      </c>
      <c r="M52" s="1680">
        <f t="shared" si="16"/>
        <v>42917</v>
      </c>
      <c r="N52" s="1680">
        <f t="shared" si="16"/>
        <v>42887</v>
      </c>
      <c r="O52" s="1680">
        <f t="shared" si="16"/>
        <v>42856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80"/>
      <c r="C1" s="1729"/>
      <c r="D1" s="1730"/>
      <c r="E1" s="2382"/>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4"/>
      <c r="E2" s="1214" t="e">
        <f ca="1">SUMIF(INDIRECT("'"&amp;G2&amp;"'"&amp;"!A:A"),"承租人权益价值",INDIRECT("'"&amp;G2&amp;"'"&amp;"!c:c"))</f>
        <v>#REF!</v>
      </c>
      <c r="F2" s="2385" t="str">
        <f>C2</f>
        <v>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60.74</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14" t="s">
        <v>2341</v>
      </c>
      <c r="D4" s="3015"/>
      <c r="E4" s="3016" t="s">
        <v>2342</v>
      </c>
      <c r="F4" s="3017"/>
      <c r="G4" s="3014" t="s">
        <v>2343</v>
      </c>
      <c r="H4" s="3015"/>
      <c r="I4" s="3014" t="s">
        <v>2344</v>
      </c>
      <c r="J4" s="3015"/>
      <c r="K4" s="594" t="s">
        <v>2345</v>
      </c>
      <c r="L4" s="1514"/>
      <c r="M4" s="425"/>
      <c r="N4" s="425"/>
      <c r="O4" s="425"/>
      <c r="P4" s="3018" t="s">
        <v>2346</v>
      </c>
      <c r="Q4" s="3019"/>
      <c r="R4" s="3024" t="s">
        <v>2342</v>
      </c>
      <c r="S4" s="3025"/>
      <c r="T4" s="3024" t="s">
        <v>2343</v>
      </c>
      <c r="U4" s="3025"/>
      <c r="V4" s="3030" t="s">
        <v>2344</v>
      </c>
      <c r="W4" s="3030"/>
      <c r="X4" s="1900"/>
      <c r="Y4" s="3024" t="s">
        <v>2346</v>
      </c>
      <c r="Z4" s="3025"/>
      <c r="AA4" s="3011" t="s">
        <v>2342</v>
      </c>
      <c r="AB4" s="3012" t="s">
        <v>2343</v>
      </c>
      <c r="AC4" s="3011" t="s">
        <v>2344</v>
      </c>
    </row>
    <row r="5" spans="1:29" ht="15">
      <c r="A5" s="383"/>
      <c r="B5" s="384"/>
      <c r="C5" s="3059" t="s">
        <v>2347</v>
      </c>
      <c r="D5" s="3060"/>
      <c r="E5" s="3061" t="s">
        <v>2348</v>
      </c>
      <c r="F5" s="3062"/>
      <c r="G5" s="3059" t="s">
        <v>2349</v>
      </c>
      <c r="H5" s="3060"/>
      <c r="I5" s="3059" t="s">
        <v>2350</v>
      </c>
      <c r="J5" s="3060"/>
      <c r="K5" s="594"/>
      <c r="L5" s="1514"/>
      <c r="M5" s="425"/>
      <c r="N5" s="425"/>
      <c r="O5" s="425"/>
      <c r="P5" s="3020"/>
      <c r="Q5" s="3021"/>
      <c r="R5" s="3026"/>
      <c r="S5" s="3027"/>
      <c r="T5" s="3026"/>
      <c r="U5" s="3027"/>
      <c r="V5" s="3030"/>
      <c r="W5" s="3030"/>
      <c r="X5" s="1900"/>
      <c r="Y5" s="3026"/>
      <c r="Z5" s="3027"/>
      <c r="AA5" s="3012"/>
      <c r="AB5" s="3012"/>
      <c r="AC5" s="3012"/>
    </row>
    <row r="6" spans="1:29" ht="15.75" thickBot="1">
      <c r="A6" s="385"/>
      <c r="B6" s="386"/>
      <c r="C6" s="3035" t="s">
        <v>2351</v>
      </c>
      <c r="D6" s="3036"/>
      <c r="E6" s="3037" t="s">
        <v>2351</v>
      </c>
      <c r="F6" s="3038"/>
      <c r="G6" s="3035" t="s">
        <v>2351</v>
      </c>
      <c r="H6" s="3036"/>
      <c r="I6" s="3035" t="s">
        <v>2351</v>
      </c>
      <c r="J6" s="3036"/>
      <c r="K6" s="594" t="s">
        <v>2352</v>
      </c>
      <c r="L6" s="1514"/>
      <c r="M6" s="425"/>
      <c r="N6" s="425"/>
      <c r="O6" s="425"/>
      <c r="P6" s="3022"/>
      <c r="Q6" s="3023"/>
      <c r="R6" s="3026"/>
      <c r="S6" s="3027"/>
      <c r="T6" s="3028"/>
      <c r="U6" s="3029"/>
      <c r="V6" s="3030"/>
      <c r="W6" s="3030"/>
      <c r="X6" s="1900"/>
      <c r="Y6" s="3028"/>
      <c r="Z6" s="3029"/>
      <c r="AA6" s="3013"/>
      <c r="AB6" s="3013"/>
      <c r="AC6" s="3013"/>
    </row>
    <row r="7" spans="1:29" s="35" customFormat="1" ht="15.75" thickBot="1">
      <c r="A7" s="387" t="s">
        <v>2353</v>
      </c>
      <c r="B7" s="388"/>
      <c r="C7" s="389">
        <f>'数据-取费表'!B2</f>
        <v>43242</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6" t="s">
        <v>2354</v>
      </c>
      <c r="Q7" s="3048"/>
      <c r="R7" s="749" t="s">
        <v>25</v>
      </c>
      <c r="S7" s="750">
        <f t="shared" ref="S7:S14" si="0">F7</f>
        <v>0</v>
      </c>
      <c r="T7" s="749" t="s">
        <v>25</v>
      </c>
      <c r="U7" s="750">
        <f t="shared" ref="U7:U14" si="1">H7</f>
        <v>0</v>
      </c>
      <c r="V7" s="749" t="s">
        <v>25</v>
      </c>
      <c r="W7" s="750">
        <f t="shared" ref="W7:W14" si="2">J7</f>
        <v>0</v>
      </c>
      <c r="X7" s="751"/>
      <c r="Y7" s="3046" t="s">
        <v>2354</v>
      </c>
      <c r="Z7" s="3047"/>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6" t="s">
        <v>2357</v>
      </c>
      <c r="Q8" s="3047"/>
      <c r="R8" s="749" t="s">
        <v>25</v>
      </c>
      <c r="S8" s="750">
        <f t="shared" si="0"/>
        <v>0</v>
      </c>
      <c r="T8" s="749" t="s">
        <v>25</v>
      </c>
      <c r="U8" s="750">
        <f t="shared" si="1"/>
        <v>0</v>
      </c>
      <c r="V8" s="749" t="s">
        <v>25</v>
      </c>
      <c r="W8" s="750">
        <f t="shared" si="2"/>
        <v>0</v>
      </c>
      <c r="X8" s="751"/>
      <c r="Y8" s="3046" t="s">
        <v>2357</v>
      </c>
      <c r="Z8" s="3047"/>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50" t="s">
        <v>2360</v>
      </c>
      <c r="Q9" s="1887" t="str">
        <f t="shared" ref="Q9:Q14" si="6">B9</f>
        <v>用途</v>
      </c>
      <c r="R9" s="749" t="s">
        <v>25</v>
      </c>
      <c r="S9" s="750">
        <f t="shared" si="0"/>
        <v>100</v>
      </c>
      <c r="T9" s="749" t="s">
        <v>25</v>
      </c>
      <c r="U9" s="750">
        <f t="shared" si="1"/>
        <v>100</v>
      </c>
      <c r="V9" s="749" t="s">
        <v>25</v>
      </c>
      <c r="W9" s="750">
        <f t="shared" si="2"/>
        <v>100</v>
      </c>
      <c r="X9" s="751"/>
      <c r="Y9" s="2862"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50"/>
      <c r="Q10" s="1887" t="str">
        <f t="shared" si="6"/>
        <v>土地使用年限（年）</v>
      </c>
      <c r="R10" s="749" t="s">
        <v>25</v>
      </c>
      <c r="S10" s="750">
        <f t="shared" si="0"/>
        <v>100</v>
      </c>
      <c r="T10" s="749" t="s">
        <v>25</v>
      </c>
      <c r="U10" s="750">
        <f t="shared" si="1"/>
        <v>100</v>
      </c>
      <c r="V10" s="749" t="s">
        <v>25</v>
      </c>
      <c r="W10" s="750">
        <f t="shared" si="2"/>
        <v>100</v>
      </c>
      <c r="X10" s="751"/>
      <c r="Y10" s="2862"/>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50"/>
      <c r="Q11" s="1887">
        <f t="shared" si="6"/>
        <v>111</v>
      </c>
      <c r="R11" s="749" t="s">
        <v>25</v>
      </c>
      <c r="S11" s="750">
        <f t="shared" si="0"/>
        <v>100</v>
      </c>
      <c r="T11" s="749" t="s">
        <v>25</v>
      </c>
      <c r="U11" s="750">
        <f t="shared" si="1"/>
        <v>100</v>
      </c>
      <c r="V11" s="749" t="s">
        <v>25</v>
      </c>
      <c r="W11" s="750">
        <f t="shared" si="2"/>
        <v>100</v>
      </c>
      <c r="X11" s="751"/>
      <c r="Y11" s="2862"/>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50"/>
      <c r="Q12" s="1887">
        <f t="shared" si="6"/>
        <v>111</v>
      </c>
      <c r="R12" s="749" t="s">
        <v>25</v>
      </c>
      <c r="S12" s="750">
        <f t="shared" si="0"/>
        <v>100</v>
      </c>
      <c r="T12" s="749" t="s">
        <v>25</v>
      </c>
      <c r="U12" s="750">
        <f t="shared" si="1"/>
        <v>100</v>
      </c>
      <c r="V12" s="749" t="s">
        <v>25</v>
      </c>
      <c r="W12" s="750">
        <f t="shared" si="2"/>
        <v>100</v>
      </c>
      <c r="X12" s="751"/>
      <c r="Y12" s="2862"/>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50"/>
      <c r="Q13" s="1887">
        <f t="shared" si="6"/>
        <v>111</v>
      </c>
      <c r="R13" s="749" t="s">
        <v>25</v>
      </c>
      <c r="S13" s="750">
        <f t="shared" si="0"/>
        <v>100</v>
      </c>
      <c r="T13" s="749" t="s">
        <v>25</v>
      </c>
      <c r="U13" s="750">
        <f t="shared" si="1"/>
        <v>100</v>
      </c>
      <c r="V13" s="749" t="s">
        <v>25</v>
      </c>
      <c r="W13" s="750">
        <f t="shared" si="2"/>
        <v>100</v>
      </c>
      <c r="X13" s="751"/>
      <c r="Y13" s="2862"/>
      <c r="Z13" s="23">
        <f t="shared" si="7"/>
        <v>111</v>
      </c>
      <c r="AA13" s="752">
        <f t="shared" si="3"/>
        <v>1</v>
      </c>
      <c r="AB13" s="752">
        <f t="shared" si="4"/>
        <v>1</v>
      </c>
      <c r="AC13" s="752">
        <f t="shared" si="5"/>
        <v>1</v>
      </c>
    </row>
    <row r="14" spans="1:29" ht="114">
      <c r="A14" s="380" t="s">
        <v>2364</v>
      </c>
      <c r="B14" s="613" t="s">
        <v>2508</v>
      </c>
      <c r="C14" s="1480" t="str">
        <f>IF(B1="工业",估价对象房地状况!G4,估价对象房地状况!C6)</f>
        <v>估价对象紧邻城市支路——下园一条，周边无地铁、有868路、916路、h58路、h59路公交线路等，综合评价交通便捷度一般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9" t="s">
        <v>2365</v>
      </c>
      <c r="Q14" s="1899" t="str">
        <f t="shared" si="6"/>
        <v>交通便捷度</v>
      </c>
      <c r="R14" s="753" t="s">
        <v>25</v>
      </c>
      <c r="S14" s="754">
        <f t="shared" si="0"/>
        <v>100</v>
      </c>
      <c r="T14" s="753" t="s">
        <v>25</v>
      </c>
      <c r="U14" s="754">
        <f t="shared" si="1"/>
        <v>100</v>
      </c>
      <c r="V14" s="753" t="s">
        <v>25</v>
      </c>
      <c r="W14" s="754">
        <f t="shared" si="2"/>
        <v>100</v>
      </c>
      <c r="X14" s="1900"/>
      <c r="Y14" s="3039"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40"/>
      <c r="Q15" s="1899"/>
      <c r="R15" s="753"/>
      <c r="S15" s="754"/>
      <c r="T15" s="753"/>
      <c r="U15" s="754"/>
      <c r="V15" s="753"/>
      <c r="W15" s="754"/>
      <c r="X15" s="1900"/>
      <c r="Y15" s="3040"/>
      <c r="Z15" s="1902"/>
      <c r="AA15" s="1903">
        <v>1</v>
      </c>
      <c r="AB15" s="1903">
        <v>1</v>
      </c>
      <c r="AC15" s="1903">
        <v>1</v>
      </c>
    </row>
    <row r="16" spans="1:29" ht="42.75">
      <c r="A16" s="383"/>
      <c r="B16" s="615" t="s">
        <v>2480</v>
      </c>
      <c r="C16" s="1482" t="str">
        <f>IF(B1="工业",估价对象房地状况!G5,估价对象房地状况!C7)</f>
        <v>估价对象所在区域公共配套设施齐备情况一般</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40"/>
      <c r="Q16" s="1899" t="str">
        <f>B16</f>
        <v>公共配套设施</v>
      </c>
      <c r="R16" s="753" t="s">
        <v>25</v>
      </c>
      <c r="S16" s="754">
        <f>F16</f>
        <v>100</v>
      </c>
      <c r="T16" s="753" t="s">
        <v>25</v>
      </c>
      <c r="U16" s="754">
        <f>H16</f>
        <v>100</v>
      </c>
      <c r="V16" s="753" t="s">
        <v>25</v>
      </c>
      <c r="W16" s="754">
        <f>J16</f>
        <v>100</v>
      </c>
      <c r="X16" s="1900"/>
      <c r="Y16" s="3040"/>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40"/>
      <c r="Q17" s="1899"/>
      <c r="R17" s="753"/>
      <c r="S17" s="754"/>
      <c r="T17" s="753"/>
      <c r="U17" s="754"/>
      <c r="V17" s="753"/>
      <c r="W17" s="754"/>
      <c r="X17" s="1900"/>
      <c r="Y17" s="3040"/>
      <c r="Z17" s="1902"/>
      <c r="AA17" s="1903">
        <v>1</v>
      </c>
      <c r="AB17" s="1903">
        <v>1</v>
      </c>
      <c r="AC17" s="1903">
        <v>1</v>
      </c>
    </row>
    <row r="18" spans="1:29" ht="42.75">
      <c r="A18" s="383"/>
      <c r="B18" s="617" t="s">
        <v>2481</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40"/>
      <c r="Q18" s="1899" t="str">
        <f>B18</f>
        <v>基础设施水平</v>
      </c>
      <c r="R18" s="753" t="s">
        <v>25</v>
      </c>
      <c r="S18" s="754">
        <f>F18</f>
        <v>100</v>
      </c>
      <c r="T18" s="753" t="s">
        <v>25</v>
      </c>
      <c r="U18" s="754">
        <f>H18</f>
        <v>100</v>
      </c>
      <c r="V18" s="753" t="s">
        <v>25</v>
      </c>
      <c r="W18" s="754">
        <f>J18</f>
        <v>100</v>
      </c>
      <c r="X18" s="1900"/>
      <c r="Y18" s="3040"/>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40"/>
      <c r="Q19" s="1899"/>
      <c r="R19" s="753"/>
      <c r="S19" s="754"/>
      <c r="T19" s="753"/>
      <c r="U19" s="754"/>
      <c r="V19" s="753"/>
      <c r="W19" s="754"/>
      <c r="X19" s="1900"/>
      <c r="Y19" s="3040"/>
      <c r="Z19" s="1902"/>
      <c r="AA19" s="1903">
        <v>1</v>
      </c>
      <c r="AB19" s="1903">
        <v>1</v>
      </c>
      <c r="AC19" s="1903">
        <v>1</v>
      </c>
    </row>
    <row r="20" spans="1:29" ht="99.75">
      <c r="A20" s="383"/>
      <c r="B20" s="615" t="s">
        <v>2509</v>
      </c>
      <c r="C20" s="1482" t="str">
        <f>IF(B1="工业",估价对象房地状况!G7,估价对象房地状况!C9)</f>
        <v>自然环境：普法公园、迎宾公园、怀柔水库等；人文环境：怀柔区博物馆等，综合评价环境状况一般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40"/>
      <c r="Q20" s="1899" t="str">
        <f>B20</f>
        <v>自然及人文环境</v>
      </c>
      <c r="R20" s="753" t="s">
        <v>25</v>
      </c>
      <c r="S20" s="754">
        <f>F20</f>
        <v>100</v>
      </c>
      <c r="T20" s="753" t="s">
        <v>25</v>
      </c>
      <c r="U20" s="754">
        <f>H20</f>
        <v>100</v>
      </c>
      <c r="V20" s="753" t="s">
        <v>25</v>
      </c>
      <c r="W20" s="754">
        <f>J20</f>
        <v>100</v>
      </c>
      <c r="X20" s="1900"/>
      <c r="Y20" s="3040"/>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40"/>
      <c r="Q21" s="1899"/>
      <c r="R21" s="753"/>
      <c r="S21" s="754"/>
      <c r="T21" s="753"/>
      <c r="U21" s="754"/>
      <c r="V21" s="753"/>
      <c r="W21" s="754"/>
      <c r="X21" s="1900"/>
      <c r="Y21" s="3040"/>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40"/>
      <c r="Q22" s="1899" t="str">
        <f>B22</f>
        <v>楼层</v>
      </c>
      <c r="R22" s="753" t="s">
        <v>25</v>
      </c>
      <c r="S22" s="754">
        <f>F22</f>
        <v>100</v>
      </c>
      <c r="T22" s="753" t="s">
        <v>25</v>
      </c>
      <c r="U22" s="754">
        <f>H22</f>
        <v>100</v>
      </c>
      <c r="V22" s="753" t="s">
        <v>25</v>
      </c>
      <c r="W22" s="754">
        <f>J22</f>
        <v>100</v>
      </c>
      <c r="X22" s="1900"/>
      <c r="Y22" s="3040"/>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40"/>
      <c r="Q23" s="1899">
        <f>B23</f>
        <v>111</v>
      </c>
      <c r="R23" s="753" t="s">
        <v>25</v>
      </c>
      <c r="S23" s="754">
        <f>F23</f>
        <v>100</v>
      </c>
      <c r="T23" s="753" t="s">
        <v>25</v>
      </c>
      <c r="U23" s="754">
        <f>H23</f>
        <v>100</v>
      </c>
      <c r="V23" s="753" t="s">
        <v>25</v>
      </c>
      <c r="W23" s="754">
        <f>J23</f>
        <v>100</v>
      </c>
      <c r="X23" s="1900"/>
      <c r="Y23" s="3040"/>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40"/>
      <c r="Q24" s="1899">
        <f t="shared" ref="Q24:Q36" si="11">B24</f>
        <v>111</v>
      </c>
      <c r="R24" s="753" t="s">
        <v>25</v>
      </c>
      <c r="S24" s="754">
        <f>F24</f>
        <v>100</v>
      </c>
      <c r="T24" s="753" t="s">
        <v>25</v>
      </c>
      <c r="U24" s="754">
        <f>H24</f>
        <v>100</v>
      </c>
      <c r="V24" s="753" t="s">
        <v>25</v>
      </c>
      <c r="W24" s="754">
        <f>J24</f>
        <v>100</v>
      </c>
      <c r="X24" s="1900"/>
      <c r="Y24" s="3040"/>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40"/>
      <c r="Q25" s="1887">
        <f t="shared" si="11"/>
        <v>111</v>
      </c>
      <c r="R25" s="749" t="s">
        <v>25</v>
      </c>
      <c r="S25" s="750">
        <f>F25</f>
        <v>100</v>
      </c>
      <c r="T25" s="749" t="s">
        <v>25</v>
      </c>
      <c r="U25" s="750">
        <f>H25</f>
        <v>100</v>
      </c>
      <c r="V25" s="749" t="s">
        <v>25</v>
      </c>
      <c r="W25" s="750">
        <f>J25</f>
        <v>100</v>
      </c>
      <c r="X25" s="751"/>
      <c r="Y25" s="3040"/>
      <c r="Z25" s="23">
        <f>Q25</f>
        <v>111</v>
      </c>
      <c r="AA25" s="1903">
        <f>D25/F25</f>
        <v>1</v>
      </c>
      <c r="AB25" s="1903">
        <f>D25/H25</f>
        <v>1</v>
      </c>
      <c r="AC25" s="1903">
        <f>D25/J25</f>
        <v>1</v>
      </c>
    </row>
    <row r="26" spans="1:29" ht="15">
      <c r="A26" s="635" t="s">
        <v>2369</v>
      </c>
      <c r="B26" s="27" t="s">
        <v>2511</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70"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4"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4"/>
      <c r="Q27" s="755" t="str">
        <f t="shared" si="11"/>
        <v>项目停车位配比</v>
      </c>
      <c r="R27" s="756" t="s">
        <v>25</v>
      </c>
      <c r="S27" s="757">
        <f t="shared" si="12"/>
        <v>100</v>
      </c>
      <c r="T27" s="756" t="s">
        <v>25</v>
      </c>
      <c r="U27" s="757">
        <f t="shared" si="13"/>
        <v>100</v>
      </c>
      <c r="V27" s="756" t="s">
        <v>25</v>
      </c>
      <c r="W27" s="757">
        <f t="shared" si="14"/>
        <v>100</v>
      </c>
      <c r="X27" s="758"/>
      <c r="Y27" s="3044"/>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4"/>
      <c r="Q28" s="1899" t="str">
        <f t="shared" si="11"/>
        <v>公共部分装修</v>
      </c>
      <c r="R28" s="753" t="s">
        <v>25</v>
      </c>
      <c r="S28" s="754">
        <f t="shared" si="12"/>
        <v>100</v>
      </c>
      <c r="T28" s="753" t="s">
        <v>25</v>
      </c>
      <c r="U28" s="754">
        <f t="shared" si="13"/>
        <v>100</v>
      </c>
      <c r="V28" s="753" t="s">
        <v>25</v>
      </c>
      <c r="W28" s="754">
        <f t="shared" si="14"/>
        <v>100</v>
      </c>
      <c r="X28" s="1900"/>
      <c r="Y28" s="3044"/>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4"/>
      <c r="Q29" s="1899" t="str">
        <f t="shared" si="11"/>
        <v>成新率</v>
      </c>
      <c r="R29" s="753" t="s">
        <v>25</v>
      </c>
      <c r="S29" s="754" t="e">
        <f t="shared" si="12"/>
        <v>#N/A</v>
      </c>
      <c r="T29" s="753" t="s">
        <v>25</v>
      </c>
      <c r="U29" s="754" t="e">
        <f t="shared" si="13"/>
        <v>#N/A</v>
      </c>
      <c r="V29" s="753" t="s">
        <v>25</v>
      </c>
      <c r="W29" s="754" t="e">
        <f t="shared" si="14"/>
        <v>#N/A</v>
      </c>
      <c r="X29" s="1900"/>
      <c r="Y29" s="3044"/>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4"/>
      <c r="Q30" s="1899" t="str">
        <f t="shared" si="11"/>
        <v>物业等级</v>
      </c>
      <c r="R30" s="753" t="s">
        <v>25</v>
      </c>
      <c r="S30" s="754">
        <f t="shared" si="12"/>
        <v>100</v>
      </c>
      <c r="T30" s="753" t="s">
        <v>25</v>
      </c>
      <c r="U30" s="754">
        <f t="shared" si="13"/>
        <v>100</v>
      </c>
      <c r="V30" s="753" t="s">
        <v>25</v>
      </c>
      <c r="W30" s="754">
        <f t="shared" si="14"/>
        <v>100</v>
      </c>
      <c r="X30" s="1900"/>
      <c r="Y30" s="3044"/>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4"/>
      <c r="Q31" s="1887" t="str">
        <f t="shared" si="11"/>
        <v>停车位面积</v>
      </c>
      <c r="R31" s="749" t="s">
        <v>25</v>
      </c>
      <c r="S31" s="750" t="e">
        <f t="shared" si="12"/>
        <v>#N/A</v>
      </c>
      <c r="T31" s="749" t="s">
        <v>25</v>
      </c>
      <c r="U31" s="750" t="e">
        <f t="shared" si="13"/>
        <v>#N/A</v>
      </c>
      <c r="V31" s="749" t="s">
        <v>25</v>
      </c>
      <c r="W31" s="750" t="e">
        <f t="shared" si="14"/>
        <v>#N/A</v>
      </c>
      <c r="X31" s="751"/>
      <c r="Y31" s="3044"/>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4" t="s">
        <v>2371</v>
      </c>
      <c r="Q32" s="1899" t="str">
        <f t="shared" si="11"/>
        <v>车位类型</v>
      </c>
      <c r="R32" s="753" t="s">
        <v>25</v>
      </c>
      <c r="S32" s="754">
        <f t="shared" si="12"/>
        <v>100</v>
      </c>
      <c r="T32" s="753" t="s">
        <v>25</v>
      </c>
      <c r="U32" s="754">
        <f t="shared" si="13"/>
        <v>100</v>
      </c>
      <c r="V32" s="753" t="s">
        <v>25</v>
      </c>
      <c r="W32" s="754">
        <f t="shared" si="14"/>
        <v>100</v>
      </c>
      <c r="X32" s="1900"/>
      <c r="Y32" s="3044"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4"/>
      <c r="Q33" s="1899" t="str">
        <f t="shared" si="11"/>
        <v>是否直接入户</v>
      </c>
      <c r="R33" s="753" t="s">
        <v>25</v>
      </c>
      <c r="S33" s="754">
        <f t="shared" si="12"/>
        <v>100</v>
      </c>
      <c r="T33" s="753" t="s">
        <v>25</v>
      </c>
      <c r="U33" s="754">
        <f t="shared" si="13"/>
        <v>100</v>
      </c>
      <c r="V33" s="753" t="s">
        <v>25</v>
      </c>
      <c r="W33" s="754">
        <f t="shared" si="14"/>
        <v>100</v>
      </c>
      <c r="X33" s="1900"/>
      <c r="Y33" s="3044"/>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4"/>
      <c r="Q34" s="1899">
        <f t="shared" si="11"/>
        <v>111</v>
      </c>
      <c r="R34" s="753" t="s">
        <v>25</v>
      </c>
      <c r="S34" s="754">
        <f t="shared" si="12"/>
        <v>100</v>
      </c>
      <c r="T34" s="753" t="s">
        <v>25</v>
      </c>
      <c r="U34" s="754">
        <f t="shared" si="13"/>
        <v>100</v>
      </c>
      <c r="V34" s="753" t="s">
        <v>25</v>
      </c>
      <c r="W34" s="754">
        <f t="shared" si="14"/>
        <v>100</v>
      </c>
      <c r="X34" s="1900"/>
      <c r="Y34" s="3044"/>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4"/>
      <c r="Q35" s="755">
        <f t="shared" si="11"/>
        <v>111</v>
      </c>
      <c r="R35" s="756" t="s">
        <v>25</v>
      </c>
      <c r="S35" s="757">
        <f t="shared" si="12"/>
        <v>100</v>
      </c>
      <c r="T35" s="756" t="s">
        <v>25</v>
      </c>
      <c r="U35" s="757">
        <f t="shared" si="13"/>
        <v>100</v>
      </c>
      <c r="V35" s="756" t="s">
        <v>25</v>
      </c>
      <c r="W35" s="757">
        <f t="shared" si="14"/>
        <v>100</v>
      </c>
      <c r="X35" s="758"/>
      <c r="Y35" s="3044"/>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4"/>
      <c r="Q36" s="1899">
        <f t="shared" si="11"/>
        <v>111</v>
      </c>
      <c r="R36" s="753" t="s">
        <v>25</v>
      </c>
      <c r="S36" s="754">
        <f t="shared" si="12"/>
        <v>100</v>
      </c>
      <c r="T36" s="753" t="s">
        <v>25</v>
      </c>
      <c r="U36" s="754">
        <f t="shared" si="13"/>
        <v>100</v>
      </c>
      <c r="V36" s="753" t="s">
        <v>25</v>
      </c>
      <c r="W36" s="754">
        <f t="shared" si="14"/>
        <v>100</v>
      </c>
      <c r="X36" s="1900"/>
      <c r="Y36" s="3044"/>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50" t="str">
        <f>A37</f>
        <v>成交单价</v>
      </c>
      <c r="Q37" s="3050"/>
      <c r="R37" s="3051">
        <f>E37</f>
        <v>0</v>
      </c>
      <c r="S37" s="3051"/>
      <c r="T37" s="3051">
        <f>G37</f>
        <v>0</v>
      </c>
      <c r="U37" s="3051"/>
      <c r="V37" s="3051">
        <f>I37</f>
        <v>0</v>
      </c>
      <c r="W37" s="3051"/>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50" t="str">
        <f>A38</f>
        <v>比较价值</v>
      </c>
      <c r="Q38" s="3050"/>
      <c r="R38" s="3051" t="e">
        <f>IF(E1="售价",ROUND(PRODUCT(R37,AA7:AA36),0),ROUND(PRODUCT(R37,AA7:AA36),1))</f>
        <v>#DIV/0!</v>
      </c>
      <c r="S38" s="3051"/>
      <c r="T38" s="3051" t="e">
        <f>IF(E1="售价",ROUND(PRODUCT(T37,AB7:AB36),0),ROUND(PRODUCT(T37,AB7:AB36),1))</f>
        <v>#DIV/0!</v>
      </c>
      <c r="U38" s="3051"/>
      <c r="V38" s="3051" t="e">
        <f>IF(E1="售价",ROUND(PRODUCT(V37,AC7:AC36),0),ROUND(PRODUCT(V37,AC7:AC36),1))</f>
        <v>#DIV/0!</v>
      </c>
      <c r="W38" s="3051"/>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56" t="str">
        <f>A39</f>
        <v>估价对象XX用房的比较价值（楼面单价，元/平方米）</v>
      </c>
      <c r="Q39" s="3057"/>
      <c r="R39" s="3058" t="e">
        <f>IF(E1="售价",ROUND(AVERAGE(R38:V38),0),ROUND(AVERAGE(R38:V38),1))</f>
        <v>#DIV/0!</v>
      </c>
      <c r="S39" s="3058"/>
      <c r="T39" s="3058"/>
      <c r="U39" s="3058"/>
      <c r="V39" s="3058"/>
      <c r="W39" s="3058"/>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2018-5</v>
      </c>
      <c r="D48" s="1679">
        <f>EDATE(C48,-1)</f>
        <v>43191</v>
      </c>
      <c r="E48" s="1679">
        <f t="shared" ref="E48:O48" si="16">EDATE(D48,-1)</f>
        <v>43160</v>
      </c>
      <c r="F48" s="1679">
        <f t="shared" si="16"/>
        <v>43132</v>
      </c>
      <c r="G48" s="1679">
        <f t="shared" si="16"/>
        <v>43101</v>
      </c>
      <c r="H48" s="1679">
        <f t="shared" si="16"/>
        <v>43070</v>
      </c>
      <c r="I48" s="1679">
        <f t="shared" si="16"/>
        <v>43040</v>
      </c>
      <c r="J48" s="1679">
        <f t="shared" si="16"/>
        <v>43009</v>
      </c>
      <c r="K48" s="1679">
        <f t="shared" si="16"/>
        <v>42979</v>
      </c>
      <c r="L48" s="1679">
        <f t="shared" si="16"/>
        <v>42948</v>
      </c>
      <c r="M48" s="1679">
        <f t="shared" si="16"/>
        <v>42917</v>
      </c>
      <c r="N48" s="1679">
        <f t="shared" si="16"/>
        <v>42887</v>
      </c>
      <c r="O48" s="1679">
        <f t="shared" si="16"/>
        <v>42856</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80"/>
      <c r="C1" s="1729"/>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4"/>
      <c r="E2" s="1738" t="e">
        <f ca="1">SUMIF(INDIRECT("'"&amp;G2&amp;"'"&amp;"!A:A"),"承租人权益价值",INDIRECT("'"&amp;G2&amp;"'"&amp;"!c:c"))</f>
        <v>#REF!</v>
      </c>
      <c r="F2" s="2385" t="str">
        <f>C2</f>
        <v>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60.74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14" t="s">
        <v>2341</v>
      </c>
      <c r="D4" s="3015"/>
      <c r="E4" s="3016" t="s">
        <v>2342</v>
      </c>
      <c r="F4" s="3017"/>
      <c r="G4" s="3014" t="s">
        <v>2343</v>
      </c>
      <c r="H4" s="3015"/>
      <c r="I4" s="3014" t="s">
        <v>2344</v>
      </c>
      <c r="J4" s="3015"/>
      <c r="K4" s="594" t="s">
        <v>2345</v>
      </c>
      <c r="L4" s="1243"/>
      <c r="M4" s="1244"/>
      <c r="N4" s="1244"/>
      <c r="O4" s="1244"/>
      <c r="P4" s="3018" t="s">
        <v>2346</v>
      </c>
      <c r="Q4" s="3019"/>
      <c r="R4" s="3024" t="s">
        <v>2342</v>
      </c>
      <c r="S4" s="3025"/>
      <c r="T4" s="3024" t="s">
        <v>2343</v>
      </c>
      <c r="U4" s="3025"/>
      <c r="V4" s="3030" t="s">
        <v>2344</v>
      </c>
      <c r="W4" s="3030"/>
      <c r="X4" s="1900"/>
      <c r="Y4" s="3024" t="s">
        <v>2346</v>
      </c>
      <c r="Z4" s="3025"/>
      <c r="AA4" s="3011" t="s">
        <v>2342</v>
      </c>
      <c r="AB4" s="3012" t="s">
        <v>2343</v>
      </c>
      <c r="AC4" s="3011" t="s">
        <v>2344</v>
      </c>
    </row>
    <row r="5" spans="1:29" ht="15">
      <c r="A5" s="383"/>
      <c r="B5" s="384"/>
      <c r="C5" s="3059" t="s">
        <v>2347</v>
      </c>
      <c r="D5" s="3060"/>
      <c r="E5" s="3061" t="s">
        <v>2348</v>
      </c>
      <c r="F5" s="3062"/>
      <c r="G5" s="3059" t="s">
        <v>2349</v>
      </c>
      <c r="H5" s="3060"/>
      <c r="I5" s="3059" t="s">
        <v>2350</v>
      </c>
      <c r="J5" s="3060"/>
      <c r="K5" s="594"/>
      <c r="L5" s="1243"/>
      <c r="M5" s="1244"/>
      <c r="N5" s="1244"/>
      <c r="O5" s="1244"/>
      <c r="P5" s="3020"/>
      <c r="Q5" s="3021"/>
      <c r="R5" s="3026"/>
      <c r="S5" s="3027"/>
      <c r="T5" s="3026"/>
      <c r="U5" s="3027"/>
      <c r="V5" s="3030"/>
      <c r="W5" s="3030"/>
      <c r="X5" s="1900"/>
      <c r="Y5" s="3026"/>
      <c r="Z5" s="3027"/>
      <c r="AA5" s="3012"/>
      <c r="AB5" s="3012"/>
      <c r="AC5" s="3012"/>
    </row>
    <row r="6" spans="1:29" ht="15.75" thickBot="1">
      <c r="A6" s="385"/>
      <c r="B6" s="386"/>
      <c r="C6" s="3035" t="s">
        <v>2351</v>
      </c>
      <c r="D6" s="3036"/>
      <c r="E6" s="3037" t="s">
        <v>2351</v>
      </c>
      <c r="F6" s="3038"/>
      <c r="G6" s="3035" t="s">
        <v>2351</v>
      </c>
      <c r="H6" s="3036"/>
      <c r="I6" s="3035" t="s">
        <v>2351</v>
      </c>
      <c r="J6" s="3036"/>
      <c r="K6" s="594" t="s">
        <v>2352</v>
      </c>
      <c r="L6" s="1243"/>
      <c r="M6" s="1244"/>
      <c r="N6" s="1244"/>
      <c r="O6" s="1244"/>
      <c r="P6" s="3022"/>
      <c r="Q6" s="3023"/>
      <c r="R6" s="3026"/>
      <c r="S6" s="3027"/>
      <c r="T6" s="3028"/>
      <c r="U6" s="3029"/>
      <c r="V6" s="3030"/>
      <c r="W6" s="3030"/>
      <c r="X6" s="1900"/>
      <c r="Y6" s="3028"/>
      <c r="Z6" s="3029"/>
      <c r="AA6" s="3013"/>
      <c r="AB6" s="3013"/>
      <c r="AC6" s="3013"/>
    </row>
    <row r="7" spans="1:29" s="35" customFormat="1" ht="15.75" thickBot="1">
      <c r="A7" s="387" t="s">
        <v>2353</v>
      </c>
      <c r="B7" s="388"/>
      <c r="C7" s="389">
        <f>'数据-取费表'!B2</f>
        <v>43242</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46" t="s">
        <v>2354</v>
      </c>
      <c r="Q7" s="3048"/>
      <c r="R7" s="749" t="s">
        <v>25</v>
      </c>
      <c r="S7" s="750">
        <f t="shared" ref="S7:S14" si="0">F7</f>
        <v>0</v>
      </c>
      <c r="T7" s="749" t="s">
        <v>25</v>
      </c>
      <c r="U7" s="750">
        <f t="shared" ref="U7:U14" si="1">H7</f>
        <v>0</v>
      </c>
      <c r="V7" s="749" t="s">
        <v>25</v>
      </c>
      <c r="W7" s="750">
        <f t="shared" ref="W7:W14" si="2">J7</f>
        <v>0</v>
      </c>
      <c r="X7" s="751"/>
      <c r="Y7" s="3046" t="s">
        <v>2354</v>
      </c>
      <c r="Z7" s="3047"/>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6" t="s">
        <v>2357</v>
      </c>
      <c r="Q8" s="3047"/>
      <c r="R8" s="749" t="s">
        <v>25</v>
      </c>
      <c r="S8" s="750">
        <f t="shared" si="0"/>
        <v>0</v>
      </c>
      <c r="T8" s="749" t="s">
        <v>25</v>
      </c>
      <c r="U8" s="750">
        <f t="shared" si="1"/>
        <v>0</v>
      </c>
      <c r="V8" s="749" t="s">
        <v>25</v>
      </c>
      <c r="W8" s="750">
        <f t="shared" si="2"/>
        <v>0</v>
      </c>
      <c r="X8" s="751"/>
      <c r="Y8" s="3046" t="s">
        <v>2357</v>
      </c>
      <c r="Z8" s="3047"/>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50" t="s">
        <v>2360</v>
      </c>
      <c r="Q9" s="1887" t="str">
        <f t="shared" ref="Q9:Q14" si="6">B9</f>
        <v>用途</v>
      </c>
      <c r="R9" s="749" t="s">
        <v>25</v>
      </c>
      <c r="S9" s="750">
        <f t="shared" si="0"/>
        <v>100</v>
      </c>
      <c r="T9" s="749" t="s">
        <v>25</v>
      </c>
      <c r="U9" s="750">
        <f t="shared" si="1"/>
        <v>100</v>
      </c>
      <c r="V9" s="749" t="s">
        <v>25</v>
      </c>
      <c r="W9" s="750">
        <f t="shared" si="2"/>
        <v>100</v>
      </c>
      <c r="X9" s="751"/>
      <c r="Y9" s="2862"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50"/>
      <c r="Q10" s="1887" t="str">
        <f t="shared" si="6"/>
        <v>土地使用年限（年）</v>
      </c>
      <c r="R10" s="749" t="s">
        <v>25</v>
      </c>
      <c r="S10" s="750">
        <f t="shared" si="0"/>
        <v>100</v>
      </c>
      <c r="T10" s="749" t="s">
        <v>25</v>
      </c>
      <c r="U10" s="750">
        <f t="shared" si="1"/>
        <v>100</v>
      </c>
      <c r="V10" s="749" t="s">
        <v>25</v>
      </c>
      <c r="W10" s="750">
        <f t="shared" si="2"/>
        <v>100</v>
      </c>
      <c r="X10" s="751"/>
      <c r="Y10" s="2862"/>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50"/>
      <c r="Q11" s="1887">
        <f t="shared" si="6"/>
        <v>111</v>
      </c>
      <c r="R11" s="749" t="s">
        <v>25</v>
      </c>
      <c r="S11" s="750">
        <f t="shared" si="0"/>
        <v>100</v>
      </c>
      <c r="T11" s="749" t="s">
        <v>25</v>
      </c>
      <c r="U11" s="750">
        <f t="shared" si="1"/>
        <v>100</v>
      </c>
      <c r="V11" s="749" t="s">
        <v>25</v>
      </c>
      <c r="W11" s="750">
        <f t="shared" si="2"/>
        <v>100</v>
      </c>
      <c r="X11" s="751"/>
      <c r="Y11" s="2862"/>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50"/>
      <c r="Q12" s="1887">
        <f t="shared" si="6"/>
        <v>111</v>
      </c>
      <c r="R12" s="749" t="s">
        <v>25</v>
      </c>
      <c r="S12" s="750">
        <f t="shared" si="0"/>
        <v>100</v>
      </c>
      <c r="T12" s="749" t="s">
        <v>25</v>
      </c>
      <c r="U12" s="750">
        <f t="shared" si="1"/>
        <v>100</v>
      </c>
      <c r="V12" s="749" t="s">
        <v>25</v>
      </c>
      <c r="W12" s="750">
        <f t="shared" si="2"/>
        <v>100</v>
      </c>
      <c r="X12" s="751"/>
      <c r="Y12" s="2862"/>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50"/>
      <c r="Q13" s="1887">
        <f t="shared" si="6"/>
        <v>111</v>
      </c>
      <c r="R13" s="749" t="s">
        <v>25</v>
      </c>
      <c r="S13" s="750">
        <f t="shared" si="0"/>
        <v>100</v>
      </c>
      <c r="T13" s="749" t="s">
        <v>25</v>
      </c>
      <c r="U13" s="750">
        <f t="shared" si="1"/>
        <v>100</v>
      </c>
      <c r="V13" s="749" t="s">
        <v>25</v>
      </c>
      <c r="W13" s="750">
        <f t="shared" si="2"/>
        <v>100</v>
      </c>
      <c r="X13" s="751"/>
      <c r="Y13" s="2862"/>
      <c r="Z13" s="23">
        <f t="shared" si="7"/>
        <v>111</v>
      </c>
      <c r="AA13" s="752">
        <f t="shared" si="3"/>
        <v>1</v>
      </c>
      <c r="AB13" s="752">
        <f t="shared" si="4"/>
        <v>1</v>
      </c>
      <c r="AC13" s="752">
        <f t="shared" si="5"/>
        <v>1</v>
      </c>
    </row>
    <row r="14" spans="1:29" ht="114">
      <c r="A14" s="419" t="s">
        <v>2364</v>
      </c>
      <c r="B14" s="26" t="s">
        <v>2508</v>
      </c>
      <c r="C14" s="2479" t="str">
        <f>IF(B1="工业",估价对象房地状况!G4,估价对象房地状况!C6)</f>
        <v>估价对象紧邻城市支路——下园一条，周边无地铁、有868路、916路、h58路、h59路公交线路等，综合评价交通便捷度一般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9" t="s">
        <v>2365</v>
      </c>
      <c r="Q14" s="1899" t="str">
        <f t="shared" si="6"/>
        <v>交通便捷度</v>
      </c>
      <c r="R14" s="753" t="s">
        <v>25</v>
      </c>
      <c r="S14" s="754">
        <f t="shared" si="0"/>
        <v>100</v>
      </c>
      <c r="T14" s="753" t="s">
        <v>25</v>
      </c>
      <c r="U14" s="754">
        <f t="shared" si="1"/>
        <v>100</v>
      </c>
      <c r="V14" s="753" t="s">
        <v>25</v>
      </c>
      <c r="W14" s="754">
        <f t="shared" si="2"/>
        <v>100</v>
      </c>
      <c r="X14" s="1900"/>
      <c r="Y14" s="3039"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40"/>
      <c r="Q15" s="1899"/>
      <c r="R15" s="753"/>
      <c r="S15" s="754"/>
      <c r="T15" s="753"/>
      <c r="U15" s="754"/>
      <c r="V15" s="753"/>
      <c r="W15" s="754"/>
      <c r="X15" s="1900"/>
      <c r="Y15" s="3040"/>
      <c r="Z15" s="1902"/>
      <c r="AA15" s="1903">
        <v>1</v>
      </c>
      <c r="AB15" s="1903">
        <v>1</v>
      </c>
      <c r="AC15" s="1903">
        <v>1</v>
      </c>
    </row>
    <row r="16" spans="1:29" ht="42.75">
      <c r="A16" s="408"/>
      <c r="B16" s="615" t="s">
        <v>2480</v>
      </c>
      <c r="C16" s="2406" t="str">
        <f>IF(B1="工业",估价对象房地状况!G5,估价对象房地状况!C7)</f>
        <v>估价对象所在区域公共配套设施齐备情况一般</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40"/>
      <c r="Q16" s="1899" t="str">
        <f>B16</f>
        <v>公共配套设施</v>
      </c>
      <c r="R16" s="753" t="s">
        <v>25</v>
      </c>
      <c r="S16" s="754">
        <f>F16</f>
        <v>100</v>
      </c>
      <c r="T16" s="753" t="s">
        <v>25</v>
      </c>
      <c r="U16" s="754">
        <f>H16</f>
        <v>100</v>
      </c>
      <c r="V16" s="753" t="s">
        <v>25</v>
      </c>
      <c r="W16" s="754">
        <f>J16</f>
        <v>100</v>
      </c>
      <c r="X16" s="1900"/>
      <c r="Y16" s="3040"/>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40"/>
      <c r="Q17" s="1899"/>
      <c r="R17" s="753"/>
      <c r="S17" s="754"/>
      <c r="T17" s="753"/>
      <c r="U17" s="754"/>
      <c r="V17" s="753"/>
      <c r="W17" s="754"/>
      <c r="X17" s="1900"/>
      <c r="Y17" s="3040"/>
      <c r="Z17" s="1902"/>
      <c r="AA17" s="1903">
        <v>1</v>
      </c>
      <c r="AB17" s="1903">
        <v>1</v>
      </c>
      <c r="AC17" s="1903">
        <v>1</v>
      </c>
    </row>
    <row r="18" spans="1:29" ht="42.75">
      <c r="A18" s="408"/>
      <c r="B18" s="617" t="s">
        <v>2481</v>
      </c>
      <c r="C18" s="2406"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40"/>
      <c r="Q18" s="1899" t="str">
        <f>B18</f>
        <v>基础设施水平</v>
      </c>
      <c r="R18" s="753" t="s">
        <v>25</v>
      </c>
      <c r="S18" s="754">
        <f>F18</f>
        <v>100</v>
      </c>
      <c r="T18" s="753" t="s">
        <v>25</v>
      </c>
      <c r="U18" s="754">
        <f>H18</f>
        <v>100</v>
      </c>
      <c r="V18" s="753" t="s">
        <v>25</v>
      </c>
      <c r="W18" s="754">
        <f>J18</f>
        <v>100</v>
      </c>
      <c r="X18" s="1900"/>
      <c r="Y18" s="3040"/>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40"/>
      <c r="Q19" s="1899"/>
      <c r="R19" s="753"/>
      <c r="S19" s="754"/>
      <c r="T19" s="753"/>
      <c r="U19" s="754"/>
      <c r="V19" s="753"/>
      <c r="W19" s="754"/>
      <c r="X19" s="1900"/>
      <c r="Y19" s="3040"/>
      <c r="Z19" s="1902"/>
      <c r="AA19" s="1903">
        <v>1</v>
      </c>
      <c r="AB19" s="1903">
        <v>1</v>
      </c>
      <c r="AC19" s="1903">
        <v>1</v>
      </c>
    </row>
    <row r="20" spans="1:29" ht="99.75">
      <c r="A20" s="408"/>
      <c r="B20" s="431" t="s">
        <v>2509</v>
      </c>
      <c r="C20" s="2406" t="str">
        <f>IF(B1="工业",估价对象房地状况!G7,估价对象房地状况!C9)</f>
        <v>自然环境：普法公园、迎宾公园、怀柔水库等；人文环境：怀柔区博物馆等，综合评价环境状况一般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40"/>
      <c r="Q20" s="1899" t="str">
        <f>B20</f>
        <v>自然及人文环境</v>
      </c>
      <c r="R20" s="753" t="s">
        <v>25</v>
      </c>
      <c r="S20" s="754">
        <f>F20</f>
        <v>100</v>
      </c>
      <c r="T20" s="753" t="s">
        <v>25</v>
      </c>
      <c r="U20" s="754">
        <f>H20</f>
        <v>100</v>
      </c>
      <c r="V20" s="753" t="s">
        <v>25</v>
      </c>
      <c r="W20" s="754">
        <f>J20</f>
        <v>100</v>
      </c>
      <c r="X20" s="1900"/>
      <c r="Y20" s="3040"/>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40"/>
      <c r="Q21" s="1899"/>
      <c r="R21" s="753"/>
      <c r="S21" s="754"/>
      <c r="T21" s="753"/>
      <c r="U21" s="754"/>
      <c r="V21" s="753"/>
      <c r="W21" s="754"/>
      <c r="X21" s="1900"/>
      <c r="Y21" s="3040"/>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40"/>
      <c r="Q22" s="1899" t="str">
        <f>B22</f>
        <v>楼层</v>
      </c>
      <c r="R22" s="753" t="s">
        <v>25</v>
      </c>
      <c r="S22" s="754">
        <f>F22</f>
        <v>100</v>
      </c>
      <c r="T22" s="753" t="s">
        <v>25</v>
      </c>
      <c r="U22" s="754">
        <f>H22</f>
        <v>100</v>
      </c>
      <c r="V22" s="753" t="s">
        <v>25</v>
      </c>
      <c r="W22" s="754">
        <f>J22</f>
        <v>100</v>
      </c>
      <c r="X22" s="1900"/>
      <c r="Y22" s="3040"/>
      <c r="Z22" s="1902" t="str">
        <f>Q22</f>
        <v>楼层</v>
      </c>
      <c r="AA22" s="1903">
        <f t="shared" si="3"/>
        <v>1</v>
      </c>
      <c r="AB22" s="1903">
        <f t="shared" si="4"/>
        <v>1</v>
      </c>
      <c r="AC22" s="1903">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40"/>
      <c r="Q23" s="1899">
        <f>B23</f>
        <v>111</v>
      </c>
      <c r="R23" s="753" t="s">
        <v>25</v>
      </c>
      <c r="S23" s="754">
        <f>F23</f>
        <v>100</v>
      </c>
      <c r="T23" s="753" t="s">
        <v>25</v>
      </c>
      <c r="U23" s="754">
        <f>H23</f>
        <v>100</v>
      </c>
      <c r="V23" s="753" t="s">
        <v>25</v>
      </c>
      <c r="W23" s="754">
        <f>J23</f>
        <v>100</v>
      </c>
      <c r="X23" s="1900"/>
      <c r="Y23" s="3040"/>
      <c r="Z23" s="1902">
        <f>Q23</f>
        <v>111</v>
      </c>
      <c r="AA23" s="1903">
        <f t="shared" si="3"/>
        <v>1</v>
      </c>
      <c r="AB23" s="1903">
        <f t="shared" si="4"/>
        <v>1</v>
      </c>
      <c r="AC23" s="1903">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40"/>
      <c r="Q24" s="1899">
        <f t="shared" ref="Q24:Q34" si="11">B24</f>
        <v>111</v>
      </c>
      <c r="R24" s="753" t="s">
        <v>25</v>
      </c>
      <c r="S24" s="754">
        <f>F24</f>
        <v>100</v>
      </c>
      <c r="T24" s="753" t="s">
        <v>25</v>
      </c>
      <c r="U24" s="754">
        <f>H24</f>
        <v>100</v>
      </c>
      <c r="V24" s="753" t="s">
        <v>25</v>
      </c>
      <c r="W24" s="754">
        <f>J24</f>
        <v>100</v>
      </c>
      <c r="X24" s="1900"/>
      <c r="Y24" s="3040"/>
      <c r="Z24" s="1902">
        <f>Q24</f>
        <v>111</v>
      </c>
      <c r="AA24" s="1903">
        <f t="shared" si="3"/>
        <v>1</v>
      </c>
      <c r="AB24" s="1903">
        <f t="shared" si="4"/>
        <v>1</v>
      </c>
      <c r="AC24" s="1903">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40"/>
      <c r="Q25" s="1887">
        <f t="shared" si="11"/>
        <v>111</v>
      </c>
      <c r="R25" s="749" t="s">
        <v>25</v>
      </c>
      <c r="S25" s="750">
        <f>F25</f>
        <v>100</v>
      </c>
      <c r="T25" s="749" t="s">
        <v>25</v>
      </c>
      <c r="U25" s="750">
        <f>H25</f>
        <v>100</v>
      </c>
      <c r="V25" s="749" t="s">
        <v>25</v>
      </c>
      <c r="W25" s="750">
        <f>J25</f>
        <v>100</v>
      </c>
      <c r="X25" s="751"/>
      <c r="Y25" s="3040"/>
      <c r="Z25" s="23">
        <f>Q25</f>
        <v>111</v>
      </c>
      <c r="AA25" s="1903">
        <f>D25/F25</f>
        <v>1</v>
      </c>
      <c r="AB25" s="1903">
        <f>D25/H25</f>
        <v>1</v>
      </c>
      <c r="AC25" s="1903">
        <f>D25/J25</f>
        <v>1</v>
      </c>
    </row>
    <row r="26" spans="1:29" ht="15">
      <c r="A26" s="447" t="s">
        <v>2369</v>
      </c>
      <c r="B26" s="28" t="s">
        <v>2513</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70"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4"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4"/>
      <c r="Q27" s="755" t="str">
        <f t="shared" si="11"/>
        <v>成新率</v>
      </c>
      <c r="R27" s="756" t="s">
        <v>25</v>
      </c>
      <c r="S27" s="757" t="e">
        <f t="shared" si="12"/>
        <v>#N/A</v>
      </c>
      <c r="T27" s="756" t="s">
        <v>25</v>
      </c>
      <c r="U27" s="757" t="e">
        <f t="shared" si="13"/>
        <v>#N/A</v>
      </c>
      <c r="V27" s="756" t="s">
        <v>25</v>
      </c>
      <c r="W27" s="757" t="e">
        <f t="shared" si="14"/>
        <v>#N/A</v>
      </c>
      <c r="X27" s="758"/>
      <c r="Y27" s="3044"/>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4"/>
      <c r="Q28" s="1899" t="str">
        <f t="shared" si="11"/>
        <v>物业等级</v>
      </c>
      <c r="R28" s="753" t="s">
        <v>25</v>
      </c>
      <c r="S28" s="754">
        <f t="shared" si="12"/>
        <v>100</v>
      </c>
      <c r="T28" s="753" t="s">
        <v>25</v>
      </c>
      <c r="U28" s="754">
        <f t="shared" si="13"/>
        <v>100</v>
      </c>
      <c r="V28" s="753" t="s">
        <v>25</v>
      </c>
      <c r="W28" s="754">
        <f t="shared" si="14"/>
        <v>100</v>
      </c>
      <c r="X28" s="1900"/>
      <c r="Y28" s="3044"/>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4"/>
      <c r="Q29" s="1899" t="str">
        <f t="shared" si="11"/>
        <v>有无电梯</v>
      </c>
      <c r="R29" s="753" t="s">
        <v>25</v>
      </c>
      <c r="S29" s="754">
        <f t="shared" si="12"/>
        <v>100</v>
      </c>
      <c r="T29" s="753" t="s">
        <v>25</v>
      </c>
      <c r="U29" s="754">
        <f t="shared" si="13"/>
        <v>100</v>
      </c>
      <c r="V29" s="753" t="s">
        <v>25</v>
      </c>
      <c r="W29" s="754">
        <f t="shared" si="14"/>
        <v>100</v>
      </c>
      <c r="X29" s="1900"/>
      <c r="Y29" s="3044"/>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4"/>
      <c r="Q30" s="1899" t="str">
        <f t="shared" si="11"/>
        <v>建筑面积</v>
      </c>
      <c r="R30" s="753" t="s">
        <v>25</v>
      </c>
      <c r="S30" s="754" t="e">
        <f t="shared" si="12"/>
        <v>#N/A</v>
      </c>
      <c r="T30" s="753" t="s">
        <v>25</v>
      </c>
      <c r="U30" s="754" t="e">
        <f t="shared" si="13"/>
        <v>#N/A</v>
      </c>
      <c r="V30" s="753" t="s">
        <v>25</v>
      </c>
      <c r="W30" s="754" t="e">
        <f t="shared" si="14"/>
        <v>#N/A</v>
      </c>
      <c r="X30" s="1900"/>
      <c r="Y30" s="3044"/>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4"/>
      <c r="Q31" s="1887" t="str">
        <f t="shared" si="11"/>
        <v>是否封闭</v>
      </c>
      <c r="R31" s="749" t="s">
        <v>25</v>
      </c>
      <c r="S31" s="750">
        <f t="shared" si="12"/>
        <v>100</v>
      </c>
      <c r="T31" s="749" t="s">
        <v>25</v>
      </c>
      <c r="U31" s="750">
        <f t="shared" si="13"/>
        <v>100</v>
      </c>
      <c r="V31" s="749" t="s">
        <v>25</v>
      </c>
      <c r="W31" s="750">
        <f t="shared" si="14"/>
        <v>100</v>
      </c>
      <c r="X31" s="751"/>
      <c r="Y31" s="3044"/>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4" t="s">
        <v>2371</v>
      </c>
      <c r="Q32" s="1899">
        <f t="shared" si="11"/>
        <v>111</v>
      </c>
      <c r="R32" s="753" t="s">
        <v>25</v>
      </c>
      <c r="S32" s="754">
        <f t="shared" si="12"/>
        <v>100</v>
      </c>
      <c r="T32" s="753" t="s">
        <v>25</v>
      </c>
      <c r="U32" s="754">
        <f t="shared" si="13"/>
        <v>100</v>
      </c>
      <c r="V32" s="753" t="s">
        <v>25</v>
      </c>
      <c r="W32" s="754">
        <f t="shared" si="14"/>
        <v>100</v>
      </c>
      <c r="X32" s="1900"/>
      <c r="Y32" s="3044" t="s">
        <v>2371</v>
      </c>
      <c r="Z32" s="1902">
        <f t="shared" si="15"/>
        <v>111</v>
      </c>
      <c r="AA32" s="1903">
        <f t="shared" si="3"/>
        <v>1</v>
      </c>
      <c r="AB32" s="1903">
        <f t="shared" si="4"/>
        <v>1</v>
      </c>
      <c r="AC32" s="1903">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4"/>
      <c r="Q33" s="1899">
        <f t="shared" si="11"/>
        <v>111</v>
      </c>
      <c r="R33" s="753" t="s">
        <v>25</v>
      </c>
      <c r="S33" s="754">
        <f t="shared" si="12"/>
        <v>100</v>
      </c>
      <c r="T33" s="753" t="s">
        <v>25</v>
      </c>
      <c r="U33" s="754">
        <f t="shared" si="13"/>
        <v>100</v>
      </c>
      <c r="V33" s="753" t="s">
        <v>25</v>
      </c>
      <c r="W33" s="754">
        <f t="shared" si="14"/>
        <v>100</v>
      </c>
      <c r="X33" s="1900"/>
      <c r="Y33" s="3044"/>
      <c r="Z33" s="1902">
        <f t="shared" si="15"/>
        <v>111</v>
      </c>
      <c r="AA33" s="1903">
        <f t="shared" si="3"/>
        <v>1</v>
      </c>
      <c r="AB33" s="1903">
        <f t="shared" si="4"/>
        <v>1</v>
      </c>
      <c r="AC33" s="1903">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44"/>
      <c r="Q34" s="1899">
        <f t="shared" si="11"/>
        <v>111</v>
      </c>
      <c r="R34" s="753" t="s">
        <v>25</v>
      </c>
      <c r="S34" s="754">
        <f t="shared" si="12"/>
        <v>100</v>
      </c>
      <c r="T34" s="753" t="s">
        <v>25</v>
      </c>
      <c r="U34" s="754">
        <f t="shared" si="13"/>
        <v>100</v>
      </c>
      <c r="V34" s="753" t="s">
        <v>25</v>
      </c>
      <c r="W34" s="754">
        <f t="shared" si="14"/>
        <v>100</v>
      </c>
      <c r="X34" s="1900"/>
      <c r="Y34" s="3044"/>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50" t="str">
        <f>A35</f>
        <v>成交单价（元/平方米）</v>
      </c>
      <c r="Q35" s="3050"/>
      <c r="R35" s="3051">
        <f>E35</f>
        <v>0</v>
      </c>
      <c r="S35" s="3051"/>
      <c r="T35" s="3051">
        <f>G35</f>
        <v>0</v>
      </c>
      <c r="U35" s="3051"/>
      <c r="V35" s="3051">
        <f>I35</f>
        <v>0</v>
      </c>
      <c r="W35" s="3051"/>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50" t="str">
        <f>A36</f>
        <v>比较价值（元/平方米）</v>
      </c>
      <c r="Q36" s="3050"/>
      <c r="R36" s="3051" t="e">
        <f>IF(E1="售价",ROUND(PRODUCT(R35,AA7:AA34),0),ROUND(PRODUCT(R35,AA7:AA34),1))</f>
        <v>#DIV/0!</v>
      </c>
      <c r="S36" s="3051"/>
      <c r="T36" s="3051" t="e">
        <f>IF(E1="售价",ROUND(PRODUCT(T35,AB7:AB34),0),ROUND(PRODUCT(T35,AB7:AB34),1))</f>
        <v>#DIV/0!</v>
      </c>
      <c r="U36" s="3051"/>
      <c r="V36" s="3051" t="e">
        <f>IF(E1="售价",ROUND(PRODUCT(V35,AC7:AC34),0),ROUND(PRODUCT(V35,AC7:AC34),1))</f>
        <v>#DIV/0!</v>
      </c>
      <c r="W36" s="3051"/>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56" t="str">
        <f>A37</f>
        <v>估价对象XX用房的比较价值（楼面单价，元/平方米）</v>
      </c>
      <c r="Q37" s="3057"/>
      <c r="R37" s="3058" t="e">
        <f>IF(E1="售价",ROUND(AVERAGE(R36:V36),0),ROUND(AVERAGE(R36:V36),1))</f>
        <v>#DIV/0!</v>
      </c>
      <c r="S37" s="3058"/>
      <c r="T37" s="3058"/>
      <c r="U37" s="3058"/>
      <c r="V37" s="3058"/>
      <c r="W37" s="3058"/>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2018-5</v>
      </c>
      <c r="D46" s="1679">
        <f>EDATE(C46,-1)</f>
        <v>43191</v>
      </c>
      <c r="E46" s="1679">
        <f t="shared" ref="E46:O46" si="16">EDATE(D46,-1)</f>
        <v>43160</v>
      </c>
      <c r="F46" s="1679">
        <f t="shared" si="16"/>
        <v>43132</v>
      </c>
      <c r="G46" s="1679">
        <f t="shared" si="16"/>
        <v>43101</v>
      </c>
      <c r="H46" s="1679">
        <f t="shared" si="16"/>
        <v>43070</v>
      </c>
      <c r="I46" s="1679">
        <f t="shared" si="16"/>
        <v>43040</v>
      </c>
      <c r="J46" s="1679">
        <f t="shared" si="16"/>
        <v>43009</v>
      </c>
      <c r="K46" s="1679">
        <f t="shared" si="16"/>
        <v>42979</v>
      </c>
      <c r="L46" s="1679">
        <f t="shared" si="16"/>
        <v>42948</v>
      </c>
      <c r="M46" s="1679">
        <f t="shared" si="16"/>
        <v>42917</v>
      </c>
      <c r="N46" s="1679">
        <f t="shared" si="16"/>
        <v>42887</v>
      </c>
      <c r="O46" s="1679">
        <f t="shared" si="16"/>
        <v>42856</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14" t="s">
        <v>2341</v>
      </c>
      <c r="D4" s="3015"/>
      <c r="E4" s="3016" t="s">
        <v>2342</v>
      </c>
      <c r="F4" s="3017"/>
      <c r="G4" s="3014" t="s">
        <v>2343</v>
      </c>
      <c r="H4" s="3015"/>
      <c r="I4" s="3014" t="s">
        <v>2344</v>
      </c>
      <c r="J4" s="3015"/>
      <c r="K4" s="594" t="s">
        <v>2345</v>
      </c>
      <c r="L4" s="1243"/>
      <c r="M4" s="1244"/>
      <c r="N4" s="1244"/>
      <c r="O4" s="1244"/>
      <c r="P4" s="3018" t="s">
        <v>2346</v>
      </c>
      <c r="Q4" s="3019"/>
      <c r="R4" s="3024" t="s">
        <v>2342</v>
      </c>
      <c r="S4" s="3025"/>
      <c r="T4" s="3024" t="s">
        <v>2343</v>
      </c>
      <c r="U4" s="3025"/>
      <c r="V4" s="3030" t="s">
        <v>2344</v>
      </c>
      <c r="W4" s="3030"/>
      <c r="X4" s="1900"/>
      <c r="Y4" s="3024" t="s">
        <v>2346</v>
      </c>
      <c r="Z4" s="3025"/>
      <c r="AA4" s="3011" t="s">
        <v>2342</v>
      </c>
      <c r="AB4" s="3012" t="s">
        <v>2343</v>
      </c>
      <c r="AC4" s="3011" t="s">
        <v>2344</v>
      </c>
    </row>
    <row r="5" spans="1:30" ht="15">
      <c r="A5" s="383"/>
      <c r="B5" s="384"/>
      <c r="C5" s="3059" t="s">
        <v>2347</v>
      </c>
      <c r="D5" s="3060"/>
      <c r="E5" s="3061" t="s">
        <v>2348</v>
      </c>
      <c r="F5" s="3062"/>
      <c r="G5" s="3059" t="s">
        <v>2349</v>
      </c>
      <c r="H5" s="3060"/>
      <c r="I5" s="3059" t="s">
        <v>2350</v>
      </c>
      <c r="J5" s="3060"/>
      <c r="K5" s="594"/>
      <c r="L5" s="1243"/>
      <c r="M5" s="1244"/>
      <c r="N5" s="1244"/>
      <c r="O5" s="1244"/>
      <c r="P5" s="3020"/>
      <c r="Q5" s="3021"/>
      <c r="R5" s="3026"/>
      <c r="S5" s="3027"/>
      <c r="T5" s="3026"/>
      <c r="U5" s="3027"/>
      <c r="V5" s="3030"/>
      <c r="W5" s="3030"/>
      <c r="X5" s="1900"/>
      <c r="Y5" s="3026"/>
      <c r="Z5" s="3027"/>
      <c r="AA5" s="3012"/>
      <c r="AB5" s="3012"/>
      <c r="AC5" s="3012"/>
    </row>
    <row r="6" spans="1:30" ht="15.75" thickBot="1">
      <c r="A6" s="385"/>
      <c r="B6" s="386"/>
      <c r="C6" s="3035" t="s">
        <v>2351</v>
      </c>
      <c r="D6" s="3036"/>
      <c r="E6" s="3037" t="s">
        <v>2351</v>
      </c>
      <c r="F6" s="3038"/>
      <c r="G6" s="3035" t="s">
        <v>2351</v>
      </c>
      <c r="H6" s="3036"/>
      <c r="I6" s="3035" t="s">
        <v>2351</v>
      </c>
      <c r="J6" s="3036"/>
      <c r="K6" s="594" t="s">
        <v>2352</v>
      </c>
      <c r="L6" s="1243"/>
      <c r="M6" s="1244"/>
      <c r="N6" s="1244"/>
      <c r="O6" s="1244"/>
      <c r="P6" s="3022"/>
      <c r="Q6" s="3023"/>
      <c r="R6" s="3026"/>
      <c r="S6" s="3027"/>
      <c r="T6" s="3028"/>
      <c r="U6" s="3029"/>
      <c r="V6" s="3030"/>
      <c r="W6" s="3030"/>
      <c r="X6" s="1900"/>
      <c r="Y6" s="3028"/>
      <c r="Z6" s="3029"/>
      <c r="AA6" s="3013"/>
      <c r="AB6" s="3013"/>
      <c r="AC6" s="3013"/>
    </row>
    <row r="7" spans="1:30" s="35" customFormat="1" ht="15.75" thickBot="1">
      <c r="A7" s="387" t="s">
        <v>2353</v>
      </c>
      <c r="B7" s="388"/>
      <c r="C7" s="389">
        <f>'数据-取费表'!B2</f>
        <v>43242</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46" t="s">
        <v>2354</v>
      </c>
      <c r="Q7" s="3048"/>
      <c r="R7" s="749" t="s">
        <v>25</v>
      </c>
      <c r="S7" s="750">
        <f t="shared" ref="S7:S15" si="0">F7</f>
        <v>0</v>
      </c>
      <c r="T7" s="749" t="s">
        <v>25</v>
      </c>
      <c r="U7" s="750">
        <f t="shared" ref="U7:U15" si="1">H7</f>
        <v>0</v>
      </c>
      <c r="V7" s="749" t="s">
        <v>25</v>
      </c>
      <c r="W7" s="750">
        <f t="shared" ref="W7:W15" si="2">J7</f>
        <v>0</v>
      </c>
      <c r="X7" s="751"/>
      <c r="Y7" s="3046" t="s">
        <v>2354</v>
      </c>
      <c r="Z7" s="3047"/>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6" t="s">
        <v>2357</v>
      </c>
      <c r="Q8" s="3047"/>
      <c r="R8" s="749" t="s">
        <v>25</v>
      </c>
      <c r="S8" s="750">
        <f t="shared" si="0"/>
        <v>0</v>
      </c>
      <c r="T8" s="749" t="s">
        <v>25</v>
      </c>
      <c r="U8" s="750">
        <f t="shared" si="1"/>
        <v>0</v>
      </c>
      <c r="V8" s="749" t="s">
        <v>25</v>
      </c>
      <c r="W8" s="750">
        <f t="shared" si="2"/>
        <v>0</v>
      </c>
      <c r="X8" s="751"/>
      <c r="Y8" s="3046" t="s">
        <v>2357</v>
      </c>
      <c r="Z8" s="3047"/>
      <c r="AA8" s="752" t="e">
        <f t="shared" ref="AA8:AA45" si="3">D8/F8</f>
        <v>#DIV/0!</v>
      </c>
      <c r="AB8" s="752" t="e">
        <f t="shared" ref="AB8:AB45" si="4">D8/H8</f>
        <v>#DIV/0!</v>
      </c>
      <c r="AC8" s="752" t="e">
        <f t="shared" ref="AC8:AC45" si="5">D8/J8</f>
        <v>#DIV/0!</v>
      </c>
    </row>
    <row r="9" spans="1:30" s="35" customFormat="1">
      <c r="A9" s="395" t="s">
        <v>2358</v>
      </c>
      <c r="B9" s="28" t="s">
        <v>2359</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50" t="s">
        <v>2360</v>
      </c>
      <c r="Q9" s="1887" t="str">
        <f t="shared" ref="Q9:Q15" si="6">B9</f>
        <v>用途</v>
      </c>
      <c r="R9" s="749" t="s">
        <v>25</v>
      </c>
      <c r="S9" s="750">
        <f t="shared" si="0"/>
        <v>100</v>
      </c>
      <c r="T9" s="749" t="s">
        <v>25</v>
      </c>
      <c r="U9" s="750">
        <f t="shared" si="1"/>
        <v>100</v>
      </c>
      <c r="V9" s="749" t="s">
        <v>25</v>
      </c>
      <c r="W9" s="750">
        <f t="shared" si="2"/>
        <v>100</v>
      </c>
      <c r="X9" s="751"/>
      <c r="Y9" s="2862"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114</v>
      </c>
      <c r="G10" s="444"/>
      <c r="H10" s="52">
        <f>ROUND(100/'数据-取费表'!B14,0)</f>
        <v>114</v>
      </c>
      <c r="I10" s="444"/>
      <c r="J10" s="52">
        <f>ROUND(100/'数据-取费表'!B14,0)</f>
        <v>114</v>
      </c>
      <c r="K10" s="655"/>
      <c r="L10" s="1248"/>
      <c r="M10" s="1249"/>
      <c r="N10" s="1249"/>
      <c r="O10" s="1250"/>
      <c r="P10" s="3050"/>
      <c r="Q10" s="1887" t="str">
        <f t="shared" si="6"/>
        <v>土地使用年限（年）</v>
      </c>
      <c r="R10" s="749" t="s">
        <v>25</v>
      </c>
      <c r="S10" s="750">
        <f t="shared" si="0"/>
        <v>114</v>
      </c>
      <c r="T10" s="749" t="s">
        <v>25</v>
      </c>
      <c r="U10" s="750">
        <f t="shared" si="1"/>
        <v>114</v>
      </c>
      <c r="V10" s="749" t="s">
        <v>25</v>
      </c>
      <c r="W10" s="750">
        <f t="shared" si="2"/>
        <v>114</v>
      </c>
      <c r="X10" s="751"/>
      <c r="Y10" s="2862"/>
      <c r="Z10" s="23" t="str">
        <f t="shared" si="7"/>
        <v>土地使用年限（年）</v>
      </c>
      <c r="AA10" s="752">
        <f t="shared" si="3"/>
        <v>0.8771929824561403</v>
      </c>
      <c r="AB10" s="752">
        <f t="shared" si="4"/>
        <v>0.8771929824561403</v>
      </c>
      <c r="AC10" s="752">
        <f t="shared" si="5"/>
        <v>0.8771929824561403</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50"/>
      <c r="Q11" s="1887" t="str">
        <f t="shared" si="6"/>
        <v>容积率</v>
      </c>
      <c r="R11" s="749" t="s">
        <v>25</v>
      </c>
      <c r="S11" s="750" t="e">
        <f t="shared" si="0"/>
        <v>#N/A</v>
      </c>
      <c r="T11" s="749" t="s">
        <v>25</v>
      </c>
      <c r="U11" s="750" t="e">
        <f t="shared" si="1"/>
        <v>#N/A</v>
      </c>
      <c r="V11" s="749" t="s">
        <v>25</v>
      </c>
      <c r="W11" s="750" t="e">
        <f t="shared" si="2"/>
        <v>#N/A</v>
      </c>
      <c r="X11" s="751"/>
      <c r="Y11" s="2862"/>
      <c r="Z11" s="23" t="str">
        <f t="shared" si="7"/>
        <v>容积率</v>
      </c>
      <c r="AA11" s="752" t="e">
        <f t="shared" si="3"/>
        <v>#N/A</v>
      </c>
      <c r="AB11" s="752" t="e">
        <f t="shared" si="4"/>
        <v>#N/A</v>
      </c>
      <c r="AC11" s="752" t="e">
        <f t="shared" si="5"/>
        <v>#N/A</v>
      </c>
    </row>
    <row r="12" spans="1:30" s="35" customFormat="1" ht="15">
      <c r="A12" s="411"/>
      <c r="B12" s="2399"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50"/>
      <c r="Q12" s="1887" t="str">
        <f t="shared" si="6"/>
        <v>配建</v>
      </c>
      <c r="R12" s="749" t="s">
        <v>25</v>
      </c>
      <c r="S12" s="750">
        <f t="shared" si="0"/>
        <v>100</v>
      </c>
      <c r="T12" s="749" t="s">
        <v>25</v>
      </c>
      <c r="U12" s="750">
        <f t="shared" si="1"/>
        <v>100</v>
      </c>
      <c r="V12" s="749" t="s">
        <v>25</v>
      </c>
      <c r="W12" s="750">
        <f t="shared" si="2"/>
        <v>100</v>
      </c>
      <c r="X12" s="751"/>
      <c r="Y12" s="2862"/>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50"/>
      <c r="Q13" s="1887">
        <f t="shared" si="6"/>
        <v>111</v>
      </c>
      <c r="R13" s="749" t="s">
        <v>25</v>
      </c>
      <c r="S13" s="750">
        <f t="shared" si="0"/>
        <v>100</v>
      </c>
      <c r="T13" s="749" t="s">
        <v>25</v>
      </c>
      <c r="U13" s="750">
        <f t="shared" si="1"/>
        <v>100</v>
      </c>
      <c r="V13" s="749" t="s">
        <v>25</v>
      </c>
      <c r="W13" s="750">
        <f t="shared" si="2"/>
        <v>100</v>
      </c>
      <c r="X13" s="751"/>
      <c r="Y13" s="2862"/>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50"/>
      <c r="Q14" s="1887">
        <f t="shared" si="6"/>
        <v>111</v>
      </c>
      <c r="R14" s="749" t="s">
        <v>25</v>
      </c>
      <c r="S14" s="750">
        <f t="shared" si="0"/>
        <v>100</v>
      </c>
      <c r="T14" s="749" t="s">
        <v>25</v>
      </c>
      <c r="U14" s="750">
        <f t="shared" si="1"/>
        <v>100</v>
      </c>
      <c r="V14" s="749" t="s">
        <v>25</v>
      </c>
      <c r="W14" s="750">
        <f t="shared" si="2"/>
        <v>100</v>
      </c>
      <c r="X14" s="751"/>
      <c r="Y14" s="2862"/>
      <c r="Z14" s="23">
        <f t="shared" si="7"/>
        <v>111</v>
      </c>
      <c r="AA14" s="752">
        <f>D14/F14</f>
        <v>1</v>
      </c>
      <c r="AB14" s="752">
        <f>D14/H14</f>
        <v>1</v>
      </c>
      <c r="AC14" s="752">
        <f>D14/J14</f>
        <v>1</v>
      </c>
    </row>
    <row r="15" spans="1:30" ht="128.25">
      <c r="A15" s="380" t="s">
        <v>2364</v>
      </c>
      <c r="B15" s="1487" t="s">
        <v>1741</v>
      </c>
      <c r="C15" s="2467" t="str">
        <f>估价对象房地状况!C15</f>
        <v>估价对象周边有府前东街、金台园小区、南华园村、东关家园等居住小区，小区规模和社区发展完善程度一般，综合评价居住社区成熟度一般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9" t="s">
        <v>2365</v>
      </c>
      <c r="Q15" s="1899" t="str">
        <f t="shared" si="6"/>
        <v>居住社区成熟度</v>
      </c>
      <c r="R15" s="753" t="s">
        <v>25</v>
      </c>
      <c r="S15" s="754">
        <f t="shared" si="0"/>
        <v>100</v>
      </c>
      <c r="T15" s="753" t="s">
        <v>25</v>
      </c>
      <c r="U15" s="754">
        <f t="shared" si="1"/>
        <v>100</v>
      </c>
      <c r="V15" s="753" t="s">
        <v>25</v>
      </c>
      <c r="W15" s="754">
        <f t="shared" si="2"/>
        <v>100</v>
      </c>
      <c r="X15" s="1900"/>
      <c r="Y15" s="3039"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4"/>
      <c r="J16" s="427"/>
      <c r="K16" s="655"/>
      <c r="L16" s="1253"/>
      <c r="M16" s="1244"/>
      <c r="N16" s="1244"/>
      <c r="O16" s="1252"/>
      <c r="P16" s="3040"/>
      <c r="Q16" s="1899"/>
      <c r="R16" s="753"/>
      <c r="S16" s="754"/>
      <c r="T16" s="753"/>
      <c r="U16" s="754"/>
      <c r="V16" s="753"/>
      <c r="W16" s="754"/>
      <c r="X16" s="1900"/>
      <c r="Y16" s="3040"/>
      <c r="Z16" s="1902"/>
      <c r="AA16" s="1903">
        <v>1</v>
      </c>
      <c r="AB16" s="1903">
        <v>1</v>
      </c>
      <c r="AC16" s="1903">
        <v>1</v>
      </c>
    </row>
    <row r="17" spans="1:29" ht="15">
      <c r="A17" s="383"/>
      <c r="B17" s="1489" t="s">
        <v>2450</v>
      </c>
      <c r="C17" s="2485">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40"/>
      <c r="Q17" s="1899" t="str">
        <f>B17</f>
        <v>商业繁华度</v>
      </c>
      <c r="R17" s="753" t="s">
        <v>25</v>
      </c>
      <c r="S17" s="754">
        <f>F17</f>
        <v>100</v>
      </c>
      <c r="T17" s="753" t="s">
        <v>25</v>
      </c>
      <c r="U17" s="754">
        <f>H17</f>
        <v>100</v>
      </c>
      <c r="V17" s="753" t="s">
        <v>25</v>
      </c>
      <c r="W17" s="754">
        <f>J17</f>
        <v>100</v>
      </c>
      <c r="X17" s="1900"/>
      <c r="Y17" s="3040"/>
      <c r="Z17" s="1902" t="str">
        <f>Q17</f>
        <v>商业繁华度</v>
      </c>
      <c r="AA17" s="1903">
        <f t="shared" si="3"/>
        <v>1</v>
      </c>
      <c r="AB17" s="1903">
        <f t="shared" si="4"/>
        <v>1</v>
      </c>
      <c r="AC17" s="1903">
        <f t="shared" si="5"/>
        <v>1</v>
      </c>
    </row>
    <row r="18" spans="1:29" ht="15">
      <c r="A18" s="383"/>
      <c r="B18" s="1490"/>
      <c r="C18" s="2469"/>
      <c r="D18" s="430"/>
      <c r="E18" s="1468"/>
      <c r="F18" s="430"/>
      <c r="G18" s="1468"/>
      <c r="H18" s="427"/>
      <c r="I18" s="2407"/>
      <c r="J18" s="427"/>
      <c r="K18" s="655"/>
      <c r="L18" s="1253"/>
      <c r="M18" s="1244"/>
      <c r="N18" s="1244"/>
      <c r="O18" s="1252"/>
      <c r="P18" s="3040"/>
      <c r="Q18" s="1899"/>
      <c r="R18" s="753"/>
      <c r="S18" s="754"/>
      <c r="T18" s="753"/>
      <c r="U18" s="754"/>
      <c r="V18" s="753"/>
      <c r="W18" s="754"/>
      <c r="X18" s="1900"/>
      <c r="Y18" s="3040"/>
      <c r="Z18" s="1902"/>
      <c r="AA18" s="1903">
        <v>1</v>
      </c>
      <c r="AB18" s="1903">
        <v>1</v>
      </c>
      <c r="AC18" s="1903">
        <v>1</v>
      </c>
    </row>
    <row r="19" spans="1:29" ht="15">
      <c r="A19" s="383"/>
      <c r="B19" s="1489" t="s">
        <v>2479</v>
      </c>
      <c r="C19" s="2485">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40"/>
      <c r="Q19" s="1899" t="str">
        <f>B19</f>
        <v>办公集聚程度</v>
      </c>
      <c r="R19" s="753" t="s">
        <v>25</v>
      </c>
      <c r="S19" s="754">
        <f>F19</f>
        <v>100</v>
      </c>
      <c r="T19" s="753" t="s">
        <v>25</v>
      </c>
      <c r="U19" s="754">
        <f>H19</f>
        <v>100</v>
      </c>
      <c r="V19" s="753" t="s">
        <v>25</v>
      </c>
      <c r="W19" s="754">
        <f>J19</f>
        <v>100</v>
      </c>
      <c r="X19" s="1900"/>
      <c r="Y19" s="3040"/>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4"/>
      <c r="J20" s="427"/>
      <c r="K20" s="655"/>
      <c r="L20" s="1253"/>
      <c r="M20" s="1244"/>
      <c r="N20" s="1244"/>
      <c r="O20" s="1252"/>
      <c r="P20" s="3040"/>
      <c r="Q20" s="1899"/>
      <c r="R20" s="753"/>
      <c r="S20" s="754"/>
      <c r="T20" s="753"/>
      <c r="U20" s="754"/>
      <c r="V20" s="753"/>
      <c r="W20" s="754"/>
      <c r="X20" s="1900"/>
      <c r="Y20" s="3040"/>
      <c r="Z20" s="1902"/>
      <c r="AA20" s="1903">
        <v>1</v>
      </c>
      <c r="AB20" s="1903">
        <v>1</v>
      </c>
      <c r="AC20" s="1903">
        <v>1</v>
      </c>
    </row>
    <row r="21" spans="1:29" ht="114">
      <c r="A21" s="383"/>
      <c r="B21" s="1489" t="s">
        <v>2508</v>
      </c>
      <c r="C21" s="2468" t="str">
        <f>估价对象房地状况!C18</f>
        <v>估价对象紧邻城市支路——下园一条，周边无地铁、有868路、916路、h58路、h59路公交线路等，综合评价交通便捷度一般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40"/>
      <c r="Q21" s="1899" t="str">
        <f>B21</f>
        <v>交通便捷度</v>
      </c>
      <c r="R21" s="753" t="s">
        <v>25</v>
      </c>
      <c r="S21" s="754">
        <f>F21</f>
        <v>100</v>
      </c>
      <c r="T21" s="753" t="s">
        <v>25</v>
      </c>
      <c r="U21" s="754">
        <f>H21</f>
        <v>100</v>
      </c>
      <c r="V21" s="753" t="s">
        <v>25</v>
      </c>
      <c r="W21" s="754">
        <f>J21</f>
        <v>100</v>
      </c>
      <c r="X21" s="1900"/>
      <c r="Y21" s="3040"/>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4"/>
      <c r="J22" s="427"/>
      <c r="K22" s="655"/>
      <c r="L22" s="1253"/>
      <c r="M22" s="1244"/>
      <c r="N22" s="1244"/>
      <c r="O22" s="1252"/>
      <c r="P22" s="3040"/>
      <c r="Q22" s="1899"/>
      <c r="R22" s="753"/>
      <c r="S22" s="754"/>
      <c r="T22" s="753"/>
      <c r="U22" s="754"/>
      <c r="V22" s="753"/>
      <c r="W22" s="754"/>
      <c r="X22" s="1900"/>
      <c r="Y22" s="3040"/>
      <c r="Z22" s="1902"/>
      <c r="AA22" s="1903">
        <v>1</v>
      </c>
      <c r="AB22" s="1903">
        <v>1</v>
      </c>
      <c r="AC22" s="1903">
        <v>1</v>
      </c>
    </row>
    <row r="23" spans="1:29" ht="15">
      <c r="A23" s="383"/>
      <c r="B23" s="1492" t="s">
        <v>2548</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40"/>
      <c r="Q23" s="1899" t="str">
        <f t="shared" ref="Q23:Q37" si="8">B23</f>
        <v>区域土地利用方向</v>
      </c>
      <c r="R23" s="753" t="s">
        <v>25</v>
      </c>
      <c r="S23" s="754">
        <f>F23</f>
        <v>100</v>
      </c>
      <c r="T23" s="753" t="s">
        <v>25</v>
      </c>
      <c r="U23" s="754">
        <f>H23</f>
        <v>100</v>
      </c>
      <c r="V23" s="753" t="s">
        <v>25</v>
      </c>
      <c r="W23" s="754">
        <f>J23</f>
        <v>100</v>
      </c>
      <c r="X23" s="1900"/>
      <c r="Y23" s="3040"/>
      <c r="Z23" s="1902" t="str">
        <f>Q23</f>
        <v>区域土地利用方向</v>
      </c>
      <c r="AA23" s="1903">
        <f t="shared" si="3"/>
        <v>1</v>
      </c>
      <c r="AB23" s="1903">
        <f t="shared" si="4"/>
        <v>1</v>
      </c>
      <c r="AC23" s="1903">
        <f t="shared" si="5"/>
        <v>1</v>
      </c>
    </row>
    <row r="24" spans="1:29" ht="15">
      <c r="A24" s="383"/>
      <c r="B24" s="1493"/>
      <c r="C24" s="618"/>
      <c r="D24" s="427"/>
      <c r="E24" s="428"/>
      <c r="F24" s="427"/>
      <c r="G24" s="2404"/>
      <c r="H24" s="427"/>
      <c r="I24" s="2404"/>
      <c r="J24" s="427"/>
      <c r="K24" s="804"/>
      <c r="L24" s="1253"/>
      <c r="M24" s="1244"/>
      <c r="N24" s="1244"/>
      <c r="O24" s="1252"/>
      <c r="P24" s="3040"/>
      <c r="Q24" s="1899"/>
      <c r="R24" s="753"/>
      <c r="S24" s="754"/>
      <c r="T24" s="753"/>
      <c r="U24" s="754"/>
      <c r="V24" s="753"/>
      <c r="W24" s="754"/>
      <c r="X24" s="1900"/>
      <c r="Y24" s="3040"/>
      <c r="Z24" s="1902"/>
      <c r="AA24" s="1903"/>
      <c r="AB24" s="1903"/>
      <c r="AC24" s="1903"/>
    </row>
    <row r="25" spans="1:29" ht="99.75">
      <c r="A25" s="383"/>
      <c r="B25" s="1491" t="s">
        <v>2549</v>
      </c>
      <c r="C25" s="2485" t="str">
        <f>估价对象房地状况!C20</f>
        <v>自然环境：普法公园、迎宾公园、怀柔水库等；人文环境：怀柔区博物馆等，综合评价环境状况一般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40"/>
      <c r="Q25" s="1899" t="str">
        <f t="shared" si="8"/>
        <v>自然及人文环境状况</v>
      </c>
      <c r="R25" s="753" t="s">
        <v>25</v>
      </c>
      <c r="S25" s="754">
        <f>F25</f>
        <v>100</v>
      </c>
      <c r="T25" s="753" t="s">
        <v>25</v>
      </c>
      <c r="U25" s="754">
        <f>H25</f>
        <v>100</v>
      </c>
      <c r="V25" s="753" t="s">
        <v>25</v>
      </c>
      <c r="W25" s="754">
        <f>J25</f>
        <v>100</v>
      </c>
      <c r="X25" s="1900"/>
      <c r="Y25" s="3040"/>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40"/>
      <c r="Q26" s="1899"/>
      <c r="R26" s="753"/>
      <c r="S26" s="754"/>
      <c r="T26" s="753"/>
      <c r="U26" s="754"/>
      <c r="V26" s="753"/>
      <c r="W26" s="754"/>
      <c r="X26" s="1900"/>
      <c r="Y26" s="3040"/>
      <c r="Z26" s="1902"/>
      <c r="AA26" s="1903">
        <v>1</v>
      </c>
      <c r="AB26" s="1903">
        <v>1</v>
      </c>
      <c r="AC26" s="1903">
        <v>1</v>
      </c>
    </row>
    <row r="27" spans="1:29" ht="42.75">
      <c r="A27" s="383"/>
      <c r="B27" s="1491" t="s">
        <v>2451</v>
      </c>
      <c r="C27" s="2468" t="str">
        <f>估价对象房地状况!C21</f>
        <v>估价对象所在区域公共配套设施齐备情况一般</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40"/>
      <c r="Q27" s="1887" t="str">
        <f t="shared" ref="Q27" si="9">B27</f>
        <v>公共配套设施</v>
      </c>
      <c r="R27" s="749" t="s">
        <v>25</v>
      </c>
      <c r="S27" s="750">
        <f>F27</f>
        <v>100</v>
      </c>
      <c r="T27" s="749" t="s">
        <v>25</v>
      </c>
      <c r="U27" s="750">
        <f>H27</f>
        <v>100</v>
      </c>
      <c r="V27" s="749" t="s">
        <v>25</v>
      </c>
      <c r="W27" s="750">
        <f>J27</f>
        <v>100</v>
      </c>
      <c r="X27" s="1900"/>
      <c r="Y27" s="3040"/>
      <c r="Z27" s="23" t="str">
        <f>Q27</f>
        <v>公共配套设施</v>
      </c>
      <c r="AA27" s="1903">
        <f>D27/F27</f>
        <v>1</v>
      </c>
      <c r="AB27" s="1903">
        <f>D27/H27</f>
        <v>1</v>
      </c>
      <c r="AC27" s="1903">
        <f>D27/J27</f>
        <v>1</v>
      </c>
    </row>
    <row r="28" spans="1:29" ht="15">
      <c r="A28" s="383"/>
      <c r="B28" s="1490"/>
      <c r="C28" s="2487"/>
      <c r="D28" s="427"/>
      <c r="E28" s="2487"/>
      <c r="F28" s="427"/>
      <c r="G28" s="2487"/>
      <c r="H28" s="427"/>
      <c r="I28" s="2487"/>
      <c r="J28" s="427"/>
      <c r="K28" s="655"/>
      <c r="L28" s="1253"/>
      <c r="M28" s="1244"/>
      <c r="N28" s="1244"/>
      <c r="O28" s="1252"/>
      <c r="P28" s="3040"/>
      <c r="Q28" s="1899"/>
      <c r="R28" s="753"/>
      <c r="S28" s="754"/>
      <c r="T28" s="753"/>
      <c r="U28" s="754"/>
      <c r="V28" s="753"/>
      <c r="W28" s="754"/>
      <c r="X28" s="1900"/>
      <c r="Y28" s="3040"/>
      <c r="Z28" s="23"/>
      <c r="AA28" s="1903">
        <v>1</v>
      </c>
      <c r="AB28" s="1903">
        <v>1</v>
      </c>
      <c r="AC28" s="1903">
        <v>1</v>
      </c>
    </row>
    <row r="29" spans="1:29" s="35" customFormat="1" ht="42.75">
      <c r="A29" s="633"/>
      <c r="B29" s="1491" t="s">
        <v>2452</v>
      </c>
      <c r="C29" s="2488"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40"/>
      <c r="Q29" s="1887" t="str">
        <f t="shared" si="8"/>
        <v>基础设施水平</v>
      </c>
      <c r="R29" s="749" t="s">
        <v>25</v>
      </c>
      <c r="S29" s="750">
        <f>F29</f>
        <v>100</v>
      </c>
      <c r="T29" s="749" t="s">
        <v>25</v>
      </c>
      <c r="U29" s="750">
        <f>H29</f>
        <v>100</v>
      </c>
      <c r="V29" s="749" t="s">
        <v>25</v>
      </c>
      <c r="W29" s="750">
        <f>J29</f>
        <v>100</v>
      </c>
      <c r="X29" s="751"/>
      <c r="Y29" s="3040"/>
      <c r="Z29" s="23" t="str">
        <f>Q29</f>
        <v>基础设施水平</v>
      </c>
      <c r="AA29" s="1903">
        <f>D29/F29</f>
        <v>1</v>
      </c>
      <c r="AB29" s="1903">
        <f>D29/H29</f>
        <v>1</v>
      </c>
      <c r="AC29" s="1903">
        <f>D29/J29</f>
        <v>1</v>
      </c>
    </row>
    <row r="30" spans="1:29" s="35" customFormat="1" ht="15">
      <c r="A30" s="633"/>
      <c r="B30" s="1490"/>
      <c r="C30" s="2487"/>
      <c r="D30" s="427"/>
      <c r="E30" s="2487"/>
      <c r="F30" s="427"/>
      <c r="G30" s="2487"/>
      <c r="H30" s="427"/>
      <c r="I30" s="2487"/>
      <c r="J30" s="427"/>
      <c r="K30" s="655"/>
      <c r="L30" s="1245"/>
      <c r="M30" s="1246"/>
      <c r="N30" s="1246"/>
      <c r="O30" s="1247"/>
      <c r="P30" s="3040"/>
      <c r="Q30" s="1887"/>
      <c r="R30" s="749"/>
      <c r="S30" s="750"/>
      <c r="T30" s="749"/>
      <c r="U30" s="750"/>
      <c r="V30" s="749"/>
      <c r="W30" s="750"/>
      <c r="X30" s="751"/>
      <c r="Y30" s="3040"/>
      <c r="Z30" s="23"/>
      <c r="AA30" s="1903">
        <v>1</v>
      </c>
      <c r="AB30" s="1903">
        <v>1</v>
      </c>
      <c r="AC30" s="1903">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40"/>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40"/>
      <c r="Z31" s="1902" t="str">
        <f t="shared" ref="Z31:Z45" si="13">Q31</f>
        <v>临街状况</v>
      </c>
      <c r="AA31" s="1903">
        <f t="shared" si="3"/>
        <v>1</v>
      </c>
      <c r="AB31" s="1903">
        <f t="shared" si="4"/>
        <v>1</v>
      </c>
      <c r="AC31" s="1903">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40"/>
      <c r="Q32" s="1899" t="str">
        <f t="shared" si="8"/>
        <v>毗邻道路的类型与等级</v>
      </c>
      <c r="R32" s="753" t="s">
        <v>25</v>
      </c>
      <c r="S32" s="754">
        <f t="shared" si="10"/>
        <v>100</v>
      </c>
      <c r="T32" s="753" t="s">
        <v>25</v>
      </c>
      <c r="U32" s="754">
        <f t="shared" si="11"/>
        <v>100</v>
      </c>
      <c r="V32" s="753" t="s">
        <v>25</v>
      </c>
      <c r="W32" s="754">
        <f t="shared" si="12"/>
        <v>100</v>
      </c>
      <c r="X32" s="1900"/>
      <c r="Y32" s="3040"/>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40"/>
      <c r="Q33" s="1899"/>
      <c r="R33" s="753"/>
      <c r="S33" s="754"/>
      <c r="T33" s="753"/>
      <c r="U33" s="754"/>
      <c r="V33" s="753"/>
      <c r="W33" s="754"/>
      <c r="X33" s="1900"/>
      <c r="Y33" s="3040"/>
      <c r="Z33" s="1902"/>
      <c r="AA33" s="1903">
        <v>1</v>
      </c>
      <c r="AB33" s="1903">
        <v>1</v>
      </c>
      <c r="AC33" s="1903">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40"/>
      <c r="Q34" s="1899" t="str">
        <f t="shared" si="8"/>
        <v>土地级别</v>
      </c>
      <c r="R34" s="753" t="s">
        <v>25</v>
      </c>
      <c r="S34" s="754">
        <f t="shared" si="10"/>
        <v>100</v>
      </c>
      <c r="T34" s="753" t="s">
        <v>25</v>
      </c>
      <c r="U34" s="754">
        <f t="shared" si="11"/>
        <v>100</v>
      </c>
      <c r="V34" s="753" t="s">
        <v>25</v>
      </c>
      <c r="W34" s="754">
        <f t="shared" si="12"/>
        <v>100</v>
      </c>
      <c r="X34" s="1900"/>
      <c r="Y34" s="3040"/>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40"/>
      <c r="Q35" s="1899">
        <f t="shared" si="8"/>
        <v>111</v>
      </c>
      <c r="R35" s="753" t="s">
        <v>25</v>
      </c>
      <c r="S35" s="754">
        <f t="shared" si="10"/>
        <v>100</v>
      </c>
      <c r="T35" s="753" t="s">
        <v>25</v>
      </c>
      <c r="U35" s="754">
        <f t="shared" si="11"/>
        <v>100</v>
      </c>
      <c r="V35" s="753" t="s">
        <v>25</v>
      </c>
      <c r="W35" s="754">
        <f t="shared" si="12"/>
        <v>100</v>
      </c>
      <c r="X35" s="1900"/>
      <c r="Y35" s="3040"/>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70" t="s">
        <v>2371</v>
      </c>
      <c r="Q36" s="1899">
        <f t="shared" si="8"/>
        <v>111</v>
      </c>
      <c r="R36" s="753" t="s">
        <v>25</v>
      </c>
      <c r="S36" s="754">
        <f t="shared" si="10"/>
        <v>100</v>
      </c>
      <c r="T36" s="753" t="s">
        <v>25</v>
      </c>
      <c r="U36" s="754">
        <f t="shared" si="11"/>
        <v>100</v>
      </c>
      <c r="V36" s="753" t="s">
        <v>25</v>
      </c>
      <c r="W36" s="754">
        <f t="shared" si="12"/>
        <v>100</v>
      </c>
      <c r="X36" s="1900"/>
      <c r="Y36" s="3044"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4"/>
      <c r="Q37" s="1899">
        <f t="shared" si="8"/>
        <v>111</v>
      </c>
      <c r="R37" s="756" t="s">
        <v>25</v>
      </c>
      <c r="S37" s="757">
        <f t="shared" si="10"/>
        <v>100</v>
      </c>
      <c r="T37" s="756" t="s">
        <v>25</v>
      </c>
      <c r="U37" s="757">
        <f t="shared" si="11"/>
        <v>100</v>
      </c>
      <c r="V37" s="756" t="s">
        <v>25</v>
      </c>
      <c r="W37" s="757">
        <f t="shared" si="12"/>
        <v>100</v>
      </c>
      <c r="X37" s="758"/>
      <c r="Y37" s="3044"/>
      <c r="Z37" s="759">
        <f t="shared" si="13"/>
        <v>111</v>
      </c>
      <c r="AA37" s="1903">
        <f t="shared" si="3"/>
        <v>1</v>
      </c>
      <c r="AB37" s="1903">
        <f t="shared" si="4"/>
        <v>1</v>
      </c>
      <c r="AC37" s="1903">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4"/>
      <c r="Q38" s="1899" t="str">
        <f>B38</f>
        <v>宗地面积</v>
      </c>
      <c r="R38" s="753" t="s">
        <v>25</v>
      </c>
      <c r="S38" s="754" t="e">
        <f t="shared" si="10"/>
        <v>#N/A</v>
      </c>
      <c r="T38" s="753" t="s">
        <v>25</v>
      </c>
      <c r="U38" s="754" t="e">
        <f t="shared" si="11"/>
        <v>#N/A</v>
      </c>
      <c r="V38" s="753" t="s">
        <v>25</v>
      </c>
      <c r="W38" s="754" t="e">
        <f t="shared" si="12"/>
        <v>#N/A</v>
      </c>
      <c r="X38" s="1900"/>
      <c r="Y38" s="3044"/>
      <c r="Z38" s="1902" t="str">
        <f t="shared" si="13"/>
        <v>宗地面积</v>
      </c>
      <c r="AA38" s="1903" t="e">
        <f t="shared" si="3"/>
        <v>#N/A</v>
      </c>
      <c r="AB38" s="1903" t="e">
        <f t="shared" si="4"/>
        <v>#N/A</v>
      </c>
      <c r="AC38" s="1903" t="e">
        <f t="shared" si="5"/>
        <v>#N/A</v>
      </c>
    </row>
    <row r="39" spans="1:29" ht="15">
      <c r="A39" s="453"/>
      <c r="B39" s="402" t="s">
        <v>2552</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44"/>
      <c r="Q39" s="1899" t="str">
        <f t="shared" ref="Q39:Q45" si="14">B39</f>
        <v>宗地形状</v>
      </c>
      <c r="R39" s="753" t="s">
        <v>25</v>
      </c>
      <c r="S39" s="754">
        <f t="shared" si="10"/>
        <v>100</v>
      </c>
      <c r="T39" s="753" t="s">
        <v>25</v>
      </c>
      <c r="U39" s="754">
        <f t="shared" si="11"/>
        <v>100</v>
      </c>
      <c r="V39" s="753" t="s">
        <v>25</v>
      </c>
      <c r="W39" s="754">
        <f t="shared" si="12"/>
        <v>100</v>
      </c>
      <c r="X39" s="1900"/>
      <c r="Y39" s="3044"/>
      <c r="Z39" s="1902" t="str">
        <f t="shared" si="13"/>
        <v>宗地形状</v>
      </c>
      <c r="AA39" s="1903">
        <f t="shared" si="3"/>
        <v>1</v>
      </c>
      <c r="AB39" s="1903">
        <f t="shared" si="4"/>
        <v>1</v>
      </c>
      <c r="AC39" s="1903">
        <f t="shared" si="5"/>
        <v>1</v>
      </c>
    </row>
    <row r="40" spans="1:29" ht="15">
      <c r="A40" s="453"/>
      <c r="B40" s="402" t="s">
        <v>2553</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44"/>
      <c r="Q40" s="1899" t="str">
        <f t="shared" si="14"/>
        <v>临街宽度及深度</v>
      </c>
      <c r="R40" s="753" t="s">
        <v>25</v>
      </c>
      <c r="S40" s="754">
        <f t="shared" si="10"/>
        <v>100</v>
      </c>
      <c r="T40" s="753" t="s">
        <v>25</v>
      </c>
      <c r="U40" s="754">
        <f t="shared" si="11"/>
        <v>100</v>
      </c>
      <c r="V40" s="753" t="s">
        <v>25</v>
      </c>
      <c r="W40" s="754">
        <f t="shared" si="12"/>
        <v>100</v>
      </c>
      <c r="X40" s="1900"/>
      <c r="Y40" s="3044"/>
      <c r="Z40" s="1902" t="str">
        <f t="shared" si="13"/>
        <v>临街宽度及深度</v>
      </c>
      <c r="AA40" s="1903">
        <f t="shared" si="3"/>
        <v>1</v>
      </c>
      <c r="AB40" s="1903">
        <f t="shared" si="4"/>
        <v>1</v>
      </c>
      <c r="AC40" s="1903">
        <f t="shared" si="5"/>
        <v>1</v>
      </c>
    </row>
    <row r="41" spans="1:29" s="35" customFormat="1" ht="15">
      <c r="A41" s="454"/>
      <c r="B41" s="402" t="s">
        <v>2554</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44"/>
      <c r="Q41" s="1899" t="str">
        <f t="shared" si="14"/>
        <v>宗地开发程度</v>
      </c>
      <c r="R41" s="749" t="s">
        <v>25</v>
      </c>
      <c r="S41" s="750">
        <f t="shared" si="10"/>
        <v>100</v>
      </c>
      <c r="T41" s="749" t="s">
        <v>25</v>
      </c>
      <c r="U41" s="750">
        <f t="shared" si="11"/>
        <v>100</v>
      </c>
      <c r="V41" s="749" t="s">
        <v>25</v>
      </c>
      <c r="W41" s="750">
        <f t="shared" si="12"/>
        <v>100</v>
      </c>
      <c r="X41" s="751"/>
      <c r="Y41" s="3044"/>
      <c r="Z41" s="23" t="str">
        <f t="shared" si="13"/>
        <v>宗地开发程度</v>
      </c>
      <c r="AA41" s="752">
        <f t="shared" si="3"/>
        <v>1</v>
      </c>
      <c r="AB41" s="752">
        <f t="shared" si="4"/>
        <v>1</v>
      </c>
      <c r="AC41" s="752">
        <f t="shared" si="5"/>
        <v>1</v>
      </c>
    </row>
    <row r="42" spans="1:29" ht="15">
      <c r="A42" s="453"/>
      <c r="B42" s="402" t="s">
        <v>2555</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44" t="s">
        <v>2371</v>
      </c>
      <c r="Q42" s="1899" t="str">
        <f t="shared" si="14"/>
        <v>工程地质条件</v>
      </c>
      <c r="R42" s="753" t="s">
        <v>25</v>
      </c>
      <c r="S42" s="754">
        <f t="shared" si="10"/>
        <v>100</v>
      </c>
      <c r="T42" s="753" t="s">
        <v>25</v>
      </c>
      <c r="U42" s="754">
        <f t="shared" si="11"/>
        <v>100</v>
      </c>
      <c r="V42" s="753" t="s">
        <v>25</v>
      </c>
      <c r="W42" s="754">
        <f t="shared" si="12"/>
        <v>100</v>
      </c>
      <c r="X42" s="1900"/>
      <c r="Y42" s="3044" t="s">
        <v>2371</v>
      </c>
      <c r="Z42" s="1902" t="str">
        <f t="shared" si="13"/>
        <v>工程地质条件</v>
      </c>
      <c r="AA42" s="1903">
        <f t="shared" si="3"/>
        <v>1</v>
      </c>
      <c r="AB42" s="1903">
        <f t="shared" si="4"/>
        <v>1</v>
      </c>
      <c r="AC42" s="1903">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4"/>
      <c r="Q43" s="1899">
        <f t="shared" si="14"/>
        <v>111</v>
      </c>
      <c r="R43" s="753" t="s">
        <v>25</v>
      </c>
      <c r="S43" s="754">
        <f t="shared" si="10"/>
        <v>100</v>
      </c>
      <c r="T43" s="753" t="s">
        <v>25</v>
      </c>
      <c r="U43" s="754">
        <f t="shared" si="11"/>
        <v>100</v>
      </c>
      <c r="V43" s="753" t="s">
        <v>25</v>
      </c>
      <c r="W43" s="754">
        <f t="shared" si="12"/>
        <v>100</v>
      </c>
      <c r="X43" s="1900"/>
      <c r="Y43" s="3044"/>
      <c r="Z43" s="1902">
        <f t="shared" si="13"/>
        <v>111</v>
      </c>
      <c r="AA43" s="1903">
        <f t="shared" si="3"/>
        <v>1</v>
      </c>
      <c r="AB43" s="1903">
        <f t="shared" si="4"/>
        <v>1</v>
      </c>
      <c r="AC43" s="1903">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4"/>
      <c r="Q44" s="1899">
        <f t="shared" si="14"/>
        <v>111</v>
      </c>
      <c r="R44" s="753" t="s">
        <v>25</v>
      </c>
      <c r="S44" s="754">
        <f t="shared" si="10"/>
        <v>100</v>
      </c>
      <c r="T44" s="753" t="s">
        <v>25</v>
      </c>
      <c r="U44" s="754">
        <f t="shared" si="11"/>
        <v>100</v>
      </c>
      <c r="V44" s="753" t="s">
        <v>25</v>
      </c>
      <c r="W44" s="754">
        <f t="shared" si="12"/>
        <v>100</v>
      </c>
      <c r="X44" s="1900"/>
      <c r="Y44" s="3044"/>
      <c r="Z44" s="1902">
        <f t="shared" si="13"/>
        <v>111</v>
      </c>
      <c r="AA44" s="1903">
        <f t="shared" si="3"/>
        <v>1</v>
      </c>
      <c r="AB44" s="1903">
        <f t="shared" si="4"/>
        <v>1</v>
      </c>
      <c r="AC44" s="1903">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4"/>
      <c r="Q45" s="1899">
        <f t="shared" si="14"/>
        <v>111</v>
      </c>
      <c r="R45" s="756" t="s">
        <v>25</v>
      </c>
      <c r="S45" s="757">
        <f t="shared" si="10"/>
        <v>100</v>
      </c>
      <c r="T45" s="756" t="s">
        <v>25</v>
      </c>
      <c r="U45" s="757">
        <f t="shared" si="11"/>
        <v>100</v>
      </c>
      <c r="V45" s="756" t="s">
        <v>25</v>
      </c>
      <c r="W45" s="757">
        <f t="shared" si="12"/>
        <v>100</v>
      </c>
      <c r="X45" s="758"/>
      <c r="Y45" s="3044"/>
      <c r="Z45" s="759">
        <f t="shared" si="13"/>
        <v>111</v>
      </c>
      <c r="AA45" s="1903">
        <f t="shared" si="3"/>
        <v>1</v>
      </c>
      <c r="AB45" s="1903">
        <f t="shared" si="4"/>
        <v>1</v>
      </c>
      <c r="AC45" s="1903">
        <f t="shared" si="5"/>
        <v>1</v>
      </c>
    </row>
    <row r="46" spans="1:29" ht="15">
      <c r="A46" s="460" t="s">
        <v>2519</v>
      </c>
      <c r="B46" s="2492" t="s">
        <v>2556</v>
      </c>
      <c r="C46" s="665" t="s">
        <v>1</v>
      </c>
      <c r="D46" s="462"/>
      <c r="E46" s="463"/>
      <c r="F46" s="464"/>
      <c r="G46" s="465"/>
      <c r="H46" s="466"/>
      <c r="I46" s="463"/>
      <c r="J46" s="466"/>
      <c r="K46" s="762"/>
      <c r="L46" s="1256"/>
      <c r="M46" s="1257"/>
      <c r="N46" s="1244"/>
      <c r="O46" s="1257"/>
      <c r="P46" s="3050" t="str">
        <f>A46</f>
        <v>成交单价</v>
      </c>
      <c r="Q46" s="3050"/>
      <c r="R46" s="3030">
        <f>E46</f>
        <v>0</v>
      </c>
      <c r="S46" s="3030"/>
      <c r="T46" s="3030">
        <f>G46</f>
        <v>0</v>
      </c>
      <c r="U46" s="3030"/>
      <c r="V46" s="3030">
        <f>I46</f>
        <v>0</v>
      </c>
      <c r="W46" s="3030"/>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50" t="str">
        <f>A47</f>
        <v>比较价值（元/平方米）</v>
      </c>
      <c r="Q47" s="3050"/>
      <c r="R47" s="3071" t="e">
        <f>ROUND(PRODUCT(R46,AA7:AA45),0)</f>
        <v>#DIV/0!</v>
      </c>
      <c r="S47" s="3071"/>
      <c r="T47" s="3071" t="e">
        <f>ROUND(PRODUCT(T46,AB7:AB45),0)</f>
        <v>#DIV/0!</v>
      </c>
      <c r="U47" s="3071"/>
      <c r="V47" s="3071" t="e">
        <f>ROUND(PRODUCT(V46,AC7:AC45),0)</f>
        <v>#DIV/0!</v>
      </c>
      <c r="W47" s="3071"/>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56" t="str">
        <f>A48</f>
        <v>估价对象XX用房的比较价值（楼面单价，元/平方米）</v>
      </c>
      <c r="Q48" s="3057"/>
      <c r="R48" s="3072" t="e">
        <f>ROUND(AVERAGE(R47:V47),0)</f>
        <v>#DIV/0!</v>
      </c>
      <c r="S48" s="3072"/>
      <c r="T48" s="3072"/>
      <c r="U48" s="3072"/>
      <c r="V48" s="3072"/>
      <c r="W48" s="3072"/>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3" t="s">
        <v>2559</v>
      </c>
      <c r="D55" s="2494" t="s">
        <v>2560</v>
      </c>
      <c r="E55" s="669" t="s">
        <v>2561</v>
      </c>
      <c r="F55" s="670" t="s">
        <v>2562</v>
      </c>
      <c r="G55" s="62" t="s">
        <v>2563</v>
      </c>
      <c r="H55" s="62">
        <f>项目基本情况!G8</f>
        <v>0</v>
      </c>
      <c r="I55" s="2495"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2568</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2569</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2570</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2571</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2572</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2573</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2574</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2018-5-1</v>
      </c>
      <c r="D68" s="1670">
        <f>EDATE(C68,-3)</f>
        <v>43132</v>
      </c>
      <c r="E68" s="1670">
        <f t="shared" ref="E68:O68" si="18">EDATE(D68,-3)</f>
        <v>43040</v>
      </c>
      <c r="F68" s="1670">
        <f t="shared" si="18"/>
        <v>42948</v>
      </c>
      <c r="G68" s="1670">
        <f t="shared" si="18"/>
        <v>42856</v>
      </c>
      <c r="H68" s="1670">
        <f t="shared" si="18"/>
        <v>42767</v>
      </c>
      <c r="I68" s="1670">
        <f t="shared" si="18"/>
        <v>42675</v>
      </c>
      <c r="J68" s="1670">
        <f t="shared" si="18"/>
        <v>42583</v>
      </c>
      <c r="K68" s="1670">
        <f t="shared" si="18"/>
        <v>42491</v>
      </c>
      <c r="L68" s="1670">
        <f t="shared" si="18"/>
        <v>42401</v>
      </c>
      <c r="M68" s="1670">
        <f t="shared" si="18"/>
        <v>42309</v>
      </c>
      <c r="N68" s="1670">
        <f t="shared" si="18"/>
        <v>42217</v>
      </c>
      <c r="O68" s="1670">
        <f t="shared" si="18"/>
        <v>42125</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6" t="s">
        <v>2576</v>
      </c>
      <c r="B70" s="1456"/>
      <c r="C70" s="1671" t="str">
        <f>YEAR(C68)&amp;"-"&amp;ROUNDUP(MONTH(C68)/3,0)</f>
        <v>2018-2</v>
      </c>
      <c r="D70" s="1671" t="str">
        <f>YEAR(D68)&amp;"-"&amp;ROUNDUP(MONTH(D68)/3,0)</f>
        <v>2018-1</v>
      </c>
      <c r="E70" s="1671" t="str">
        <f t="shared" ref="E70:O70" si="19">YEAR(E68)&amp;"-"&amp;ROUNDUP(MONTH(E68)/3,0)</f>
        <v>2017-4</v>
      </c>
      <c r="F70" s="1671" t="str">
        <f t="shared" si="19"/>
        <v>2017-3</v>
      </c>
      <c r="G70" s="1671" t="str">
        <f t="shared" si="19"/>
        <v>2017-2</v>
      </c>
      <c r="H70" s="1671" t="str">
        <f t="shared" si="19"/>
        <v>2017-1</v>
      </c>
      <c r="I70" s="1671" t="str">
        <f t="shared" si="19"/>
        <v>2016-4</v>
      </c>
      <c r="J70" s="1671" t="str">
        <f t="shared" si="19"/>
        <v>2016-3</v>
      </c>
      <c r="K70" s="1671" t="str">
        <f t="shared" si="19"/>
        <v>2016-2</v>
      </c>
      <c r="L70" s="1671" t="str">
        <f t="shared" si="19"/>
        <v>2016-1</v>
      </c>
      <c r="M70" s="1671" t="str">
        <f t="shared" si="19"/>
        <v>2015-4</v>
      </c>
      <c r="N70" s="1671" t="str">
        <f t="shared" si="19"/>
        <v>2015-3</v>
      </c>
      <c r="O70" s="1671" t="str">
        <f t="shared" si="19"/>
        <v>2015-2</v>
      </c>
      <c r="P70" s="1673"/>
    </row>
    <row r="71" spans="1:17" s="35" customFormat="1" ht="29.25" customHeight="1">
      <c r="A71" s="2497" t="s">
        <v>2577</v>
      </c>
      <c r="B71" s="284" t="str">
        <f>"北京市平均增长率"&amp;TEXT(SUMIF(基准地价修正!N21:N25,A71,基准地价修正!P21:P25),"0.00%")</f>
        <v>北京市平均增长率1.57%</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14" t="s">
        <v>2341</v>
      </c>
      <c r="D4" s="3015"/>
      <c r="E4" s="3016" t="s">
        <v>2342</v>
      </c>
      <c r="F4" s="3017"/>
      <c r="G4" s="3014" t="s">
        <v>2343</v>
      </c>
      <c r="H4" s="3015"/>
      <c r="I4" s="3014" t="s">
        <v>2344</v>
      </c>
      <c r="J4" s="3015"/>
      <c r="K4" s="594" t="s">
        <v>2345</v>
      </c>
      <c r="L4" s="1243"/>
      <c r="M4" s="1244"/>
      <c r="N4" s="1244"/>
      <c r="O4" s="1244"/>
      <c r="P4" s="3018" t="s">
        <v>2346</v>
      </c>
      <c r="Q4" s="3019"/>
      <c r="R4" s="3024" t="s">
        <v>2342</v>
      </c>
      <c r="S4" s="3025"/>
      <c r="T4" s="3024" t="s">
        <v>2343</v>
      </c>
      <c r="U4" s="3025"/>
      <c r="V4" s="3030" t="s">
        <v>2344</v>
      </c>
      <c r="W4" s="3030"/>
      <c r="X4" s="1900"/>
      <c r="Y4" s="3024" t="s">
        <v>2346</v>
      </c>
      <c r="Z4" s="3025"/>
      <c r="AA4" s="3011" t="s">
        <v>2342</v>
      </c>
      <c r="AB4" s="3012" t="s">
        <v>2343</v>
      </c>
      <c r="AC4" s="3011" t="s">
        <v>2344</v>
      </c>
    </row>
    <row r="5" spans="1:29" ht="15">
      <c r="A5" s="383"/>
      <c r="B5" s="384"/>
      <c r="C5" s="3059" t="s">
        <v>2347</v>
      </c>
      <c r="D5" s="3060"/>
      <c r="E5" s="3061" t="s">
        <v>2348</v>
      </c>
      <c r="F5" s="3062"/>
      <c r="G5" s="3059" t="s">
        <v>2349</v>
      </c>
      <c r="H5" s="3060"/>
      <c r="I5" s="3059" t="s">
        <v>2350</v>
      </c>
      <c r="J5" s="3060"/>
      <c r="K5" s="594"/>
      <c r="L5" s="1243"/>
      <c r="M5" s="1244"/>
      <c r="N5" s="1244"/>
      <c r="O5" s="1244"/>
      <c r="P5" s="3020"/>
      <c r="Q5" s="3021"/>
      <c r="R5" s="3026"/>
      <c r="S5" s="3027"/>
      <c r="T5" s="3026"/>
      <c r="U5" s="3027"/>
      <c r="V5" s="3030"/>
      <c r="W5" s="3030"/>
      <c r="X5" s="1900"/>
      <c r="Y5" s="3026"/>
      <c r="Z5" s="3027"/>
      <c r="AA5" s="3012"/>
      <c r="AB5" s="3012"/>
      <c r="AC5" s="3012"/>
    </row>
    <row r="6" spans="1:29" ht="15.75" thickBot="1">
      <c r="A6" s="385"/>
      <c r="B6" s="386"/>
      <c r="C6" s="3035" t="s">
        <v>2351</v>
      </c>
      <c r="D6" s="3036"/>
      <c r="E6" s="3037" t="s">
        <v>2351</v>
      </c>
      <c r="F6" s="3038"/>
      <c r="G6" s="3035" t="s">
        <v>2351</v>
      </c>
      <c r="H6" s="3036"/>
      <c r="I6" s="3035" t="s">
        <v>2351</v>
      </c>
      <c r="J6" s="3036"/>
      <c r="K6" s="594" t="s">
        <v>2352</v>
      </c>
      <c r="L6" s="1243"/>
      <c r="M6" s="1244"/>
      <c r="N6" s="1244"/>
      <c r="O6" s="1244"/>
      <c r="P6" s="3022"/>
      <c r="Q6" s="3023"/>
      <c r="R6" s="3026"/>
      <c r="S6" s="3027"/>
      <c r="T6" s="3028"/>
      <c r="U6" s="3029"/>
      <c r="V6" s="3030"/>
      <c r="W6" s="3030"/>
      <c r="X6" s="1900"/>
      <c r="Y6" s="3028"/>
      <c r="Z6" s="3029"/>
      <c r="AA6" s="3013"/>
      <c r="AB6" s="3013"/>
      <c r="AC6" s="3013"/>
    </row>
    <row r="7" spans="1:29" s="35" customFormat="1" ht="15.75" thickBot="1">
      <c r="A7" s="387" t="s">
        <v>2353</v>
      </c>
      <c r="B7" s="388"/>
      <c r="C7" s="389">
        <f>'数据-取费表'!B2</f>
        <v>43242</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46" t="s">
        <v>2354</v>
      </c>
      <c r="Q7" s="3048"/>
      <c r="R7" s="749" t="s">
        <v>25</v>
      </c>
      <c r="S7" s="750">
        <f t="shared" ref="S7:S15" si="0">F7</f>
        <v>0</v>
      </c>
      <c r="T7" s="749" t="s">
        <v>25</v>
      </c>
      <c r="U7" s="750">
        <f t="shared" ref="U7:U15" si="1">H7</f>
        <v>0</v>
      </c>
      <c r="V7" s="749" t="s">
        <v>25</v>
      </c>
      <c r="W7" s="750">
        <f t="shared" ref="W7:W15" si="2">J7</f>
        <v>0</v>
      </c>
      <c r="X7" s="751"/>
      <c r="Y7" s="3046" t="s">
        <v>2354</v>
      </c>
      <c r="Z7" s="3047"/>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6" t="s">
        <v>2357</v>
      </c>
      <c r="Q8" s="3047"/>
      <c r="R8" s="749" t="s">
        <v>25</v>
      </c>
      <c r="S8" s="750">
        <f t="shared" si="0"/>
        <v>0</v>
      </c>
      <c r="T8" s="749" t="s">
        <v>25</v>
      </c>
      <c r="U8" s="750">
        <f t="shared" si="1"/>
        <v>0</v>
      </c>
      <c r="V8" s="749" t="s">
        <v>25</v>
      </c>
      <c r="W8" s="750">
        <f t="shared" si="2"/>
        <v>0</v>
      </c>
      <c r="X8" s="751"/>
      <c r="Y8" s="3046" t="s">
        <v>2357</v>
      </c>
      <c r="Z8" s="3047"/>
      <c r="AA8" s="752" t="e">
        <f t="shared" ref="AA8:AA40" si="3">D8/F8</f>
        <v>#DIV/0!</v>
      </c>
      <c r="AB8" s="752" t="e">
        <f t="shared" ref="AB8:AB40" si="4">D8/H8</f>
        <v>#DIV/0!</v>
      </c>
      <c r="AC8" s="752" t="e">
        <f t="shared" ref="AC8:AC40" si="5">D8/J8</f>
        <v>#DIV/0!</v>
      </c>
    </row>
    <row r="9" spans="1:29" s="35" customFormat="1">
      <c r="A9" s="395" t="s">
        <v>2358</v>
      </c>
      <c r="B9" s="28" t="s">
        <v>2359</v>
      </c>
      <c r="C9" s="2484" t="s">
        <v>2591</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50" t="s">
        <v>2360</v>
      </c>
      <c r="Q9" s="1887" t="str">
        <f t="shared" ref="Q9:Q15" si="6">B9</f>
        <v>用途</v>
      </c>
      <c r="R9" s="749" t="s">
        <v>25</v>
      </c>
      <c r="S9" s="750">
        <f t="shared" si="0"/>
        <v>100</v>
      </c>
      <c r="T9" s="749" t="s">
        <v>25</v>
      </c>
      <c r="U9" s="750">
        <f t="shared" si="1"/>
        <v>100</v>
      </c>
      <c r="V9" s="749" t="s">
        <v>25</v>
      </c>
      <c r="W9" s="750">
        <f t="shared" si="2"/>
        <v>100</v>
      </c>
      <c r="X9" s="751"/>
      <c r="Y9" s="2862"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114</v>
      </c>
      <c r="G10" s="412"/>
      <c r="H10" s="52">
        <f>ROUND(100/'数据-取费表'!B14,0)</f>
        <v>114</v>
      </c>
      <c r="I10" s="412"/>
      <c r="J10" s="52">
        <f>ROUND(100/'数据-取费表'!B14,0)</f>
        <v>114</v>
      </c>
      <c r="K10" s="655"/>
      <c r="L10" s="1248"/>
      <c r="M10" s="1249"/>
      <c r="N10" s="1249"/>
      <c r="O10" s="1250"/>
      <c r="P10" s="3050"/>
      <c r="Q10" s="1887" t="str">
        <f t="shared" si="6"/>
        <v>土地使用年限（年）</v>
      </c>
      <c r="R10" s="749" t="s">
        <v>25</v>
      </c>
      <c r="S10" s="750">
        <f t="shared" si="0"/>
        <v>114</v>
      </c>
      <c r="T10" s="749" t="s">
        <v>25</v>
      </c>
      <c r="U10" s="750">
        <f t="shared" si="1"/>
        <v>114</v>
      </c>
      <c r="V10" s="749" t="s">
        <v>25</v>
      </c>
      <c r="W10" s="750">
        <f t="shared" si="2"/>
        <v>114</v>
      </c>
      <c r="X10" s="751"/>
      <c r="Y10" s="2862"/>
      <c r="Z10" s="23" t="str">
        <f t="shared" si="7"/>
        <v>土地使用年限（年）</v>
      </c>
      <c r="AA10" s="752">
        <f t="shared" si="3"/>
        <v>0.8771929824561403</v>
      </c>
      <c r="AB10" s="752">
        <f t="shared" si="4"/>
        <v>0.8771929824561403</v>
      </c>
      <c r="AC10" s="752">
        <f t="shared" si="5"/>
        <v>0.8771929824561403</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50"/>
      <c r="Q11" s="1887" t="str">
        <f t="shared" si="6"/>
        <v>容积率</v>
      </c>
      <c r="R11" s="749" t="s">
        <v>25</v>
      </c>
      <c r="S11" s="750" t="e">
        <f t="shared" si="0"/>
        <v>#N/A</v>
      </c>
      <c r="T11" s="749" t="s">
        <v>25</v>
      </c>
      <c r="U11" s="750" t="e">
        <f t="shared" si="1"/>
        <v>#N/A</v>
      </c>
      <c r="V11" s="749" t="s">
        <v>25</v>
      </c>
      <c r="W11" s="750" t="e">
        <f t="shared" si="2"/>
        <v>#N/A</v>
      </c>
      <c r="X11" s="751"/>
      <c r="Y11" s="2862"/>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50"/>
      <c r="Q12" s="1887">
        <f t="shared" si="6"/>
        <v>111</v>
      </c>
      <c r="R12" s="749" t="s">
        <v>25</v>
      </c>
      <c r="S12" s="750">
        <f t="shared" si="0"/>
        <v>100</v>
      </c>
      <c r="T12" s="749" t="s">
        <v>25</v>
      </c>
      <c r="U12" s="750">
        <f t="shared" si="1"/>
        <v>100</v>
      </c>
      <c r="V12" s="749" t="s">
        <v>25</v>
      </c>
      <c r="W12" s="750">
        <f t="shared" si="2"/>
        <v>100</v>
      </c>
      <c r="X12" s="751"/>
      <c r="Y12" s="2862"/>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50"/>
      <c r="Q13" s="1887">
        <f t="shared" si="6"/>
        <v>111</v>
      </c>
      <c r="R13" s="749" t="s">
        <v>25</v>
      </c>
      <c r="S13" s="750">
        <f t="shared" si="0"/>
        <v>100</v>
      </c>
      <c r="T13" s="749" t="s">
        <v>25</v>
      </c>
      <c r="U13" s="750">
        <f t="shared" si="1"/>
        <v>100</v>
      </c>
      <c r="V13" s="749" t="s">
        <v>25</v>
      </c>
      <c r="W13" s="750">
        <f t="shared" si="2"/>
        <v>100</v>
      </c>
      <c r="X13" s="751"/>
      <c r="Y13" s="2862"/>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50"/>
      <c r="Q14" s="1887">
        <f t="shared" si="6"/>
        <v>111</v>
      </c>
      <c r="R14" s="749" t="s">
        <v>25</v>
      </c>
      <c r="S14" s="750">
        <f t="shared" si="0"/>
        <v>100</v>
      </c>
      <c r="T14" s="749" t="s">
        <v>25</v>
      </c>
      <c r="U14" s="750">
        <f t="shared" si="1"/>
        <v>100</v>
      </c>
      <c r="V14" s="749" t="s">
        <v>25</v>
      </c>
      <c r="W14" s="750">
        <f t="shared" si="2"/>
        <v>100</v>
      </c>
      <c r="X14" s="751"/>
      <c r="Y14" s="2862"/>
      <c r="Z14" s="23">
        <f t="shared" si="7"/>
        <v>111</v>
      </c>
      <c r="AA14" s="752">
        <f t="shared" si="3"/>
        <v>1</v>
      </c>
      <c r="AB14" s="752">
        <f t="shared" si="4"/>
        <v>1</v>
      </c>
      <c r="AC14" s="752">
        <f t="shared" si="5"/>
        <v>1</v>
      </c>
    </row>
    <row r="15" spans="1:29" ht="57">
      <c r="A15" s="419" t="s">
        <v>2364</v>
      </c>
      <c r="B15" s="613" t="s">
        <v>2592</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9" t="s">
        <v>2365</v>
      </c>
      <c r="Q15" s="1899" t="str">
        <f t="shared" si="6"/>
        <v>产业集聚程度</v>
      </c>
      <c r="R15" s="753" t="s">
        <v>25</v>
      </c>
      <c r="S15" s="754">
        <f t="shared" si="0"/>
        <v>100</v>
      </c>
      <c r="T15" s="753" t="s">
        <v>25</v>
      </c>
      <c r="U15" s="754">
        <f t="shared" si="1"/>
        <v>100</v>
      </c>
      <c r="V15" s="753" t="s">
        <v>25</v>
      </c>
      <c r="W15" s="754">
        <f t="shared" si="2"/>
        <v>100</v>
      </c>
      <c r="X15" s="1900"/>
      <c r="Y15" s="3039"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40"/>
      <c r="Q16" s="1899"/>
      <c r="R16" s="753"/>
      <c r="S16" s="754"/>
      <c r="T16" s="753"/>
      <c r="U16" s="754"/>
      <c r="V16" s="753"/>
      <c r="W16" s="754"/>
      <c r="X16" s="1900"/>
      <c r="Y16" s="3040"/>
      <c r="Z16" s="1902"/>
      <c r="AA16" s="1903">
        <v>1</v>
      </c>
      <c r="AB16" s="1903">
        <v>1</v>
      </c>
      <c r="AC16" s="1903">
        <v>1</v>
      </c>
    </row>
    <row r="17" spans="1:29" ht="85.5">
      <c r="A17" s="408"/>
      <c r="B17" s="615" t="s">
        <v>2508</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40"/>
      <c r="Q17" s="1899" t="str">
        <f>B17</f>
        <v>交通便捷度</v>
      </c>
      <c r="R17" s="753" t="s">
        <v>25</v>
      </c>
      <c r="S17" s="754">
        <f>F17</f>
        <v>100</v>
      </c>
      <c r="T17" s="753" t="s">
        <v>25</v>
      </c>
      <c r="U17" s="754">
        <f>H17</f>
        <v>100</v>
      </c>
      <c r="V17" s="753" t="s">
        <v>25</v>
      </c>
      <c r="W17" s="754">
        <f>J17</f>
        <v>100</v>
      </c>
      <c r="X17" s="1900"/>
      <c r="Y17" s="3040"/>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4"/>
      <c r="J18" s="427"/>
      <c r="K18" s="655"/>
      <c r="L18" s="1253"/>
      <c r="M18" s="1244"/>
      <c r="N18" s="1244"/>
      <c r="O18" s="1252"/>
      <c r="P18" s="3040"/>
      <c r="Q18" s="1899"/>
      <c r="R18" s="753"/>
      <c r="S18" s="754"/>
      <c r="T18" s="753"/>
      <c r="U18" s="754"/>
      <c r="V18" s="753"/>
      <c r="W18" s="754"/>
      <c r="X18" s="1900"/>
      <c r="Y18" s="3040"/>
      <c r="Z18" s="1902"/>
      <c r="AA18" s="1903">
        <v>1</v>
      </c>
      <c r="AB18" s="1903">
        <v>1</v>
      </c>
      <c r="AC18" s="1903">
        <v>1</v>
      </c>
    </row>
    <row r="19" spans="1:29" ht="15">
      <c r="A19" s="408"/>
      <c r="B19" s="615" t="s">
        <v>2548</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40"/>
      <c r="Q19" s="1899" t="str">
        <f t="shared" ref="Q19:Q33" si="8">B19</f>
        <v>区域土地利用方向</v>
      </c>
      <c r="R19" s="753" t="s">
        <v>25</v>
      </c>
      <c r="S19" s="754">
        <f>F19</f>
        <v>100</v>
      </c>
      <c r="T19" s="753" t="s">
        <v>25</v>
      </c>
      <c r="U19" s="754">
        <f>H19</f>
        <v>100</v>
      </c>
      <c r="V19" s="753" t="s">
        <v>25</v>
      </c>
      <c r="W19" s="754">
        <f>J19</f>
        <v>100</v>
      </c>
      <c r="X19" s="1900"/>
      <c r="Y19" s="3040"/>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40"/>
      <c r="Q20" s="1899"/>
      <c r="R20" s="753"/>
      <c r="S20" s="754"/>
      <c r="T20" s="753"/>
      <c r="U20" s="754"/>
      <c r="V20" s="753"/>
      <c r="W20" s="754"/>
      <c r="X20" s="1900"/>
      <c r="Y20" s="3040"/>
      <c r="Z20" s="1902"/>
      <c r="AA20" s="1903"/>
      <c r="AB20" s="1903"/>
      <c r="AC20" s="1903"/>
    </row>
    <row r="21" spans="1:29" ht="71.25">
      <c r="A21" s="383"/>
      <c r="B21" s="615" t="s">
        <v>2593</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40"/>
      <c r="Q21" s="1899" t="str">
        <f t="shared" si="8"/>
        <v>环境状况</v>
      </c>
      <c r="R21" s="753" t="s">
        <v>25</v>
      </c>
      <c r="S21" s="754">
        <f>F21</f>
        <v>100</v>
      </c>
      <c r="T21" s="753" t="s">
        <v>25</v>
      </c>
      <c r="U21" s="754">
        <f>H21</f>
        <v>100</v>
      </c>
      <c r="V21" s="753" t="s">
        <v>25</v>
      </c>
      <c r="W21" s="754">
        <f>J21</f>
        <v>100</v>
      </c>
      <c r="X21" s="1900"/>
      <c r="Y21" s="3040"/>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40"/>
      <c r="Q22" s="1899"/>
      <c r="R22" s="753"/>
      <c r="S22" s="754"/>
      <c r="T22" s="753"/>
      <c r="U22" s="754"/>
      <c r="V22" s="753"/>
      <c r="W22" s="754"/>
      <c r="X22" s="1900"/>
      <c r="Y22" s="3040"/>
      <c r="Z22" s="1902"/>
      <c r="AA22" s="1903">
        <v>1</v>
      </c>
      <c r="AB22" s="1903">
        <v>1</v>
      </c>
      <c r="AC22" s="1903">
        <v>1</v>
      </c>
    </row>
    <row r="23" spans="1:29" s="35" customFormat="1" ht="42.75">
      <c r="A23" s="633"/>
      <c r="B23" s="615" t="s">
        <v>2451</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40"/>
      <c r="Q23" s="1887" t="str">
        <f t="shared" si="8"/>
        <v>公共配套设施</v>
      </c>
      <c r="R23" s="749" t="s">
        <v>25</v>
      </c>
      <c r="S23" s="750">
        <f>F23</f>
        <v>100</v>
      </c>
      <c r="T23" s="749" t="s">
        <v>25</v>
      </c>
      <c r="U23" s="750">
        <f>H23</f>
        <v>100</v>
      </c>
      <c r="V23" s="749" t="s">
        <v>25</v>
      </c>
      <c r="W23" s="750">
        <f>J23</f>
        <v>100</v>
      </c>
      <c r="X23" s="751"/>
      <c r="Y23" s="3040"/>
      <c r="Z23" s="23" t="str">
        <f>Q23</f>
        <v>公共配套设施</v>
      </c>
      <c r="AA23" s="1903">
        <f>D23/F23</f>
        <v>1</v>
      </c>
      <c r="AB23" s="1903">
        <f>D23/H23</f>
        <v>1</v>
      </c>
      <c r="AC23" s="1903">
        <f>D23/J23</f>
        <v>1</v>
      </c>
    </row>
    <row r="24" spans="1:29" s="35" customFormat="1" ht="15">
      <c r="A24" s="633"/>
      <c r="B24" s="616"/>
      <c r="C24" s="2498"/>
      <c r="D24" s="427"/>
      <c r="E24" s="1472"/>
      <c r="F24" s="427"/>
      <c r="G24" s="1472"/>
      <c r="H24" s="427"/>
      <c r="I24" s="426"/>
      <c r="J24" s="427"/>
      <c r="K24" s="655"/>
      <c r="L24" s="1245"/>
      <c r="M24" s="1246"/>
      <c r="N24" s="1246"/>
      <c r="O24" s="1247"/>
      <c r="P24" s="3040"/>
      <c r="Q24" s="1887"/>
      <c r="R24" s="749"/>
      <c r="S24" s="750"/>
      <c r="T24" s="749"/>
      <c r="U24" s="750"/>
      <c r="V24" s="749"/>
      <c r="W24" s="750"/>
      <c r="X24" s="751"/>
      <c r="Y24" s="3040"/>
      <c r="Z24" s="23"/>
      <c r="AA24" s="752">
        <v>1</v>
      </c>
      <c r="AB24" s="752">
        <v>1</v>
      </c>
      <c r="AC24" s="752">
        <v>1</v>
      </c>
    </row>
    <row r="25" spans="1:29" s="35" customFormat="1" ht="28.5">
      <c r="A25" s="633"/>
      <c r="B25" s="617" t="s">
        <v>2452</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40"/>
      <c r="Q25" s="1887" t="str">
        <f t="shared" ref="Q25" si="9">B25</f>
        <v>基础设施水平</v>
      </c>
      <c r="R25" s="749" t="s">
        <v>25</v>
      </c>
      <c r="S25" s="750">
        <f>F25</f>
        <v>100</v>
      </c>
      <c r="T25" s="749" t="s">
        <v>25</v>
      </c>
      <c r="U25" s="750">
        <f>H25</f>
        <v>100</v>
      </c>
      <c r="V25" s="749" t="s">
        <v>25</v>
      </c>
      <c r="W25" s="750">
        <f>J25</f>
        <v>100</v>
      </c>
      <c r="X25" s="751"/>
      <c r="Y25" s="3040"/>
      <c r="Z25" s="23" t="str">
        <f>Q25</f>
        <v>基础设施水平</v>
      </c>
      <c r="AA25" s="1903">
        <f>D25/F25</f>
        <v>1</v>
      </c>
      <c r="AB25" s="1903">
        <f>D25/H25</f>
        <v>1</v>
      </c>
      <c r="AC25" s="1903">
        <f>D25/J25</f>
        <v>1</v>
      </c>
    </row>
    <row r="26" spans="1:29" s="35" customFormat="1" ht="15">
      <c r="A26" s="633"/>
      <c r="B26" s="616"/>
      <c r="C26" s="2498"/>
      <c r="D26" s="427"/>
      <c r="E26" s="2487"/>
      <c r="F26" s="427"/>
      <c r="G26" s="2487"/>
      <c r="H26" s="427"/>
      <c r="I26" s="2487"/>
      <c r="J26" s="427"/>
      <c r="K26" s="655"/>
      <c r="L26" s="1245"/>
      <c r="M26" s="1246"/>
      <c r="N26" s="1246"/>
      <c r="O26" s="1247"/>
      <c r="P26" s="3040"/>
      <c r="Q26" s="1887"/>
      <c r="R26" s="749"/>
      <c r="S26" s="750"/>
      <c r="T26" s="749"/>
      <c r="U26" s="750"/>
      <c r="V26" s="749"/>
      <c r="W26" s="750"/>
      <c r="X26" s="751"/>
      <c r="Y26" s="3040"/>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40"/>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40"/>
      <c r="Z27" s="1902" t="str">
        <f t="shared" ref="Z27:Z40" si="13">Q27</f>
        <v>临街状况</v>
      </c>
      <c r="AA27" s="1903">
        <f t="shared" si="3"/>
        <v>1</v>
      </c>
      <c r="AB27" s="1903">
        <f t="shared" si="4"/>
        <v>1</v>
      </c>
      <c r="AC27" s="1903">
        <f t="shared" si="5"/>
        <v>1</v>
      </c>
    </row>
    <row r="28" spans="1:29" ht="27">
      <c r="A28" s="408"/>
      <c r="B28" s="617" t="s">
        <v>2483</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40"/>
      <c r="Q28" s="1899" t="str">
        <f t="shared" si="8"/>
        <v>毗邻道路的类型与等级</v>
      </c>
      <c r="R28" s="753" t="s">
        <v>25</v>
      </c>
      <c r="S28" s="754">
        <f t="shared" si="10"/>
        <v>100</v>
      </c>
      <c r="T28" s="753" t="s">
        <v>25</v>
      </c>
      <c r="U28" s="754">
        <f t="shared" si="11"/>
        <v>100</v>
      </c>
      <c r="V28" s="753" t="s">
        <v>25</v>
      </c>
      <c r="W28" s="754">
        <f t="shared" si="12"/>
        <v>100</v>
      </c>
      <c r="X28" s="1900"/>
      <c r="Y28" s="3040"/>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40"/>
      <c r="Q29" s="1899"/>
      <c r="R29" s="753"/>
      <c r="S29" s="754"/>
      <c r="T29" s="753"/>
      <c r="U29" s="754"/>
      <c r="V29" s="753"/>
      <c r="W29" s="754"/>
      <c r="X29" s="1900"/>
      <c r="Y29" s="3040"/>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40"/>
      <c r="Q30" s="1899" t="str">
        <f t="shared" si="8"/>
        <v>土地级别</v>
      </c>
      <c r="R30" s="753" t="s">
        <v>25</v>
      </c>
      <c r="S30" s="754">
        <f t="shared" si="10"/>
        <v>100</v>
      </c>
      <c r="T30" s="753" t="s">
        <v>25</v>
      </c>
      <c r="U30" s="754">
        <f t="shared" si="11"/>
        <v>100</v>
      </c>
      <c r="V30" s="753" t="s">
        <v>25</v>
      </c>
      <c r="W30" s="754">
        <f t="shared" si="12"/>
        <v>100</v>
      </c>
      <c r="X30" s="1900"/>
      <c r="Y30" s="3040"/>
      <c r="Z30" s="1902" t="str">
        <f t="shared" si="13"/>
        <v>土地级别</v>
      </c>
      <c r="AA30" s="1903">
        <f t="shared" si="3"/>
        <v>1</v>
      </c>
      <c r="AB30" s="1903">
        <f t="shared" si="4"/>
        <v>1</v>
      </c>
      <c r="AC30" s="1903">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40"/>
      <c r="Q31" s="1899">
        <f t="shared" si="8"/>
        <v>111</v>
      </c>
      <c r="R31" s="753" t="s">
        <v>25</v>
      </c>
      <c r="S31" s="754">
        <f t="shared" si="10"/>
        <v>100</v>
      </c>
      <c r="T31" s="753" t="s">
        <v>25</v>
      </c>
      <c r="U31" s="754">
        <f t="shared" si="11"/>
        <v>100</v>
      </c>
      <c r="V31" s="753" t="s">
        <v>25</v>
      </c>
      <c r="W31" s="754">
        <f t="shared" si="12"/>
        <v>100</v>
      </c>
      <c r="X31" s="1900"/>
      <c r="Y31" s="3040"/>
      <c r="Z31" s="1902">
        <f t="shared" si="13"/>
        <v>111</v>
      </c>
      <c r="AA31" s="1903">
        <f t="shared" si="3"/>
        <v>1</v>
      </c>
      <c r="AB31" s="1903">
        <f t="shared" si="4"/>
        <v>1</v>
      </c>
      <c r="AC31" s="1903">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70" t="s">
        <v>2371</v>
      </c>
      <c r="Q32" s="1899">
        <f t="shared" si="8"/>
        <v>111</v>
      </c>
      <c r="R32" s="753" t="s">
        <v>25</v>
      </c>
      <c r="S32" s="754">
        <f t="shared" si="10"/>
        <v>100</v>
      </c>
      <c r="T32" s="753" t="s">
        <v>25</v>
      </c>
      <c r="U32" s="754">
        <f t="shared" si="11"/>
        <v>100</v>
      </c>
      <c r="V32" s="753" t="s">
        <v>25</v>
      </c>
      <c r="W32" s="754">
        <f t="shared" si="12"/>
        <v>100</v>
      </c>
      <c r="X32" s="1900"/>
      <c r="Y32" s="3044" t="s">
        <v>2371</v>
      </c>
      <c r="Z32" s="1902">
        <f t="shared" si="13"/>
        <v>111</v>
      </c>
      <c r="AA32" s="1903">
        <f t="shared" si="3"/>
        <v>1</v>
      </c>
      <c r="AB32" s="1903">
        <f t="shared" si="4"/>
        <v>1</v>
      </c>
      <c r="AC32" s="1903">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4"/>
      <c r="Q33" s="1899">
        <f t="shared" si="8"/>
        <v>111</v>
      </c>
      <c r="R33" s="756" t="s">
        <v>25</v>
      </c>
      <c r="S33" s="757">
        <f t="shared" si="10"/>
        <v>100</v>
      </c>
      <c r="T33" s="756" t="s">
        <v>25</v>
      </c>
      <c r="U33" s="757">
        <f t="shared" si="11"/>
        <v>100</v>
      </c>
      <c r="V33" s="756" t="s">
        <v>25</v>
      </c>
      <c r="W33" s="757">
        <f t="shared" si="12"/>
        <v>100</v>
      </c>
      <c r="X33" s="758"/>
      <c r="Y33" s="3044"/>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4"/>
      <c r="Q34" s="1899" t="str">
        <f>B34</f>
        <v>宗地面积</v>
      </c>
      <c r="R34" s="753" t="s">
        <v>25</v>
      </c>
      <c r="S34" s="754" t="e">
        <f t="shared" si="10"/>
        <v>#N/A</v>
      </c>
      <c r="T34" s="753" t="s">
        <v>25</v>
      </c>
      <c r="U34" s="754" t="e">
        <f t="shared" si="11"/>
        <v>#N/A</v>
      </c>
      <c r="V34" s="753" t="s">
        <v>25</v>
      </c>
      <c r="W34" s="754" t="e">
        <f t="shared" si="12"/>
        <v>#N/A</v>
      </c>
      <c r="X34" s="1900"/>
      <c r="Y34" s="3044"/>
      <c r="Z34" s="1902" t="str">
        <f t="shared" si="13"/>
        <v>宗地面积</v>
      </c>
      <c r="AA34" s="1903" t="e">
        <f t="shared" si="3"/>
        <v>#N/A</v>
      </c>
      <c r="AB34" s="1903" t="e">
        <f t="shared" si="4"/>
        <v>#N/A</v>
      </c>
      <c r="AC34" s="1903" t="e">
        <f t="shared" si="5"/>
        <v>#N/A</v>
      </c>
    </row>
    <row r="35" spans="1:29" ht="15">
      <c r="A35" s="453"/>
      <c r="B35" s="402" t="s">
        <v>2552</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44"/>
      <c r="Q35" s="1899" t="str">
        <f t="shared" ref="Q35:Q40" si="14">B35</f>
        <v>宗地形状</v>
      </c>
      <c r="R35" s="753" t="s">
        <v>25</v>
      </c>
      <c r="S35" s="754">
        <f t="shared" si="10"/>
        <v>100</v>
      </c>
      <c r="T35" s="753" t="s">
        <v>25</v>
      </c>
      <c r="U35" s="754">
        <f t="shared" si="11"/>
        <v>100</v>
      </c>
      <c r="V35" s="753" t="s">
        <v>25</v>
      </c>
      <c r="W35" s="754">
        <f t="shared" si="12"/>
        <v>100</v>
      </c>
      <c r="X35" s="1900"/>
      <c r="Y35" s="3044"/>
      <c r="Z35" s="1902" t="str">
        <f t="shared" si="13"/>
        <v>宗地形状</v>
      </c>
      <c r="AA35" s="1903">
        <f t="shared" si="3"/>
        <v>1</v>
      </c>
      <c r="AB35" s="1903">
        <f t="shared" si="4"/>
        <v>1</v>
      </c>
      <c r="AC35" s="1903">
        <f t="shared" si="5"/>
        <v>1</v>
      </c>
    </row>
    <row r="36" spans="1:29" s="35" customFormat="1" ht="15">
      <c r="A36" s="454"/>
      <c r="B36" s="402" t="s">
        <v>2554</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44"/>
      <c r="Q36" s="1899" t="str">
        <f t="shared" si="14"/>
        <v>宗地开发程度</v>
      </c>
      <c r="R36" s="749" t="s">
        <v>25</v>
      </c>
      <c r="S36" s="750">
        <f t="shared" si="10"/>
        <v>100</v>
      </c>
      <c r="T36" s="749" t="s">
        <v>25</v>
      </c>
      <c r="U36" s="750">
        <f t="shared" si="11"/>
        <v>100</v>
      </c>
      <c r="V36" s="749" t="s">
        <v>25</v>
      </c>
      <c r="W36" s="750">
        <f t="shared" si="12"/>
        <v>100</v>
      </c>
      <c r="X36" s="751"/>
      <c r="Y36" s="3044"/>
      <c r="Z36" s="23" t="str">
        <f t="shared" si="13"/>
        <v>宗地开发程度</v>
      </c>
      <c r="AA36" s="752">
        <f t="shared" si="3"/>
        <v>1</v>
      </c>
      <c r="AB36" s="752">
        <f t="shared" si="4"/>
        <v>1</v>
      </c>
      <c r="AC36" s="752">
        <f t="shared" si="5"/>
        <v>1</v>
      </c>
    </row>
    <row r="37" spans="1:29" ht="15">
      <c r="A37" s="453"/>
      <c r="B37" s="402" t="s">
        <v>2555</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44" t="s">
        <v>2371</v>
      </c>
      <c r="Q37" s="1899" t="str">
        <f t="shared" si="14"/>
        <v>工程地质条件</v>
      </c>
      <c r="R37" s="753" t="s">
        <v>25</v>
      </c>
      <c r="S37" s="754">
        <f t="shared" si="10"/>
        <v>100</v>
      </c>
      <c r="T37" s="753" t="s">
        <v>25</v>
      </c>
      <c r="U37" s="754">
        <f t="shared" si="11"/>
        <v>100</v>
      </c>
      <c r="V37" s="753" t="s">
        <v>25</v>
      </c>
      <c r="W37" s="754">
        <f t="shared" si="12"/>
        <v>100</v>
      </c>
      <c r="X37" s="1900"/>
      <c r="Y37" s="3044" t="s">
        <v>2371</v>
      </c>
      <c r="Z37" s="1902" t="str">
        <f t="shared" si="13"/>
        <v>工程地质条件</v>
      </c>
      <c r="AA37" s="1903">
        <f t="shared" si="3"/>
        <v>1</v>
      </c>
      <c r="AB37" s="1903">
        <f t="shared" si="4"/>
        <v>1</v>
      </c>
      <c r="AC37" s="1903">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4"/>
      <c r="Q38" s="1899">
        <f t="shared" si="14"/>
        <v>111</v>
      </c>
      <c r="R38" s="753" t="s">
        <v>25</v>
      </c>
      <c r="S38" s="754">
        <f t="shared" si="10"/>
        <v>100</v>
      </c>
      <c r="T38" s="753" t="s">
        <v>25</v>
      </c>
      <c r="U38" s="754">
        <f t="shared" si="11"/>
        <v>100</v>
      </c>
      <c r="V38" s="753" t="s">
        <v>25</v>
      </c>
      <c r="W38" s="754">
        <f t="shared" si="12"/>
        <v>100</v>
      </c>
      <c r="X38" s="1900"/>
      <c r="Y38" s="3044"/>
      <c r="Z38" s="1902">
        <f t="shared" si="13"/>
        <v>111</v>
      </c>
      <c r="AA38" s="1903">
        <f t="shared" si="3"/>
        <v>1</v>
      </c>
      <c r="AB38" s="1903">
        <f t="shared" si="4"/>
        <v>1</v>
      </c>
      <c r="AC38" s="1903">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4"/>
      <c r="Q39" s="1899">
        <f t="shared" si="14"/>
        <v>111</v>
      </c>
      <c r="R39" s="753" t="s">
        <v>25</v>
      </c>
      <c r="S39" s="754">
        <f t="shared" si="10"/>
        <v>100</v>
      </c>
      <c r="T39" s="753" t="s">
        <v>25</v>
      </c>
      <c r="U39" s="754">
        <f t="shared" si="11"/>
        <v>100</v>
      </c>
      <c r="V39" s="753" t="s">
        <v>25</v>
      </c>
      <c r="W39" s="754">
        <f t="shared" si="12"/>
        <v>100</v>
      </c>
      <c r="X39" s="1900"/>
      <c r="Y39" s="3044"/>
      <c r="Z39" s="1902">
        <f t="shared" si="13"/>
        <v>111</v>
      </c>
      <c r="AA39" s="1903">
        <f t="shared" si="3"/>
        <v>1</v>
      </c>
      <c r="AB39" s="1903">
        <f t="shared" si="4"/>
        <v>1</v>
      </c>
      <c r="AC39" s="1903">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4"/>
      <c r="Q40" s="1899">
        <f t="shared" si="14"/>
        <v>111</v>
      </c>
      <c r="R40" s="756" t="s">
        <v>25</v>
      </c>
      <c r="S40" s="757">
        <f t="shared" si="10"/>
        <v>100</v>
      </c>
      <c r="T40" s="756" t="s">
        <v>25</v>
      </c>
      <c r="U40" s="757">
        <f t="shared" si="11"/>
        <v>100</v>
      </c>
      <c r="V40" s="756" t="s">
        <v>25</v>
      </c>
      <c r="W40" s="757">
        <f t="shared" si="12"/>
        <v>100</v>
      </c>
      <c r="X40" s="758"/>
      <c r="Y40" s="3044"/>
      <c r="Z40" s="759">
        <f t="shared" si="13"/>
        <v>111</v>
      </c>
      <c r="AA40" s="1903">
        <f t="shared" si="3"/>
        <v>1</v>
      </c>
      <c r="AB40" s="1903">
        <f t="shared" si="4"/>
        <v>1</v>
      </c>
      <c r="AC40" s="1903">
        <f t="shared" si="5"/>
        <v>1</v>
      </c>
    </row>
    <row r="41" spans="1:29" ht="15">
      <c r="A41" s="460" t="s">
        <v>2519</v>
      </c>
      <c r="B41" s="2492" t="s">
        <v>2594</v>
      </c>
      <c r="C41" s="665" t="s">
        <v>1</v>
      </c>
      <c r="D41" s="462"/>
      <c r="E41" s="463"/>
      <c r="F41" s="464"/>
      <c r="G41" s="465"/>
      <c r="H41" s="466"/>
      <c r="I41" s="463"/>
      <c r="J41" s="466"/>
      <c r="K41" s="762"/>
      <c r="L41" s="1256"/>
      <c r="M41" s="1244"/>
      <c r="N41" s="1244"/>
      <c r="O41" s="1257"/>
      <c r="P41" s="3050" t="str">
        <f>A41</f>
        <v>成交单价</v>
      </c>
      <c r="Q41" s="3050"/>
      <c r="R41" s="3030">
        <f>E41</f>
        <v>0</v>
      </c>
      <c r="S41" s="3030"/>
      <c r="T41" s="3030">
        <f>G41</f>
        <v>0</v>
      </c>
      <c r="U41" s="3030"/>
      <c r="V41" s="3030">
        <f>I41</f>
        <v>0</v>
      </c>
      <c r="W41" s="3030"/>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50" t="str">
        <f>A42</f>
        <v>比较价值（元/平方米）</v>
      </c>
      <c r="Q42" s="3050"/>
      <c r="R42" s="3071" t="e">
        <f>ROUND(PRODUCT(R41,AA7:AA40),0)</f>
        <v>#DIV/0!</v>
      </c>
      <c r="S42" s="3071"/>
      <c r="T42" s="3071" t="e">
        <f>ROUND(PRODUCT(T41,AB7:AB40),0)</f>
        <v>#DIV/0!</v>
      </c>
      <c r="U42" s="3071"/>
      <c r="V42" s="3071" t="e">
        <f>ROUND(PRODUCT(V41,AC7:AC40),0)</f>
        <v>#DIV/0!</v>
      </c>
      <c r="W42" s="3071"/>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56" t="str">
        <f>A43</f>
        <v>估价对象XX用房的比较价值（楼面单价，元/平方米）</v>
      </c>
      <c r="Q43" s="3057"/>
      <c r="R43" s="3072" t="e">
        <f>ROUND(AVERAGE(R42:V42),0)</f>
        <v>#DIV/0!</v>
      </c>
      <c r="S43" s="3072"/>
      <c r="T43" s="3072"/>
      <c r="U43" s="3072"/>
      <c r="V43" s="3072"/>
      <c r="W43" s="3072"/>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3" t="s">
        <v>2559</v>
      </c>
      <c r="D50" s="2494" t="s">
        <v>2560</v>
      </c>
      <c r="E50" s="669" t="s">
        <v>2561</v>
      </c>
      <c r="F50" s="670" t="s">
        <v>2562</v>
      </c>
      <c r="G50" s="1902" t="s">
        <v>2595</v>
      </c>
      <c r="H50" s="1902">
        <f>项目基本情况!G8</f>
        <v>0</v>
      </c>
      <c r="I50" s="1849"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2568</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2569</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2570</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2571</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2572</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2573</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2574</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2018-5-1</v>
      </c>
      <c r="D63" s="1670">
        <f>EDATE(C63,-3)</f>
        <v>43132</v>
      </c>
      <c r="E63" s="1670">
        <f t="shared" ref="E63:O63" si="18">EDATE(D63,-3)</f>
        <v>43040</v>
      </c>
      <c r="F63" s="1670">
        <f t="shared" si="18"/>
        <v>42948</v>
      </c>
      <c r="G63" s="1670">
        <f t="shared" si="18"/>
        <v>42856</v>
      </c>
      <c r="H63" s="1670">
        <f t="shared" si="18"/>
        <v>42767</v>
      </c>
      <c r="I63" s="1670">
        <f t="shared" si="18"/>
        <v>42675</v>
      </c>
      <c r="J63" s="1670">
        <f t="shared" si="18"/>
        <v>42583</v>
      </c>
      <c r="K63" s="1670">
        <f t="shared" si="18"/>
        <v>42491</v>
      </c>
      <c r="L63" s="1670">
        <f t="shared" si="18"/>
        <v>42401</v>
      </c>
      <c r="M63" s="1670">
        <f t="shared" si="18"/>
        <v>42309</v>
      </c>
      <c r="N63" s="1670">
        <f t="shared" si="18"/>
        <v>42217</v>
      </c>
      <c r="O63" s="1670">
        <f t="shared" si="18"/>
        <v>42125</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6" t="s">
        <v>2576</v>
      </c>
      <c r="B65" s="1456"/>
      <c r="C65" s="1671" t="str">
        <f>YEAR(C63)&amp;"-"&amp;ROUNDUP(MONTH(C63)/3,0)</f>
        <v>2018-2</v>
      </c>
      <c r="D65" s="1671" t="str">
        <f t="shared" ref="D65:O65" si="19">YEAR(D63)&amp;"-"&amp;ROUNDUP(MONTH(D63)/3,0)</f>
        <v>2018-1</v>
      </c>
      <c r="E65" s="1671" t="str">
        <f t="shared" si="19"/>
        <v>2017-4</v>
      </c>
      <c r="F65" s="1671" t="str">
        <f t="shared" si="19"/>
        <v>2017-3</v>
      </c>
      <c r="G65" s="1671" t="str">
        <f t="shared" si="19"/>
        <v>2017-2</v>
      </c>
      <c r="H65" s="1671" t="str">
        <f t="shared" si="19"/>
        <v>2017-1</v>
      </c>
      <c r="I65" s="1671" t="str">
        <f t="shared" si="19"/>
        <v>2016-4</v>
      </c>
      <c r="J65" s="1671" t="str">
        <f t="shared" si="19"/>
        <v>2016-3</v>
      </c>
      <c r="K65" s="1671" t="str">
        <f t="shared" si="19"/>
        <v>2016-2</v>
      </c>
      <c r="L65" s="1671" t="str">
        <f t="shared" si="19"/>
        <v>2016-1</v>
      </c>
      <c r="M65" s="1671" t="str">
        <f t="shared" si="19"/>
        <v>2015-4</v>
      </c>
      <c r="N65" s="1671" t="str">
        <f t="shared" si="19"/>
        <v>2015-3</v>
      </c>
      <c r="O65" s="1671" t="str">
        <f t="shared" si="19"/>
        <v>2015-2</v>
      </c>
      <c r="P65" s="488"/>
    </row>
    <row r="66" spans="1:17" s="35" customFormat="1" ht="33.75" customHeight="1">
      <c r="A66" s="2502" t="s">
        <v>2596</v>
      </c>
      <c r="B66" s="284" t="str">
        <f>"北京市平均增长率"&amp;TEXT(基准地价修正!P24,"0.00%")</f>
        <v>北京市平均增长率1.35%</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7" zoomScale="90" zoomScaleNormal="90" zoomScaleSheetLayoutView="90" workbookViewId="0">
      <selection activeCell="G43" sqref="G43"/>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2597</v>
      </c>
      <c r="B1" s="2504"/>
      <c r="C1" s="162" t="s">
        <v>2598</v>
      </c>
      <c r="D1" s="2505">
        <f>SUM(D29:D30,D33:D39)</f>
        <v>0</v>
      </c>
      <c r="E1" s="2505"/>
      <c r="F1" s="2505"/>
      <c r="G1" s="2505"/>
      <c r="H1" s="2505"/>
      <c r="I1" s="2505"/>
      <c r="J1" s="2505"/>
      <c r="L1" s="2506" t="s">
        <v>2599</v>
      </c>
      <c r="M1" s="1119">
        <f>SUMPRODUCT((区片价!B5:B9=I2)*(区片价!C3:F3=E2)*(区片价!C5:F9))</f>
        <v>0</v>
      </c>
      <c r="N1" s="1122">
        <f>SUMPRODUCT((因素修正幅度!B5:B9=I2)*(因素修正幅度!C3:F3=E2)*(因素修正幅度!C5:F9))</f>
        <v>0</v>
      </c>
      <c r="O1" s="1462"/>
      <c r="P1" s="1462"/>
      <c r="Q1" s="1462"/>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t="e">
        <f>C26</f>
        <v>#DIV/0!</v>
      </c>
      <c r="C2" s="2508" t="s">
        <v>2606</v>
      </c>
      <c r="D2" s="2509" t="s">
        <v>2607</v>
      </c>
      <c r="E2" s="2510"/>
      <c r="F2" s="2509" t="s">
        <v>2608</v>
      </c>
      <c r="G2" s="2511">
        <f>项目基本情况!F9</f>
        <v>0</v>
      </c>
      <c r="H2" s="2512" t="s">
        <v>2609</v>
      </c>
      <c r="I2" s="2511">
        <f>项目基本情况!F10</f>
        <v>0</v>
      </c>
      <c r="J2" s="2513"/>
      <c r="L2" s="2514" t="s">
        <v>2610</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2611</v>
      </c>
      <c r="B3" s="168" t="e">
        <f>ROUND(B2/D1,0)</f>
        <v>#DIV/0!</v>
      </c>
      <c r="C3" s="2508" t="s">
        <v>2612</v>
      </c>
      <c r="D3" s="2509" t="s">
        <v>2613</v>
      </c>
      <c r="E3" s="2515"/>
      <c r="F3" s="2516" t="s">
        <v>2614</v>
      </c>
      <c r="G3" s="941">
        <f>项目基本情况!C15</f>
        <v>0</v>
      </c>
      <c r="H3" s="115" t="s">
        <v>2615</v>
      </c>
      <c r="I3" s="974">
        <v>7</v>
      </c>
      <c r="J3" s="2513" t="s">
        <v>2616</v>
      </c>
      <c r="L3" s="2514" t="s">
        <v>2617</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89"/>
      <c r="B4" s="3090"/>
      <c r="C4" s="3090"/>
      <c r="D4" s="3091"/>
      <c r="E4" s="3091"/>
      <c r="F4" s="3091"/>
      <c r="G4" s="3091"/>
      <c r="H4" s="3091"/>
      <c r="I4" s="3091"/>
      <c r="J4" s="3092"/>
      <c r="L4" s="2514" t="s">
        <v>2618</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6" customFormat="1" ht="15.75" thickBot="1">
      <c r="A5" s="2517" t="s">
        <v>2619</v>
      </c>
      <c r="B5" s="2518" t="s">
        <v>2620</v>
      </c>
      <c r="C5" s="942" t="e">
        <f>ROUND(IF(E2="商业",IF(F16="增加",C6*C7+C16,C6*C7-C16),IF(E2="住宅",IF(F16="增加",C6*C12+C16,C6*C12-C16),IF(F16="增加",C6+C16,C6-C16))),0)</f>
        <v>#DIV/0!</v>
      </c>
      <c r="D5" s="1877">
        <f>ROUND(IF(E2="商业",IF(F16="增加",C6+C16,C6-C16)),0)</f>
        <v>0</v>
      </c>
      <c r="E5" s="2519"/>
      <c r="F5" s="2519"/>
      <c r="G5" s="2520"/>
      <c r="H5" s="2520"/>
      <c r="I5" s="2520"/>
      <c r="J5" s="2521"/>
      <c r="K5" s="2522"/>
      <c r="L5" s="2514" t="s">
        <v>2621</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3"/>
      <c r="AD5" s="2524"/>
      <c r="AE5" s="2524"/>
      <c r="AF5" s="2524"/>
      <c r="AG5" s="2524"/>
      <c r="AH5" s="2524"/>
      <c r="AI5" s="2524"/>
      <c r="AJ5" s="2525"/>
    </row>
    <row r="6" spans="1:36" ht="15.75" thickBot="1">
      <c r="A6" s="2527">
        <v>1</v>
      </c>
      <c r="B6" s="2528" t="s">
        <v>2622</v>
      </c>
      <c r="C6" s="943">
        <f>SUMIF(L1:L12,G2,M1:M12)</f>
        <v>0</v>
      </c>
      <c r="D6" s="2529" t="s">
        <v>2623</v>
      </c>
      <c r="E6" s="2530"/>
      <c r="F6" s="2530"/>
      <c r="G6" s="2531"/>
      <c r="H6" s="2531"/>
      <c r="I6" s="2531"/>
      <c r="J6" s="2532"/>
      <c r="K6" s="2533"/>
      <c r="L6" s="2514" t="s">
        <v>2624</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3"/>
      <c r="AD6" s="2524"/>
      <c r="AE6" s="2524"/>
      <c r="AF6" s="2524"/>
      <c r="AG6" s="2524"/>
      <c r="AH6" s="2524"/>
      <c r="AI6" s="2524"/>
      <c r="AJ6" s="2525"/>
    </row>
    <row r="7" spans="1:36" ht="24">
      <c r="A7" s="3073" t="str">
        <f>IF(E2="商业",IF(C8="不临58条商业街","",2),"")</f>
        <v/>
      </c>
      <c r="B7" s="2534" t="s">
        <v>2625</v>
      </c>
      <c r="C7" s="944" t="e">
        <f>IF(C8="不临58条商业街",1,ROUND(1+(1.6*E8+1.2*E9+0.8*E10+0.4*E11)*C9,4))</f>
        <v>#DIV/0!</v>
      </c>
      <c r="D7" s="2535" t="s">
        <v>2626</v>
      </c>
      <c r="E7" s="975"/>
      <c r="F7" s="2536"/>
      <c r="G7" s="2537"/>
      <c r="H7" s="2537"/>
      <c r="I7" s="2537"/>
      <c r="J7" s="2538"/>
      <c r="K7" s="2533"/>
      <c r="L7" s="2514" t="s">
        <v>2627</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2628</v>
      </c>
      <c r="X7" s="1711">
        <f>G2</f>
        <v>0</v>
      </c>
      <c r="Y7" s="1711" t="s">
        <v>2629</v>
      </c>
      <c r="Z7" s="1712">
        <f>G3</f>
        <v>0</v>
      </c>
      <c r="AA7" s="1713"/>
      <c r="AB7" s="1713"/>
      <c r="AC7" s="1714"/>
      <c r="AD7" s="1715"/>
      <c r="AE7" s="1715"/>
      <c r="AF7" s="1715"/>
      <c r="AG7" s="1715"/>
      <c r="AH7" s="1715"/>
      <c r="AI7" s="1715"/>
      <c r="AJ7" s="1716"/>
    </row>
    <row r="8" spans="1:36" ht="15">
      <c r="A8" s="3074"/>
      <c r="B8" s="115" t="s">
        <v>2630</v>
      </c>
      <c r="C8" s="2539"/>
      <c r="D8" s="945" t="s">
        <v>89</v>
      </c>
      <c r="E8" s="946" t="e">
        <f>ROUND(C11/E7,4)</f>
        <v>#DIV/0!</v>
      </c>
      <c r="F8" s="2540" t="s">
        <v>2631</v>
      </c>
      <c r="G8" s="2541"/>
      <c r="H8" s="2541"/>
      <c r="I8" s="2541"/>
      <c r="J8" s="2542"/>
      <c r="L8" s="2514" t="s">
        <v>2632</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6" t="s">
        <v>2633</v>
      </c>
      <c r="X8" s="3087"/>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074"/>
      <c r="B9" s="115" t="s">
        <v>2646</v>
      </c>
      <c r="C9" s="947">
        <f>SUMIF(修正!C59:C119,C8,修正!E59:E119)</f>
        <v>0</v>
      </c>
      <c r="D9" s="117" t="s">
        <v>90</v>
      </c>
      <c r="E9" s="117" t="e">
        <f>ROUND(C11/E7,4)</f>
        <v>#DIV/0!</v>
      </c>
      <c r="F9" s="2540" t="s">
        <v>2647</v>
      </c>
      <c r="G9" s="2541"/>
      <c r="H9" s="2541"/>
      <c r="I9" s="2541"/>
      <c r="J9" s="2542"/>
      <c r="L9" s="2514" t="s">
        <v>2648</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88"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74"/>
      <c r="B10" s="115" t="s">
        <v>2651</v>
      </c>
      <c r="C10" s="117">
        <f>SUMIF(修正!C59:C119,C8,修正!F59:F119)</f>
        <v>0</v>
      </c>
      <c r="D10" s="117" t="s">
        <v>91</v>
      </c>
      <c r="E10" s="117" t="e">
        <f>ROUND(C11/E7,4)</f>
        <v>#DIV/0!</v>
      </c>
      <c r="F10" s="2540" t="s">
        <v>2652</v>
      </c>
      <c r="G10" s="2541"/>
      <c r="H10" s="2541"/>
      <c r="I10" s="2541"/>
      <c r="J10" s="2542"/>
      <c r="L10" s="2514" t="s">
        <v>2653</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88"/>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74"/>
      <c r="B11" s="2543" t="s">
        <v>2654</v>
      </c>
      <c r="C11" s="948">
        <f>C10/4</f>
        <v>0</v>
      </c>
      <c r="D11" s="948" t="s">
        <v>92</v>
      </c>
      <c r="E11" s="948" t="e">
        <f>ROUND(C11/E7,4)</f>
        <v>#DIV/0!</v>
      </c>
      <c r="F11" s="2544" t="s">
        <v>2655</v>
      </c>
      <c r="G11" s="2545"/>
      <c r="H11" s="2545"/>
      <c r="I11" s="2545"/>
      <c r="J11" s="2546"/>
      <c r="L11" s="2514" t="s">
        <v>2656</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88" t="s">
        <v>2657</v>
      </c>
      <c r="X11" s="1722" t="s">
        <v>2658</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73" t="str">
        <f>IF(E2="住宅",2,"")</f>
        <v/>
      </c>
      <c r="B12" s="2547" t="s">
        <v>2659</v>
      </c>
      <c r="C12" s="944">
        <f>ROUND(C15*D15*E15*F15*G15*H15*I15*J15,4)</f>
        <v>1.32</v>
      </c>
      <c r="D12" s="2548" t="s">
        <v>2660</v>
      </c>
      <c r="E12" s="2549"/>
      <c r="F12" s="2549"/>
      <c r="G12" s="2550"/>
      <c r="H12" s="2550"/>
      <c r="I12" s="2550"/>
      <c r="J12" s="2551"/>
      <c r="L12" s="2552" t="s">
        <v>2661</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88"/>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3"/>
      <c r="B13" s="2553" t="s">
        <v>2663</v>
      </c>
      <c r="C13" s="2554" t="s">
        <v>2664</v>
      </c>
      <c r="D13" s="2555" t="s">
        <v>2665</v>
      </c>
      <c r="E13" s="2555" t="s">
        <v>2666</v>
      </c>
      <c r="F13" s="20" t="s">
        <v>2667</v>
      </c>
      <c r="G13" s="2556" t="s">
        <v>2668</v>
      </c>
      <c r="H13" s="2556" t="s">
        <v>2668</v>
      </c>
      <c r="I13" s="2556" t="s">
        <v>2668</v>
      </c>
      <c r="J13" s="2557" t="s">
        <v>2668</v>
      </c>
      <c r="L13" s="1462"/>
      <c r="M13" s="1462"/>
      <c r="N13" s="1462"/>
      <c r="O13" s="1462"/>
      <c r="P13" s="1462"/>
      <c r="Q13" s="1462"/>
      <c r="R13" s="1709">
        <v>12</v>
      </c>
      <c r="S13" s="1710"/>
      <c r="T13" s="1709" t="e">
        <f t="shared" si="0"/>
        <v>#DIV/0!</v>
      </c>
      <c r="U13" s="1710"/>
      <c r="V13" s="1709" t="e">
        <f t="shared" si="1"/>
        <v>#DIV/0!</v>
      </c>
      <c r="W13" s="3088"/>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93"/>
      <c r="B14" s="2558"/>
      <c r="C14" s="2559" t="s">
        <v>2669</v>
      </c>
      <c r="D14" s="2560" t="s">
        <v>2670</v>
      </c>
      <c r="E14" s="2560" t="s">
        <v>2670</v>
      </c>
      <c r="F14" s="2561" t="s">
        <v>2671</v>
      </c>
      <c r="G14" s="2562" t="s">
        <v>2672</v>
      </c>
      <c r="H14" s="2563"/>
      <c r="I14" s="2564"/>
      <c r="J14" s="2565"/>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4"/>
      <c r="B15" s="2566" t="s">
        <v>2673</v>
      </c>
      <c r="C15" s="150">
        <f>IF(C14="有",1.1,1)</f>
        <v>1.1000000000000001</v>
      </c>
      <c r="D15" s="150">
        <f>IF(D14="有",1.1,1)</f>
        <v>1</v>
      </c>
      <c r="E15" s="150">
        <f>IF(E14="有",1.1,1)</f>
        <v>1</v>
      </c>
      <c r="F15" s="150">
        <f>IF(F14="500米范围内",1.2,IF(F14="500-1000米",1.1,1))</f>
        <v>1.2</v>
      </c>
      <c r="G15" s="976">
        <v>1</v>
      </c>
      <c r="H15" s="976">
        <v>1</v>
      </c>
      <c r="I15" s="976">
        <v>1</v>
      </c>
      <c r="J15" s="977">
        <v>1</v>
      </c>
      <c r="L15" s="2567" t="s">
        <v>2674</v>
      </c>
      <c r="M15" s="945" t="s">
        <v>2675</v>
      </c>
      <c r="N15" s="945" t="s">
        <v>2676</v>
      </c>
      <c r="O15" s="945" t="s">
        <v>2677</v>
      </c>
      <c r="P15" s="2568" t="s">
        <v>2678</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73" t="b">
        <f>IF(E2="办公",2,IF(E2="工业",2,IF(E2="住宅",3,IF(E2="商业",IF(C8="不临58条商业街",2,3)))))</f>
        <v>0</v>
      </c>
      <c r="B16" s="2534" t="s">
        <v>2679</v>
      </c>
      <c r="C16" s="1885" t="e">
        <f>ROUND(SUM(G17:J17)/C17,0)</f>
        <v>#DIV/0!</v>
      </c>
      <c r="D16" s="2569" t="s">
        <v>2680</v>
      </c>
      <c r="E16" s="2570"/>
      <c r="F16" s="2571"/>
      <c r="G16" s="2572"/>
      <c r="H16" s="2572"/>
      <c r="I16" s="2572"/>
      <c r="J16" s="2573"/>
      <c r="L16" s="1460" t="s">
        <v>2681</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74"/>
      <c r="B17" s="2574" t="s">
        <v>2682</v>
      </c>
      <c r="C17" s="949">
        <f>SUMPRODUCT((修正!A2:A5=E2)*(修正!B1:M1=G2)*(修正!B2:M5))</f>
        <v>0</v>
      </c>
      <c r="D17" s="2575" t="s">
        <v>2683</v>
      </c>
      <c r="E17" s="948" t="str">
        <f>IF(OR(G2="八级",G2="九级",G2="十级",G2="十一级",G2="十二级"),"五通一平","七通一平")</f>
        <v>七通一平</v>
      </c>
      <c r="F17" s="949" t="s">
        <v>2684</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2685</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2686</v>
      </c>
      <c r="B18" s="2577" t="s">
        <v>2687</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2688</v>
      </c>
      <c r="B19" s="2577" t="s">
        <v>2689</v>
      </c>
      <c r="C19" s="952" t="e">
        <f>ROUND(IF(H19="按公示增长率计算",SUMPRODUCT((地价!A3:A22=YEAR(G19)&amp;"-"&amp;ROUNDUP(MONTH(G19)/3,0))*(地价!X2:AB2=E2)*(地价!X3:AB22)),IF(H19="地价指数",M20/M19,(1+I19)^O19)),4)</f>
        <v>#DIV/0!</v>
      </c>
      <c r="D19" s="2585" t="s">
        <v>2690</v>
      </c>
      <c r="E19" s="953">
        <v>41640</v>
      </c>
      <c r="F19" s="2585" t="s">
        <v>2691</v>
      </c>
      <c r="G19" s="954">
        <f>'数据-取费表'!B2</f>
        <v>43242</v>
      </c>
      <c r="H19" s="2586" t="s">
        <v>2692</v>
      </c>
      <c r="I19" s="955" t="str">
        <f>IF(H19="季度增幅（自定义）",SUMIF(N21:N24,E2,O21:O24),"")</f>
        <v/>
      </c>
      <c r="J19" s="2582"/>
      <c r="K19" s="2583"/>
      <c r="L19" s="2587" t="s">
        <v>2693</v>
      </c>
      <c r="M19" s="1826">
        <f>ROUND(SUMIF(地价!B2:F2,E2,地价!B22:F22),0)</f>
        <v>0</v>
      </c>
      <c r="N19" s="1466" t="s">
        <v>2694</v>
      </c>
      <c r="O19" s="956">
        <f>ROUNDDOWN(DATEDIF(E19,G19,"M")/3,0)</f>
        <v>17</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2695</v>
      </c>
      <c r="B20" s="2592" t="s">
        <v>2696</v>
      </c>
      <c r="C20" s="957" t="e">
        <f>ROUND(POWER(1+G20,J20-I20)*(POWER(1+G20,I20)-1)/(POWER(1+G20,J20)-1),4)</f>
        <v>#DIV/0!</v>
      </c>
      <c r="D20" s="2593" t="s">
        <v>2697</v>
      </c>
      <c r="E20" s="1856">
        <f ca="1">存贷款利率!D4/100</f>
        <v>4.3499999999999997E-2</v>
      </c>
      <c r="F20" s="2593" t="s">
        <v>2685</v>
      </c>
      <c r="G20" s="963">
        <f>SUMIF(M15:P15,E2,M17:P17)</f>
        <v>0</v>
      </c>
      <c r="H20" s="2593" t="s">
        <v>2698</v>
      </c>
      <c r="I20" s="964">
        <f>'数据-取费表'!B13</f>
        <v>44</v>
      </c>
      <c r="J20" s="965">
        <f>IF(E2="住宅",70,IF(E2="商业",40,50))</f>
        <v>50</v>
      </c>
      <c r="K20" s="2583"/>
      <c r="L20" s="2594" t="s">
        <v>2699</v>
      </c>
      <c r="M20" s="1827">
        <f>ROUND(SUMPRODUCT((地价!A4:A22=YEAR(G19)&amp;"-"&amp;ROUNDUP(MONTH(G19)/3,0))*(地价!B2:F2=E2)*(地价!B4:F22)),0)</f>
        <v>0</v>
      </c>
      <c r="N20" s="2595" t="s">
        <v>2700</v>
      </c>
      <c r="O20" s="2596" t="s">
        <v>2701</v>
      </c>
      <c r="P20" s="2597" t="s">
        <v>2702</v>
      </c>
      <c r="R20" s="1462"/>
      <c r="S20" s="1462"/>
      <c r="T20" s="1462"/>
      <c r="U20" s="1462"/>
      <c r="V20" s="1462"/>
      <c r="W20" s="1462"/>
      <c r="X20" s="1462"/>
      <c r="Y20" s="1462"/>
      <c r="Z20" s="1462"/>
      <c r="AA20" s="1462"/>
      <c r="AB20" s="1462"/>
      <c r="AC20" s="1462"/>
      <c r="AD20" s="1462"/>
      <c r="AE20" s="2583"/>
      <c r="AF20" s="2583"/>
    </row>
    <row r="21" spans="1:37" s="2526" customFormat="1" ht="14.25">
      <c r="A21" s="2598" t="s">
        <v>2703</v>
      </c>
      <c r="B21" s="2599" t="s">
        <v>2704</v>
      </c>
      <c r="C21" s="966" t="b">
        <f>IF(B21="容积率修正",IF(G3&lt;=10,D22,J22),C23)</f>
        <v>0</v>
      </c>
      <c r="D21" s="2600"/>
      <c r="E21" s="2600"/>
      <c r="F21" s="2600"/>
      <c r="G21" s="2600"/>
      <c r="H21" s="2600"/>
      <c r="I21" s="2600"/>
      <c r="J21" s="2601"/>
      <c r="K21" s="2583"/>
      <c r="N21" s="2602" t="s">
        <v>2705</v>
      </c>
      <c r="O21" s="1664"/>
      <c r="P21" s="1665">
        <f>SUMPRODUCT((地价!A3:A22=YEAR(G19)&amp;"-"&amp;ROUNDUP(MONTH(G19)/3,0))*(地价!AD2:AH2=N21)*(地价!AD3:AH22))</f>
        <v>1.5699999999999999E-2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2706</v>
      </c>
      <c r="C22" s="1899" t="s">
        <v>2707</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3"/>
      <c r="N22" s="2602" t="s">
        <v>2708</v>
      </c>
      <c r="O22" s="1664"/>
      <c r="P22" s="1665">
        <f>SUMPRODUCT((地价!A3:A22=YEAR(G19)&amp;"-"&amp;ROUNDUP(MONTH(G19)/3,0))*(地价!AD2:AH2=N22)*(地价!AD3:AH22))</f>
        <v>1.5699999999999999E-2</v>
      </c>
      <c r="R22" s="1462"/>
      <c r="S22" s="1462"/>
      <c r="T22" s="1462"/>
      <c r="U22" s="1462"/>
      <c r="V22" s="1462"/>
      <c r="W22" s="1462"/>
      <c r="X22" s="1462"/>
      <c r="Y22" s="1462"/>
      <c r="Z22" s="1462"/>
      <c r="AA22" s="1462"/>
      <c r="AB22" s="1462"/>
      <c r="AC22" s="1462"/>
      <c r="AD22" s="1462"/>
      <c r="AE22" s="2583"/>
      <c r="AF22" s="2583"/>
    </row>
    <row r="23" spans="1:37" ht="27">
      <c r="A23" s="2603">
        <v>2</v>
      </c>
      <c r="B23" s="2604" t="s">
        <v>2709</v>
      </c>
      <c r="C23" s="958">
        <f>ROUND(IF(G3&gt;1,IF(I3&lt;7,SUMPRODUCT((B93:B98=I3)*(C92:N92=G2)*(C93:N98)),SUMIF(C92:N92,G2,C100:N100)),IF(I3&lt;7,SUMPRODUCT((B102:B107=I3)*(C92:N92=G2)*(C102:N107)),SUMIF(C92:N92,G2,C109:N109))),4)</f>
        <v>0</v>
      </c>
      <c r="D23" s="2563"/>
      <c r="E23" s="2563"/>
      <c r="F23" s="2605"/>
      <c r="G23" s="2606"/>
      <c r="H23" s="2607"/>
      <c r="I23" s="2608"/>
      <c r="J23" s="2609"/>
      <c r="N23" s="2602" t="s">
        <v>2710</v>
      </c>
      <c r="O23" s="1664"/>
      <c r="P23" s="1665">
        <f>SUMPRODUCT((地价!A3:A22=YEAR(G19)&amp;"-"&amp;ROUNDUP(MONTH(G19)/3,0))*(地价!AD2:AH2=N23)*(地价!AD3:AH22))</f>
        <v>2.5000000000000001E-2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2711</v>
      </c>
      <c r="B24" s="2611" t="s">
        <v>2712</v>
      </c>
      <c r="C24" s="968">
        <f>SUMIF(A46:A88,E2,B46:B88)</f>
        <v>0</v>
      </c>
      <c r="D24" s="2612"/>
      <c r="E24" s="2613"/>
      <c r="F24" s="2613"/>
      <c r="G24" s="2613"/>
      <c r="H24" s="2613"/>
      <c r="I24" s="2613"/>
      <c r="J24" s="2614"/>
      <c r="K24" s="2583"/>
      <c r="N24" s="2615" t="s">
        <v>2713</v>
      </c>
      <c r="O24" s="1666"/>
      <c r="P24" s="1667">
        <f>SUMPRODUCT((地价!A3:A22=YEAR(G19)&amp;"-"&amp;ROUNDUP(MONTH(G19)/3,0))*(地价!AD2:AH2=N24)*(地价!AD3:AH22))</f>
        <v>1.35E-2</v>
      </c>
      <c r="R24" s="1462"/>
      <c r="S24" s="1462"/>
      <c r="T24" s="1462"/>
      <c r="U24" s="1462"/>
      <c r="V24" s="1462"/>
      <c r="W24" s="1462"/>
      <c r="X24" s="1462"/>
      <c r="Y24" s="1462"/>
      <c r="Z24" s="1462"/>
      <c r="AA24" s="1462"/>
      <c r="AB24" s="1462"/>
      <c r="AC24" s="1462"/>
      <c r="AD24" s="1462"/>
      <c r="AE24" s="2583"/>
      <c r="AF24" s="2583"/>
    </row>
    <row r="25" spans="1:37" ht="15" thickBot="1">
      <c r="A25" s="2591" t="s">
        <v>2714</v>
      </c>
      <c r="B25" s="2616" t="s">
        <v>2715</v>
      </c>
      <c r="C25" s="959"/>
      <c r="D25" s="2537"/>
      <c r="E25" s="2537"/>
      <c r="F25" s="2617"/>
      <c r="G25" s="2537"/>
      <c r="H25" s="2537"/>
      <c r="I25" s="2537"/>
      <c r="J25" s="2538"/>
      <c r="L25" s="1462"/>
      <c r="M25" s="1462"/>
      <c r="N25" s="2618" t="s">
        <v>2716</v>
      </c>
      <c r="O25" s="1668"/>
      <c r="P25" s="1667">
        <f>SUMPRODUCT((地价!A3:A22=YEAR(G19)&amp;"-"&amp;ROUNDUP(MONTH(G19)/3,0))*(地价!AD2:AH2=N25)*(地价!AD3:AH22))</f>
        <v>2.2700000000000001E-2</v>
      </c>
      <c r="R25" s="1462"/>
      <c r="S25" s="1462"/>
      <c r="T25" s="1462"/>
      <c r="U25" s="1462"/>
      <c r="V25" s="1462"/>
      <c r="W25" s="1462"/>
      <c r="X25" s="1462"/>
      <c r="Y25" s="1462"/>
      <c r="Z25" s="1462"/>
      <c r="AA25" s="1462"/>
      <c r="AB25" s="1462"/>
      <c r="AC25" s="1462"/>
      <c r="AD25" s="1462"/>
      <c r="AE25" s="1463"/>
      <c r="AF25" s="1463"/>
    </row>
    <row r="26" spans="1:37" ht="15">
      <c r="A26" s="2619"/>
      <c r="B26" s="2604" t="s">
        <v>2717</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2718</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2719</v>
      </c>
      <c r="C28" s="2629" t="s">
        <v>2720</v>
      </c>
      <c r="D28" s="2629" t="s">
        <v>2721</v>
      </c>
      <c r="E28" s="2630" t="s">
        <v>2722</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2723</v>
      </c>
      <c r="C29" s="123" t="e">
        <f>ROUND(C5*C18*C19*C20*C21*C24,0)</f>
        <v>#DIV/0!</v>
      </c>
      <c r="D29" s="2634"/>
      <c r="E29" s="972" t="e">
        <f>ROUND(C29*D29,0)</f>
        <v>#DIV/0!</v>
      </c>
      <c r="F29" s="2635" t="s">
        <v>2724</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2725</v>
      </c>
      <c r="C30" s="150" t="e">
        <f>ROUND(IF(E2="工业",C29*M39,C29*M38),0)</f>
        <v>#DIV/0!</v>
      </c>
      <c r="D30" s="2640"/>
      <c r="E30" s="972" t="e">
        <f>ROUND(C30*D30,0)</f>
        <v>#DIV/0!</v>
      </c>
      <c r="F30" s="2641" t="s">
        <v>2726</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2727</v>
      </c>
      <c r="C31" s="2646" t="s">
        <v>2728</v>
      </c>
      <c r="D31" s="2550"/>
      <c r="E31" s="2646"/>
      <c r="F31" s="2646"/>
      <c r="G31" s="2548" t="s">
        <v>2729</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2720</v>
      </c>
      <c r="D32" s="479" t="s">
        <v>2721</v>
      </c>
      <c r="E32" s="479" t="s">
        <v>2722</v>
      </c>
      <c r="F32" s="367" t="s">
        <v>2730</v>
      </c>
      <c r="G32" s="958" t="s">
        <v>2720</v>
      </c>
      <c r="H32" s="958" t="s">
        <v>2721</v>
      </c>
      <c r="I32" s="958" t="s">
        <v>2722</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083" t="s">
        <v>2731</v>
      </c>
      <c r="B33" s="2649" t="s">
        <v>2732</v>
      </c>
      <c r="C33" s="123" t="e">
        <f>ROUND(D5*C19*C20*C24*F33,0)</f>
        <v>#DIV/0!</v>
      </c>
      <c r="D33" s="2634"/>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4"/>
      <c r="B34" s="2554" t="s">
        <v>2733</v>
      </c>
      <c r="C34" s="123" t="e">
        <f>ROUND(D5*C19*C20*C24*F34,0)</f>
        <v>#DIV/0!</v>
      </c>
      <c r="D34" s="2634"/>
      <c r="E34" s="117" t="e">
        <f t="shared" si="6"/>
        <v>#DIV/0!</v>
      </c>
      <c r="F34" s="117">
        <f>SUMIF(修正!A45:A56,G2,修正!C45:C56)</f>
        <v>0</v>
      </c>
      <c r="G34" s="117" t="e">
        <f>ROUND(IF(E2="工业",C34*$M$39,C34*$M$38),0)</f>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4"/>
      <c r="B35" s="2554" t="s">
        <v>2734</v>
      </c>
      <c r="C35" s="123" t="e">
        <f>ROUND(D5*C19*C20*C24*F35,0)</f>
        <v>#DIV/0!</v>
      </c>
      <c r="D35" s="2634"/>
      <c r="E35" s="117" t="e">
        <f t="shared" si="6"/>
        <v>#DIV/0!</v>
      </c>
      <c r="F35" s="117">
        <f>SUMIF(修正!A45:A56,G2,修正!D45:D56)</f>
        <v>0</v>
      </c>
      <c r="G35" s="117" t="e">
        <f>ROUND(IF(E2="工业",C35*$M$39,C35*$M$38),0)</f>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5"/>
      <c r="B36" s="2554" t="s">
        <v>2735</v>
      </c>
      <c r="C36" s="123" t="e">
        <f>ROUND(D5*C19*C20*C24*F36,0)</f>
        <v>#DIV/0!</v>
      </c>
      <c r="D36" s="2634"/>
      <c r="E36" s="117" t="e">
        <f t="shared" si="6"/>
        <v>#DIV/0!</v>
      </c>
      <c r="F36" s="117">
        <f>SUMIF(修正!A45:A56,G2,修正!E45:E56)</f>
        <v>0</v>
      </c>
      <c r="G36" s="117" t="e">
        <f>ROUND(IF(E2="工业",C36*$M$39,C36*$M$38),0)</f>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2736</v>
      </c>
      <c r="C37" s="117" t="e">
        <f>ROUND(C5*C19*C20*C24*F37,0)</f>
        <v>#DIV/0!</v>
      </c>
      <c r="D37" s="2634"/>
      <c r="E37" s="117" t="e">
        <f t="shared" si="6"/>
        <v>#DIV/0!</v>
      </c>
      <c r="F37" s="123">
        <f>SUMIF(修正!A45:A56,G2,修正!F45:F56)</f>
        <v>0</v>
      </c>
      <c r="G37" s="117" t="e">
        <f>ROUND(IF(E2="工业",C37*$M$39,C37*$M$38),0)</f>
        <v>#DIV/0!</v>
      </c>
      <c r="H37" s="117">
        <f t="shared" si="9"/>
        <v>0</v>
      </c>
      <c r="I37" s="117" t="e">
        <f t="shared" si="8"/>
        <v>#DIV/0!</v>
      </c>
      <c r="J37" s="2650"/>
      <c r="L37" s="2653" t="s">
        <v>2737</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2738</v>
      </c>
      <c r="C38" s="117" t="e">
        <f>ROUND(C5*C19*C20*C24*F38,0)</f>
        <v>#DIV/0!</v>
      </c>
      <c r="D38" s="2634"/>
      <c r="E38" s="117" t="e">
        <f t="shared" si="6"/>
        <v>#DIV/0!</v>
      </c>
      <c r="F38" s="123">
        <f>SUMIF(修正!A45:A56,G2,修正!G45:G56)</f>
        <v>0</v>
      </c>
      <c r="G38" s="117" t="e">
        <f>ROUND(IF(E2="工业",C38*$M$39,C38*$M$38),0)</f>
        <v>#DIV/0!</v>
      </c>
      <c r="H38" s="117">
        <f t="shared" si="9"/>
        <v>0</v>
      </c>
      <c r="I38" s="117" t="e">
        <f t="shared" si="8"/>
        <v>#DIV/0!</v>
      </c>
      <c r="J38" s="2650"/>
      <c r="L38" s="2654" t="s">
        <v>2739</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2740</v>
      </c>
      <c r="C39" s="150" t="e">
        <f>ROUND(C5*C19*C20*C24*F39,0)</f>
        <v>#DIV/0!</v>
      </c>
      <c r="D39" s="2640"/>
      <c r="E39" s="150" t="e">
        <f t="shared" si="6"/>
        <v>#DIV/0!</v>
      </c>
      <c r="F39" s="961">
        <f>SUMIF(修正!A45:A56,G2,修正!H45:H56)</f>
        <v>0</v>
      </c>
      <c r="G39" s="150" t="e">
        <f>ROUND(IF(E2="工业",C39*$M$39,C39*$M$38),0)</f>
        <v>#DIV/0!</v>
      </c>
      <c r="H39" s="150">
        <f t="shared" si="9"/>
        <v>0</v>
      </c>
      <c r="I39" s="150" t="e">
        <f t="shared" si="8"/>
        <v>#DIV/0!</v>
      </c>
      <c r="J39" s="2657"/>
      <c r="L39" s="2658" t="s">
        <v>2678</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2741</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2742</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2743</v>
      </c>
      <c r="B47" s="823" t="s">
        <v>2744</v>
      </c>
      <c r="C47" s="823" t="s">
        <v>2745</v>
      </c>
      <c r="D47" s="823" t="s">
        <v>2746</v>
      </c>
      <c r="E47" s="824" t="s">
        <v>2747</v>
      </c>
      <c r="F47" s="2671" t="s">
        <v>2748</v>
      </c>
      <c r="G47" s="823" t="s">
        <v>2749</v>
      </c>
      <c r="H47" s="2672" t="s">
        <v>2750</v>
      </c>
      <c r="I47" s="823" t="s">
        <v>2751</v>
      </c>
      <c r="J47" s="587" t="s">
        <v>2752</v>
      </c>
      <c r="K47" s="587" t="s">
        <v>2753</v>
      </c>
      <c r="L47" s="587" t="s">
        <v>2754</v>
      </c>
      <c r="M47" s="587" t="s">
        <v>2755</v>
      </c>
      <c r="N47" s="587" t="s">
        <v>2756</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24.75">
      <c r="A48" s="2670" t="s">
        <v>2757</v>
      </c>
      <c r="B48" s="2673">
        <f>估价对象房地状况!C16</f>
        <v>0</v>
      </c>
      <c r="C48" s="2560"/>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63.75">
      <c r="A49" s="2670" t="s">
        <v>2758</v>
      </c>
      <c r="B49" s="2674" t="str">
        <f>估价对象房地状况!C18</f>
        <v>估价对象紧邻城市支路——下园一条，周边无地铁、有868路、916路、h58路、h59路公交线路等，综合评价交通便捷度一般</v>
      </c>
      <c r="C49" s="2560"/>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2759</v>
      </c>
      <c r="B50" s="2674">
        <f>估价对象房地状况!C19</f>
        <v>0</v>
      </c>
      <c r="C50" s="2560"/>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2760</v>
      </c>
      <c r="B51" s="2675" t="s">
        <v>2761</v>
      </c>
      <c r="C51" s="2560"/>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2762</v>
      </c>
      <c r="B52" s="2674" t="str">
        <f>估价对象房地状况!C24</f>
        <v>城市支路——下园一条</v>
      </c>
      <c r="C52" s="2560"/>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2763</v>
      </c>
      <c r="B53" s="2676" t="s">
        <v>2764</v>
      </c>
      <c r="C53" s="2560"/>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2765</v>
      </c>
      <c r="B54" s="2678" t="str">
        <f>估价对象房地状况!C21</f>
        <v>估价对象所在区域公共配套设施齐备情况一般</v>
      </c>
      <c r="C54" s="2560"/>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5.5">
      <c r="A55" s="2677" t="s">
        <v>2766</v>
      </c>
      <c r="B55" s="2674" t="str">
        <f>估价对象房地状况!C22</f>
        <v>估价对象所在区域基础设施水平——七通</v>
      </c>
      <c r="C55" s="2560"/>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64.5" thickBot="1">
      <c r="A56" s="2679" t="s">
        <v>2767</v>
      </c>
      <c r="B56" s="2680" t="str">
        <f>估价对象房地状况!C20</f>
        <v>自然环境：普法公园、迎宾公园、怀柔水库等；人文环境：怀柔区博物馆等，综合评价环境状况一般</v>
      </c>
      <c r="C56" s="2560"/>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2768</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2743</v>
      </c>
      <c r="B58" s="2674"/>
      <c r="C58" s="823" t="s">
        <v>2745</v>
      </c>
      <c r="D58" s="823" t="s">
        <v>2746</v>
      </c>
      <c r="E58" s="824" t="s">
        <v>2747</v>
      </c>
      <c r="F58" s="2671" t="s">
        <v>2748</v>
      </c>
      <c r="G58" s="823" t="s">
        <v>2769</v>
      </c>
      <c r="H58" s="2672" t="s">
        <v>2770</v>
      </c>
      <c r="I58" s="823" t="s">
        <v>2771</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24">
      <c r="A59" s="2670" t="s">
        <v>2772</v>
      </c>
      <c r="B59" s="2673">
        <f>估价对象房地状况!C17</f>
        <v>0</v>
      </c>
      <c r="C59" s="2560"/>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63.75">
      <c r="A60" s="2670" t="s">
        <v>2758</v>
      </c>
      <c r="B60" s="2674" t="str">
        <f>估价对象房地状况!C18</f>
        <v>估价对象紧邻城市支路——下园一条，周边无地铁、有868路、916路、h58路、h59路公交线路等，综合评价交通便捷度一般</v>
      </c>
      <c r="C60" s="2560"/>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2759</v>
      </c>
      <c r="B61" s="2674">
        <f>估价对象房地状况!C19</f>
        <v>0</v>
      </c>
      <c r="C61" s="2560"/>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2760</v>
      </c>
      <c r="B62" s="2675" t="s">
        <v>2761</v>
      </c>
      <c r="C62" s="2560"/>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2762</v>
      </c>
      <c r="B63" s="2674" t="str">
        <f>估价对象房地状况!C24</f>
        <v>城市支路——下园一条</v>
      </c>
      <c r="C63" s="2560"/>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2763</v>
      </c>
      <c r="B64" s="2676" t="s">
        <v>2764</v>
      </c>
      <c r="C64" s="2560"/>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2765</v>
      </c>
      <c r="B65" s="2678" t="str">
        <f>估价对象房地状况!C21</f>
        <v>估价对象所在区域公共配套设施齐备情况一般</v>
      </c>
      <c r="C65" s="2560"/>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5.5">
      <c r="A66" s="2670" t="s">
        <v>2766</v>
      </c>
      <c r="B66" s="2678" t="str">
        <f>估价对象房地状况!C22</f>
        <v>估价对象所在区域基础设施水平——七通</v>
      </c>
      <c r="C66" s="2560"/>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64.5" thickBot="1">
      <c r="A67" s="2679" t="s">
        <v>2767</v>
      </c>
      <c r="B67" s="2682" t="str">
        <f>估价对象房地状况!C20</f>
        <v>自然环境：普法公园、迎宾公园、怀柔水库等；人文环境：怀柔区博物馆等，综合评价环境状况一般</v>
      </c>
      <c r="C67" s="2560"/>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2773</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2743</v>
      </c>
      <c r="B69" s="2674"/>
      <c r="C69" s="823" t="s">
        <v>2745</v>
      </c>
      <c r="D69" s="823" t="s">
        <v>2746</v>
      </c>
      <c r="E69" s="824" t="s">
        <v>2747</v>
      </c>
      <c r="F69" s="2671" t="s">
        <v>2748</v>
      </c>
      <c r="G69" s="823" t="s">
        <v>2769</v>
      </c>
      <c r="H69" s="2672" t="s">
        <v>2770</v>
      </c>
      <c r="I69" s="823" t="s">
        <v>2771</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76.5">
      <c r="A70" s="2670" t="s">
        <v>2774</v>
      </c>
      <c r="B70" s="2673" t="str">
        <f>估价对象房地状况!C15</f>
        <v>估价对象周边有府前东街、金台园小区、南华园村、东关家园等居住小区，小区规模和社区发展完善程度一般，综合评价居住社区成熟度一般</v>
      </c>
      <c r="C70" s="2560"/>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63.75">
      <c r="A71" s="2670" t="s">
        <v>2758</v>
      </c>
      <c r="B71" s="2674" t="str">
        <f>估价对象房地状况!C18</f>
        <v>估价对象紧邻城市支路——下园一条，周边无地铁、有868路、916路、h58路、h59路公交线路等，综合评价交通便捷度一般</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2759</v>
      </c>
      <c r="B72" s="2674">
        <f>估价对象房地状况!C19</f>
        <v>0</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2775</v>
      </c>
      <c r="B73" s="2674" t="str">
        <f>估价对象房地状况!C24</f>
        <v>城市支路——下园一条</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2765</v>
      </c>
      <c r="B74" s="2678" t="str">
        <f>估价对象房地状况!C21</f>
        <v>估价对象所在区域公共配套设施齐备情况一般</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5.5">
      <c r="A75" s="2670" t="s">
        <v>2766</v>
      </c>
      <c r="B75" s="2678" t="str">
        <f>估价对象房地状况!C22</f>
        <v>估价对象所在区域基础设施水平——七通</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2763</v>
      </c>
      <c r="B76" s="2676" t="s">
        <v>2764</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63.75">
      <c r="A77" s="2670" t="s">
        <v>2767</v>
      </c>
      <c r="B77" s="2673" t="str">
        <f>估价对象房地状况!C20</f>
        <v>自然环境：普法公园、迎宾公园、怀柔水库等；人文环境：怀柔区博物馆等，综合评价环境状况一般</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2776</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2777</v>
      </c>
      <c r="B79" s="2681">
        <f>1+E81</f>
        <v>1</v>
      </c>
      <c r="C79" s="817"/>
      <c r="D79" s="817"/>
      <c r="E79" s="818"/>
      <c r="F79" s="2668"/>
      <c r="G79" s="7"/>
      <c r="H79" s="7"/>
      <c r="I79" s="7"/>
      <c r="J79" s="9"/>
      <c r="K79" s="9"/>
      <c r="L79" s="9"/>
      <c r="M79" s="9"/>
      <c r="N79" s="9"/>
      <c r="Z79" s="2507"/>
      <c r="AA79" s="2584"/>
      <c r="AG79" s="2660"/>
      <c r="AK79" s="2584"/>
    </row>
    <row r="80" spans="1:37" ht="24.75">
      <c r="A80" s="2670" t="s">
        <v>2743</v>
      </c>
      <c r="B80" s="2674"/>
      <c r="C80" s="823" t="s">
        <v>2745</v>
      </c>
      <c r="D80" s="823" t="s">
        <v>2746</v>
      </c>
      <c r="E80" s="824" t="s">
        <v>2747</v>
      </c>
      <c r="F80" s="2671" t="s">
        <v>2748</v>
      </c>
      <c r="G80" s="823" t="s">
        <v>2769</v>
      </c>
      <c r="H80" s="2672" t="s">
        <v>2770</v>
      </c>
      <c r="I80" s="823" t="s">
        <v>2771</v>
      </c>
      <c r="J80" s="587" t="s">
        <v>2403</v>
      </c>
      <c r="K80" s="587" t="s">
        <v>2404</v>
      </c>
      <c r="L80" s="587" t="s">
        <v>2405</v>
      </c>
      <c r="M80" s="587" t="s">
        <v>2406</v>
      </c>
      <c r="N80" s="587" t="s">
        <v>2407</v>
      </c>
      <c r="Z80" s="2507"/>
      <c r="AA80" s="2584"/>
      <c r="AG80" s="2660"/>
      <c r="AK80" s="2584"/>
    </row>
    <row r="81" spans="1:37" ht="38.25">
      <c r="A81" s="2670" t="s">
        <v>2778</v>
      </c>
      <c r="B81" s="2674" t="str">
        <f>估价对象房地状况!G15</f>
        <v>估价对象位于XX开发区，园区建设成熟度XX，产业集聚程度XX</v>
      </c>
      <c r="C81" s="2560"/>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2758</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2759</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2775</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2765</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2766</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2763</v>
      </c>
      <c r="B87" s="2676" t="s">
        <v>2764</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2779</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075" t="s">
        <v>2780</v>
      </c>
      <c r="B90" s="3075"/>
      <c r="C90" s="3075"/>
      <c r="D90" s="3075"/>
      <c r="E90" s="3075"/>
      <c r="F90" s="3075"/>
      <c r="G90" s="3075"/>
      <c r="H90" s="3075"/>
      <c r="I90" s="3075"/>
      <c r="J90" s="3075"/>
      <c r="K90" s="2687"/>
      <c r="L90" s="2687"/>
      <c r="M90" s="2687"/>
      <c r="N90" s="2687"/>
    </row>
    <row r="91" spans="1:37">
      <c r="A91" s="3077" t="s">
        <v>2781</v>
      </c>
      <c r="B91" s="3077" t="s">
        <v>2782</v>
      </c>
      <c r="C91" s="2635" t="s">
        <v>2783</v>
      </c>
      <c r="D91" s="2636"/>
      <c r="E91" s="2636"/>
      <c r="F91" s="2636"/>
      <c r="G91" s="2636"/>
      <c r="H91" s="2636"/>
      <c r="I91" s="2636"/>
      <c r="J91" s="2688"/>
      <c r="K91" s="2689"/>
      <c r="L91" s="2689"/>
      <c r="M91" s="2689"/>
      <c r="N91" s="2689"/>
    </row>
    <row r="92" spans="1:37">
      <c r="A92" s="3077"/>
      <c r="B92" s="3077"/>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78" t="s">
        <v>2784</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079"/>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079"/>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079"/>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079"/>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079"/>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079"/>
      <c r="B99" s="2690" t="s">
        <v>2650</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080"/>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078" t="s">
        <v>2785</v>
      </c>
      <c r="B101" s="2694" t="s">
        <v>2786</v>
      </c>
      <c r="C101" s="2695">
        <f>$G$3</f>
        <v>0</v>
      </c>
      <c r="D101" s="2695">
        <f t="shared" ref="D101:N101" si="31">$G$3</f>
        <v>0</v>
      </c>
      <c r="E101" s="2695">
        <f t="shared" si="31"/>
        <v>0</v>
      </c>
      <c r="F101" s="2695">
        <f t="shared" si="31"/>
        <v>0</v>
      </c>
      <c r="G101" s="2695">
        <f t="shared" si="31"/>
        <v>0</v>
      </c>
      <c r="H101" s="2695">
        <f t="shared" si="31"/>
        <v>0</v>
      </c>
      <c r="I101" s="2695">
        <f t="shared" si="31"/>
        <v>0</v>
      </c>
      <c r="J101" s="2695">
        <f t="shared" si="31"/>
        <v>0</v>
      </c>
      <c r="K101" s="2695">
        <f t="shared" si="31"/>
        <v>0</v>
      </c>
      <c r="L101" s="2695">
        <f t="shared" si="31"/>
        <v>0</v>
      </c>
      <c r="M101" s="2695">
        <f t="shared" si="31"/>
        <v>0</v>
      </c>
      <c r="N101" s="2695">
        <f t="shared" si="31"/>
        <v>0</v>
      </c>
    </row>
    <row r="102" spans="1:14">
      <c r="A102" s="3079"/>
      <c r="B102" s="2690">
        <v>1</v>
      </c>
      <c r="C102" s="2691" t="e">
        <f>1.9362/C101</f>
        <v>#DIV/0!</v>
      </c>
      <c r="D102" s="2691" t="e">
        <f>1.9362/D101</f>
        <v>#DIV/0!</v>
      </c>
      <c r="E102" s="2691" t="e">
        <f>1.8629/E101</f>
        <v>#DIV/0!</v>
      </c>
      <c r="F102" s="2691" t="e">
        <f>1.8629/F101</f>
        <v>#DIV/0!</v>
      </c>
      <c r="G102" s="2691" t="e">
        <f>1.8629/G101</f>
        <v>#DIV/0!</v>
      </c>
      <c r="H102" s="2691" t="e">
        <f>1.8629/H101</f>
        <v>#DIV/0!</v>
      </c>
      <c r="I102" s="2691" t="e">
        <f>1.8629/I101</f>
        <v>#DIV/0!</v>
      </c>
      <c r="J102" s="2691" t="e">
        <f>1.942/J101</f>
        <v>#DIV/0!</v>
      </c>
      <c r="K102" s="2691" t="e">
        <f>1.942/K101</f>
        <v>#DIV/0!</v>
      </c>
      <c r="L102" s="2691" t="e">
        <f>1.942/L101</f>
        <v>#DIV/0!</v>
      </c>
      <c r="M102" s="2691" t="e">
        <f>1.942/M101</f>
        <v>#DIV/0!</v>
      </c>
      <c r="N102" s="2691" t="e">
        <f>1.942/N101</f>
        <v>#DIV/0!</v>
      </c>
    </row>
    <row r="103" spans="1:14">
      <c r="A103" s="3079"/>
      <c r="B103" s="2690">
        <v>2</v>
      </c>
      <c r="C103" s="2691" t="e">
        <f>1.4198/C101</f>
        <v>#DIV/0!</v>
      </c>
      <c r="D103" s="2691" t="e">
        <f>1.4198/D101</f>
        <v>#DIV/0!</v>
      </c>
      <c r="E103" s="2691" t="e">
        <f>1.3372/E101</f>
        <v>#DIV/0!</v>
      </c>
      <c r="F103" s="2691" t="e">
        <f>1.3372/F101</f>
        <v>#DIV/0!</v>
      </c>
      <c r="G103" s="2691" t="e">
        <f>1.3372/G101</f>
        <v>#DIV/0!</v>
      </c>
      <c r="H103" s="2691" t="e">
        <f>1.3372/H101</f>
        <v>#DIV/0!</v>
      </c>
      <c r="I103" s="2691" t="e">
        <f>1.3372/I101</f>
        <v>#DIV/0!</v>
      </c>
      <c r="J103" s="2691" t="e">
        <f>1.2799/J101</f>
        <v>#DIV/0!</v>
      </c>
      <c r="K103" s="2691" t="e">
        <f>1.2799/K101</f>
        <v>#DIV/0!</v>
      </c>
      <c r="L103" s="2691" t="e">
        <f>1.2799/L101</f>
        <v>#DIV/0!</v>
      </c>
      <c r="M103" s="2691" t="e">
        <f>1.2799/M101</f>
        <v>#DIV/0!</v>
      </c>
      <c r="N103" s="2691" t="e">
        <f>1.2799/N101</f>
        <v>#DIV/0!</v>
      </c>
    </row>
    <row r="104" spans="1:14">
      <c r="A104" s="3079"/>
      <c r="B104" s="2690">
        <v>3</v>
      </c>
      <c r="C104" s="2691" t="e">
        <f>1.1594/C101</f>
        <v>#DIV/0!</v>
      </c>
      <c r="D104" s="2691" t="e">
        <f>1.1594/D101</f>
        <v>#DIV/0!</v>
      </c>
      <c r="E104" s="2691" t="e">
        <f>1.0788/E101</f>
        <v>#DIV/0!</v>
      </c>
      <c r="F104" s="2691" t="e">
        <f>1.0788/F101</f>
        <v>#DIV/0!</v>
      </c>
      <c r="G104" s="2691" t="e">
        <f>1.0788/G101</f>
        <v>#DIV/0!</v>
      </c>
      <c r="H104" s="2691" t="e">
        <f>1.0788/H101</f>
        <v>#DIV/0!</v>
      </c>
      <c r="I104" s="2691" t="e">
        <f>1.0788/I101</f>
        <v>#DIV/0!</v>
      </c>
      <c r="J104" s="2691" t="e">
        <f>1.0072/J101</f>
        <v>#DIV/0!</v>
      </c>
      <c r="K104" s="2691" t="e">
        <f>1.0072/K101</f>
        <v>#DIV/0!</v>
      </c>
      <c r="L104" s="2691" t="e">
        <f>1.0072/L101</f>
        <v>#DIV/0!</v>
      </c>
      <c r="M104" s="2691" t="e">
        <f>1.0072/M101</f>
        <v>#DIV/0!</v>
      </c>
      <c r="N104" s="2691" t="e">
        <f>1.0072/N101</f>
        <v>#DIV/0!</v>
      </c>
    </row>
    <row r="105" spans="1:14">
      <c r="A105" s="3079"/>
      <c r="B105" s="2690">
        <v>4</v>
      </c>
      <c r="C105" s="2691" t="e">
        <f>0.9622/C101</f>
        <v>#DIV/0!</v>
      </c>
      <c r="D105" s="2691" t="e">
        <f>0.9622/D101</f>
        <v>#DIV/0!</v>
      </c>
      <c r="E105" s="2691" t="e">
        <f>0.8656/E101</f>
        <v>#DIV/0!</v>
      </c>
      <c r="F105" s="2691" t="e">
        <f>0.8656/F101</f>
        <v>#DIV/0!</v>
      </c>
      <c r="G105" s="2691" t="e">
        <f>0.8656/G101</f>
        <v>#DIV/0!</v>
      </c>
      <c r="H105" s="2691" t="e">
        <f>0.8656/H101</f>
        <v>#DIV/0!</v>
      </c>
      <c r="I105" s="2691" t="e">
        <f>0.8656/I101</f>
        <v>#DIV/0!</v>
      </c>
      <c r="J105" s="2691" t="e">
        <f>0.7525/J101</f>
        <v>#DIV/0!</v>
      </c>
      <c r="K105" s="2691" t="e">
        <f>0.7525/K101</f>
        <v>#DIV/0!</v>
      </c>
      <c r="L105" s="2691" t="e">
        <f>0.7525/L101</f>
        <v>#DIV/0!</v>
      </c>
      <c r="M105" s="2691" t="e">
        <f>0.7525/M101</f>
        <v>#DIV/0!</v>
      </c>
      <c r="N105" s="2691" t="e">
        <f>0.7525/N101</f>
        <v>#DIV/0!</v>
      </c>
    </row>
    <row r="106" spans="1:14">
      <c r="A106" s="3079"/>
      <c r="B106" s="2690">
        <v>5</v>
      </c>
      <c r="C106" s="2691" t="e">
        <f>0.8417/C101</f>
        <v>#DIV/0!</v>
      </c>
      <c r="D106" s="2691" t="e">
        <f>0.8417/D101</f>
        <v>#DIV/0!</v>
      </c>
      <c r="E106" s="2691" t="e">
        <f>0.7371/E101</f>
        <v>#DIV/0!</v>
      </c>
      <c r="F106" s="2691" t="e">
        <f>0.7371/F101</f>
        <v>#DIV/0!</v>
      </c>
      <c r="G106" s="2691" t="e">
        <f>0.7371/G101</f>
        <v>#DIV/0!</v>
      </c>
      <c r="H106" s="2691" t="e">
        <f>0.7371/H101</f>
        <v>#DIV/0!</v>
      </c>
      <c r="I106" s="2691" t="e">
        <f>0.7371/I101</f>
        <v>#DIV/0!</v>
      </c>
      <c r="J106" s="2691" t="e">
        <f>0.5659/J101</f>
        <v>#DIV/0!</v>
      </c>
      <c r="K106" s="2691" t="e">
        <f>0.5659/K101</f>
        <v>#DIV/0!</v>
      </c>
      <c r="L106" s="2691" t="e">
        <f>0.5659/L101</f>
        <v>#DIV/0!</v>
      </c>
      <c r="M106" s="2691" t="e">
        <f>0.5659/M101</f>
        <v>#DIV/0!</v>
      </c>
      <c r="N106" s="2691" t="e">
        <f>0.5659/N101</f>
        <v>#DIV/0!</v>
      </c>
    </row>
    <row r="107" spans="1:14">
      <c r="A107" s="3079"/>
      <c r="B107" s="2690">
        <v>6</v>
      </c>
      <c r="C107" s="2691" t="e">
        <f>0.7608/C101</f>
        <v>#DIV/0!</v>
      </c>
      <c r="D107" s="2691" t="e">
        <f>0.7608/D101</f>
        <v>#DIV/0!</v>
      </c>
      <c r="E107" s="2691" t="e">
        <f>0.6482/E101</f>
        <v>#DIV/0!</v>
      </c>
      <c r="F107" s="2691" t="e">
        <f>0.6482/F101</f>
        <v>#DIV/0!</v>
      </c>
      <c r="G107" s="2691" t="e">
        <f>0.6482/G101</f>
        <v>#DIV/0!</v>
      </c>
      <c r="H107" s="2691" t="e">
        <f>0.6482/H101</f>
        <v>#DIV/0!</v>
      </c>
      <c r="I107" s="2691" t="e">
        <f>0.6482/I101</f>
        <v>#DIV/0!</v>
      </c>
      <c r="J107" s="2691" t="e">
        <f>0.4525/J101</f>
        <v>#DIV/0!</v>
      </c>
      <c r="K107" s="2691" t="e">
        <f>0.4525/K101</f>
        <v>#DIV/0!</v>
      </c>
      <c r="L107" s="2691" t="e">
        <f>0.4525/L101</f>
        <v>#DIV/0!</v>
      </c>
      <c r="M107" s="2691" t="e">
        <f>0.4525/M101</f>
        <v>#DIV/0!</v>
      </c>
      <c r="N107" s="2691" t="e">
        <f>0.4525/N101</f>
        <v>#DIV/0!</v>
      </c>
    </row>
    <row r="108" spans="1:14">
      <c r="A108" s="3079"/>
      <c r="B108" s="3081" t="s">
        <v>2787</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080"/>
      <c r="B109" s="3082"/>
      <c r="C109" s="2693" t="e">
        <f>(-0.163*(C108^2)-0.59*C108+7617)*(10^(-4))/C101</f>
        <v>#DIV/0!</v>
      </c>
      <c r="D109" s="2693" t="e">
        <f>(-0.163*(D108^2)-0.59*D108+7617)*(10^(-4))/D101</f>
        <v>#DIV/0!</v>
      </c>
      <c r="E109" s="2693" t="e">
        <f>(-0.161*(E108^2)-7.509*E108+6533)*(10^(-4))/E101</f>
        <v>#DIV/0!</v>
      </c>
      <c r="F109" s="2693" t="e">
        <f>(-0.161*(F108^2)-7.509*F108+6533)*(10^(-4))/F101</f>
        <v>#DIV/0!</v>
      </c>
      <c r="G109" s="2693" t="e">
        <f>(-0.161*(G108^2)-7.509*G108+6533)*(10^(-4))/G101</f>
        <v>#DIV/0!</v>
      </c>
      <c r="H109" s="2693" t="e">
        <f>(-0.161*(H108^2)-7.509*H108+6533)*(10^(-4))/H101</f>
        <v>#DIV/0!</v>
      </c>
      <c r="I109" s="2693" t="e">
        <f>(-0.161*(I108^2)-7.509*I108+6533)*(10^(-4))/I101</f>
        <v>#DIV/0!</v>
      </c>
      <c r="J109" s="2693" t="e">
        <f>(-0.214*(J108^2)-21.991*J108+4665)*(10^(-4))/J101</f>
        <v>#DIV/0!</v>
      </c>
      <c r="K109" s="2693" t="e">
        <f>(-0.214*(K108^2)-21.991*K108+4665)*(10^(-4))/K101</f>
        <v>#DIV/0!</v>
      </c>
      <c r="L109" s="2693" t="e">
        <f>(-0.214*(L108^2)-21.991*L108+4665)*(10^(-4))/L101</f>
        <v>#DIV/0!</v>
      </c>
      <c r="M109" s="2693" t="e">
        <f>(-0.214*(M108^2)-21.991*M108+4665)*(10^(-4))/M101</f>
        <v>#DIV/0!</v>
      </c>
      <c r="N109" s="2693" t="e">
        <f>(-0.214*(N108^2)-21.991*N108+4665)*(10^(-4))/N101</f>
        <v>#DIV/0!</v>
      </c>
    </row>
    <row r="110" spans="1:14">
      <c r="A110" s="3076" t="s">
        <v>2788</v>
      </c>
      <c r="B110" s="3076"/>
      <c r="C110" s="3076"/>
      <c r="D110" s="3076"/>
      <c r="E110" s="3076"/>
      <c r="F110" s="3076"/>
      <c r="G110" s="3076"/>
      <c r="H110" s="3076"/>
      <c r="I110" s="3076"/>
      <c r="J110" s="3076"/>
      <c r="K110" s="2696"/>
      <c r="L110" s="2696"/>
      <c r="M110" s="2696"/>
      <c r="N110" s="2696"/>
    </row>
    <row r="112" spans="1:14" ht="13.5" thickBot="1"/>
    <row r="113" spans="1:13" ht="25.5" thickBot="1">
      <c r="A113" s="928" t="s">
        <v>2789</v>
      </c>
      <c r="B113" s="1379">
        <f>G3</f>
        <v>0</v>
      </c>
      <c r="C113" s="929" t="s">
        <v>2790</v>
      </c>
      <c r="D113" s="930">
        <f>SUMPRODUCT((A115:A118=F113)*(B114:M114=H113)*B115:M118)</f>
        <v>0</v>
      </c>
      <c r="E113" s="2698" t="s">
        <v>2674</v>
      </c>
      <c r="F113" s="2699">
        <f>E2</f>
        <v>0</v>
      </c>
      <c r="G113" s="2698" t="s">
        <v>2608</v>
      </c>
      <c r="H113" s="2699">
        <f>G2</f>
        <v>0</v>
      </c>
      <c r="I113" s="2698"/>
      <c r="J113" s="2700"/>
      <c r="K113" s="2700"/>
      <c r="L113" s="2700"/>
      <c r="M113" s="2700"/>
    </row>
    <row r="114" spans="1:13">
      <c r="A114" s="933"/>
      <c r="B114" s="2701" t="s">
        <v>2791</v>
      </c>
      <c r="C114" s="2701" t="s">
        <v>2792</v>
      </c>
      <c r="D114" s="2701" t="s">
        <v>2793</v>
      </c>
      <c r="E114" s="2702" t="s">
        <v>2794</v>
      </c>
      <c r="F114" s="2702" t="s">
        <v>2795</v>
      </c>
      <c r="G114" s="2702" t="s">
        <v>2796</v>
      </c>
      <c r="H114" s="2703" t="s">
        <v>2797</v>
      </c>
      <c r="I114" s="2703" t="s">
        <v>2798</v>
      </c>
      <c r="J114" s="2704" t="s">
        <v>2799</v>
      </c>
      <c r="K114" s="2704" t="s">
        <v>2800</v>
      </c>
      <c r="L114" s="2704" t="s">
        <v>2801</v>
      </c>
      <c r="M114" s="2705" t="s">
        <v>2802</v>
      </c>
    </row>
    <row r="115" spans="1:13">
      <c r="A115" s="934" t="s">
        <v>2675</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2676</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2677</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2678</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5" t="s">
        <v>787</v>
      </c>
      <c r="B1" s="3095"/>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估价对象紧邻城市支路——下园一条，周边无地铁、有868路、916路、h58路、h59路公交线路等，综合评价交通便捷度一般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城市支路——下园一条</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估价对象所在区域公共配套设施齐备情况一般</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自然环境：普法公园、迎宾公园、怀柔水库等；人文环境：怀柔区博物馆等，综合评价环境状况一般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估价对象紧邻城市支路——下园一条，周边无地铁、有868路、916路、h58路、h59路公交线路等，综合评价交通便捷度一般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城市支路——下园一条</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估价对象所在区域公共配套设施齐备情况一般</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自然环境：普法公园、迎宾公园、怀柔水库等；人文环境：怀柔区博物馆等，综合评价环境状况一般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估价对象周边有府前东街、金台园小区、南华园村、东关家园等居住小区，小区规模和社区发展完善程度一般，综合评价居住社区成熟度一般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估价对象紧邻城市支路——下园一条，周边无地铁、有868路、916路、h58路、h59路公交线路等，综合评价交通便捷度一般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城市支路——下园一条</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估价对象所在区域公共配套设施齐备情况一般</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自然环境：普法公园、迎宾公园、怀柔水库等；人文环境：怀柔区博物馆等，综合评价环境状况一般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5" t="s">
        <v>105</v>
      </c>
      <c r="B1" s="3095"/>
      <c r="C1" s="3095"/>
      <c r="D1" s="3095"/>
      <c r="E1" s="3095"/>
      <c r="F1" s="309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6" t="s">
        <v>118</v>
      </c>
      <c r="B2" s="3096"/>
      <c r="C2" s="3096"/>
      <c r="D2" s="3096"/>
      <c r="E2" s="3096"/>
      <c r="F2" s="309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9" t="s">
        <v>132</v>
      </c>
      <c r="B18" s="907" t="s">
        <v>517</v>
      </c>
      <c r="C18" s="908" t="s">
        <v>518</v>
      </c>
      <c r="D18" s="909"/>
      <c r="E18" s="907">
        <v>1</v>
      </c>
      <c r="F18" s="910" t="s">
        <v>519</v>
      </c>
      <c r="G18" s="911"/>
      <c r="H18" s="903"/>
      <c r="I18" s="903"/>
    </row>
    <row r="19" spans="1:9" s="912" customFormat="1" ht="19.5" customHeight="1">
      <c r="A19" s="3099"/>
      <c r="B19" s="3099" t="s">
        <v>520</v>
      </c>
      <c r="C19" s="908" t="s">
        <v>521</v>
      </c>
      <c r="D19" s="909"/>
      <c r="E19" s="907">
        <v>0.9</v>
      </c>
      <c r="F19" s="910" t="s">
        <v>522</v>
      </c>
      <c r="G19" s="911"/>
      <c r="H19" s="903"/>
      <c r="I19" s="903"/>
    </row>
    <row r="20" spans="1:9" s="912" customFormat="1" ht="19.5" customHeight="1">
      <c r="A20" s="3099"/>
      <c r="B20" s="3099"/>
      <c r="C20" s="908" t="s">
        <v>523</v>
      </c>
      <c r="D20" s="909"/>
      <c r="E20" s="907">
        <v>1.1000000000000001</v>
      </c>
      <c r="F20" s="910" t="s">
        <v>524</v>
      </c>
      <c r="G20" s="911"/>
      <c r="H20" s="903"/>
      <c r="I20" s="903"/>
    </row>
    <row r="21" spans="1:9" s="912" customFormat="1" ht="19.5" customHeight="1">
      <c r="A21" s="3099"/>
      <c r="B21" s="3099"/>
      <c r="C21" s="908" t="s">
        <v>525</v>
      </c>
      <c r="D21" s="909"/>
      <c r="E21" s="907">
        <v>0.8</v>
      </c>
      <c r="F21" s="910" t="s">
        <v>526</v>
      </c>
      <c r="G21" s="911"/>
      <c r="H21" s="903"/>
      <c r="I21" s="903"/>
    </row>
    <row r="22" spans="1:9" s="912" customFormat="1" ht="19.5" customHeight="1">
      <c r="A22" s="3099"/>
      <c r="B22" s="3099"/>
      <c r="C22" s="908" t="s">
        <v>527</v>
      </c>
      <c r="D22" s="909"/>
      <c r="E22" s="907">
        <v>0.5</v>
      </c>
      <c r="F22" s="910"/>
      <c r="G22" s="911"/>
      <c r="H22" s="903"/>
      <c r="I22" s="903"/>
    </row>
    <row r="23" spans="1:9" s="912" customFormat="1" ht="19.5" customHeight="1">
      <c r="A23" s="3099" t="s">
        <v>133</v>
      </c>
      <c r="B23" s="907" t="s">
        <v>517</v>
      </c>
      <c r="C23" s="908" t="s">
        <v>528</v>
      </c>
      <c r="D23" s="909"/>
      <c r="E23" s="907">
        <v>1</v>
      </c>
      <c r="F23" s="910" t="s">
        <v>529</v>
      </c>
      <c r="G23" s="911"/>
      <c r="H23" s="903"/>
      <c r="I23" s="903"/>
    </row>
    <row r="24" spans="1:9" s="912" customFormat="1" ht="19.5" customHeight="1">
      <c r="A24" s="3099"/>
      <c r="B24" s="3099" t="s">
        <v>520</v>
      </c>
      <c r="C24" s="908" t="s">
        <v>530</v>
      </c>
      <c r="D24" s="909"/>
      <c r="E24" s="907">
        <v>0.5</v>
      </c>
      <c r="F24" s="910"/>
      <c r="G24" s="911"/>
      <c r="H24" s="903"/>
      <c r="I24" s="903"/>
    </row>
    <row r="25" spans="1:9" s="912" customFormat="1" ht="19.5" customHeight="1">
      <c r="A25" s="3099"/>
      <c r="B25" s="3099"/>
      <c r="C25" s="908" t="s">
        <v>531</v>
      </c>
      <c r="D25" s="909"/>
      <c r="E25" s="907">
        <v>1.1000000000000001</v>
      </c>
      <c r="F25" s="910"/>
      <c r="G25" s="911"/>
      <c r="H25" s="903"/>
      <c r="I25" s="903"/>
    </row>
    <row r="26" spans="1:9" s="912" customFormat="1" ht="19.5" customHeight="1">
      <c r="A26" s="3099"/>
      <c r="B26" s="3099"/>
      <c r="C26" s="908" t="s">
        <v>532</v>
      </c>
      <c r="D26" s="909"/>
      <c r="E26" s="907">
        <v>1.1000000000000001</v>
      </c>
      <c r="F26" s="910"/>
      <c r="G26" s="911"/>
      <c r="H26" s="903"/>
      <c r="I26" s="903"/>
    </row>
    <row r="27" spans="1:9" s="912" customFormat="1" ht="19.5" customHeight="1">
      <c r="A27" s="3099"/>
      <c r="B27" s="3099"/>
      <c r="C27" s="908" t="s">
        <v>533</v>
      </c>
      <c r="D27" s="909"/>
      <c r="E27" s="907">
        <v>0.9</v>
      </c>
      <c r="F27" s="910" t="s">
        <v>534</v>
      </c>
      <c r="G27" s="911"/>
      <c r="H27" s="903"/>
      <c r="I27" s="903"/>
    </row>
    <row r="28" spans="1:9" s="912" customFormat="1" ht="19.5" customHeight="1">
      <c r="A28" s="3099"/>
      <c r="B28" s="3099"/>
      <c r="C28" s="908" t="s">
        <v>535</v>
      </c>
      <c r="D28" s="909"/>
      <c r="E28" s="907">
        <v>0.9</v>
      </c>
      <c r="F28" s="910" t="s">
        <v>536</v>
      </c>
      <c r="G28" s="911"/>
      <c r="H28" s="903"/>
      <c r="I28" s="903"/>
    </row>
    <row r="29" spans="1:9" s="912" customFormat="1" ht="19.5" customHeight="1">
      <c r="A29" s="3099"/>
      <c r="B29" s="3099"/>
      <c r="C29" s="908" t="s">
        <v>537</v>
      </c>
      <c r="D29" s="909"/>
      <c r="E29" s="907">
        <v>0.9</v>
      </c>
      <c r="F29" s="910" t="s">
        <v>538</v>
      </c>
      <c r="G29" s="911"/>
      <c r="H29" s="903"/>
      <c r="I29" s="903"/>
    </row>
    <row r="30" spans="1:9" s="912" customFormat="1" ht="19.5" customHeight="1">
      <c r="A30" s="3099"/>
      <c r="B30" s="3099"/>
      <c r="C30" s="908" t="s">
        <v>539</v>
      </c>
      <c r="D30" s="909"/>
      <c r="E30" s="907">
        <v>0.9</v>
      </c>
      <c r="F30" s="910" t="s">
        <v>540</v>
      </c>
      <c r="G30" s="911"/>
      <c r="H30" s="903"/>
      <c r="I30" s="903"/>
    </row>
    <row r="31" spans="1:9" s="912" customFormat="1" ht="19.5" customHeight="1">
      <c r="A31" s="3099"/>
      <c r="B31" s="3099"/>
      <c r="C31" s="908" t="s">
        <v>541</v>
      </c>
      <c r="D31" s="909"/>
      <c r="E31" s="907">
        <v>0.8</v>
      </c>
      <c r="F31" s="910" t="s">
        <v>542</v>
      </c>
      <c r="G31" s="911"/>
      <c r="H31" s="903"/>
      <c r="I31" s="903"/>
    </row>
    <row r="32" spans="1:9" s="912" customFormat="1" ht="19.5" customHeight="1">
      <c r="A32" s="3099"/>
      <c r="B32" s="3099"/>
      <c r="C32" s="908" t="s">
        <v>543</v>
      </c>
      <c r="D32" s="909"/>
      <c r="E32" s="907">
        <v>0.8</v>
      </c>
      <c r="F32" s="910" t="s">
        <v>544</v>
      </c>
      <c r="G32" s="911"/>
      <c r="H32" s="903"/>
      <c r="I32" s="903"/>
    </row>
    <row r="33" spans="1:9" s="912" customFormat="1" ht="19.5" customHeight="1">
      <c r="A33" s="3099" t="s">
        <v>134</v>
      </c>
      <c r="B33" s="907" t="s">
        <v>517</v>
      </c>
      <c r="C33" s="908" t="s">
        <v>545</v>
      </c>
      <c r="D33" s="909"/>
      <c r="E33" s="907">
        <v>1</v>
      </c>
      <c r="F33" s="910" t="s">
        <v>546</v>
      </c>
      <c r="G33" s="911"/>
      <c r="H33" s="903"/>
      <c r="I33" s="903"/>
    </row>
    <row r="34" spans="1:9" s="912" customFormat="1" ht="19.5" customHeight="1">
      <c r="A34" s="3099"/>
      <c r="B34" s="907" t="s">
        <v>520</v>
      </c>
      <c r="C34" s="908" t="s">
        <v>547</v>
      </c>
      <c r="D34" s="909"/>
      <c r="E34" s="907">
        <v>1.5</v>
      </c>
      <c r="F34" s="910" t="s">
        <v>548</v>
      </c>
      <c r="G34" s="911"/>
      <c r="H34" s="903"/>
      <c r="I34" s="903"/>
    </row>
    <row r="35" spans="1:9" s="912" customFormat="1" ht="19.5" customHeight="1">
      <c r="A35" s="3099" t="s">
        <v>135</v>
      </c>
      <c r="B35" s="907" t="s">
        <v>517</v>
      </c>
      <c r="C35" s="908" t="s">
        <v>549</v>
      </c>
      <c r="D35" s="909"/>
      <c r="E35" s="907">
        <v>1</v>
      </c>
      <c r="F35" s="910" t="s">
        <v>550</v>
      </c>
      <c r="G35" s="911"/>
      <c r="H35" s="903"/>
      <c r="I35" s="903"/>
    </row>
    <row r="36" spans="1:9" s="912" customFormat="1" ht="19.5" customHeight="1">
      <c r="A36" s="3099"/>
      <c r="B36" s="3099" t="s">
        <v>520</v>
      </c>
      <c r="C36" s="908" t="s">
        <v>551</v>
      </c>
      <c r="D36" s="909"/>
      <c r="E36" s="907">
        <v>1</v>
      </c>
      <c r="F36" s="910" t="s">
        <v>552</v>
      </c>
      <c r="G36" s="911"/>
      <c r="H36" s="903"/>
      <c r="I36" s="903"/>
    </row>
    <row r="37" spans="1:9" s="912" customFormat="1" ht="19.5" customHeight="1">
      <c r="A37" s="3099"/>
      <c r="B37" s="3099"/>
      <c r="C37" s="908" t="s">
        <v>553</v>
      </c>
      <c r="D37" s="909"/>
      <c r="E37" s="907">
        <v>1.5</v>
      </c>
      <c r="F37" s="910" t="s">
        <v>554</v>
      </c>
      <c r="G37" s="911"/>
      <c r="H37" s="903"/>
      <c r="I37" s="903"/>
    </row>
    <row r="38" spans="1:9" s="912" customFormat="1" ht="19.5" customHeight="1">
      <c r="A38" s="3099"/>
      <c r="B38" s="3099"/>
      <c r="C38" s="908" t="s">
        <v>555</v>
      </c>
      <c r="D38" s="909"/>
      <c r="E38" s="907">
        <v>1</v>
      </c>
      <c r="F38" s="910" t="s">
        <v>556</v>
      </c>
      <c r="G38" s="911"/>
      <c r="H38" s="903"/>
      <c r="I38" s="903"/>
    </row>
    <row r="39" spans="1:9" s="912" customFormat="1" ht="19.5" customHeight="1">
      <c r="A39" s="3099"/>
      <c r="B39" s="309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9" t="s">
        <v>571</v>
      </c>
      <c r="C61" s="821" t="s">
        <v>572</v>
      </c>
      <c r="D61" s="821" t="s">
        <v>573</v>
      </c>
      <c r="E61" s="920">
        <v>0.5</v>
      </c>
      <c r="F61" s="907">
        <v>80</v>
      </c>
    </row>
    <row r="62" spans="1:8" s="903" customFormat="1" ht="24">
      <c r="A62" s="907">
        <v>2</v>
      </c>
      <c r="B62" s="3099"/>
      <c r="C62" s="821" t="s">
        <v>574</v>
      </c>
      <c r="D62" s="821" t="s">
        <v>575</v>
      </c>
      <c r="E62" s="920">
        <v>0.5</v>
      </c>
      <c r="F62" s="907">
        <v>80</v>
      </c>
    </row>
    <row r="63" spans="1:8" s="903" customFormat="1" ht="36">
      <c r="A63" s="907">
        <v>3</v>
      </c>
      <c r="B63" s="3099"/>
      <c r="C63" s="821" t="s">
        <v>576</v>
      </c>
      <c r="D63" s="821" t="s">
        <v>577</v>
      </c>
      <c r="E63" s="920">
        <v>0.5</v>
      </c>
      <c r="F63" s="907">
        <v>80</v>
      </c>
    </row>
    <row r="64" spans="1:8" s="903" customFormat="1" ht="36">
      <c r="A64" s="907">
        <v>4</v>
      </c>
      <c r="B64" s="3099"/>
      <c r="C64" s="821" t="s">
        <v>578</v>
      </c>
      <c r="D64" s="821" t="s">
        <v>579</v>
      </c>
      <c r="E64" s="920">
        <v>0.4</v>
      </c>
      <c r="F64" s="907">
        <v>60</v>
      </c>
    </row>
    <row r="65" spans="1:6" s="903" customFormat="1" ht="36">
      <c r="A65" s="907">
        <v>5</v>
      </c>
      <c r="B65" s="3099"/>
      <c r="C65" s="821" t="s">
        <v>580</v>
      </c>
      <c r="D65" s="821" t="s">
        <v>581</v>
      </c>
      <c r="E65" s="920">
        <v>0.2</v>
      </c>
      <c r="F65" s="907">
        <v>30</v>
      </c>
    </row>
    <row r="66" spans="1:6" s="903" customFormat="1" ht="36">
      <c r="A66" s="907">
        <v>6</v>
      </c>
      <c r="B66" s="3099"/>
      <c r="C66" s="821" t="s">
        <v>582</v>
      </c>
      <c r="D66" s="821" t="s">
        <v>583</v>
      </c>
      <c r="E66" s="920">
        <v>0.3</v>
      </c>
      <c r="F66" s="907">
        <v>50</v>
      </c>
    </row>
    <row r="67" spans="1:6" s="903" customFormat="1" ht="36">
      <c r="A67" s="907">
        <v>7</v>
      </c>
      <c r="B67" s="3099"/>
      <c r="C67" s="821" t="s">
        <v>584</v>
      </c>
      <c r="D67" s="821" t="s">
        <v>585</v>
      </c>
      <c r="E67" s="920">
        <v>0.2</v>
      </c>
      <c r="F67" s="907">
        <v>30</v>
      </c>
    </row>
    <row r="68" spans="1:6" s="903" customFormat="1" ht="36">
      <c r="A68" s="907">
        <v>8</v>
      </c>
      <c r="B68" s="3099"/>
      <c r="C68" s="821" t="s">
        <v>586</v>
      </c>
      <c r="D68" s="821" t="s">
        <v>587</v>
      </c>
      <c r="E68" s="920">
        <v>0.2</v>
      </c>
      <c r="F68" s="907">
        <v>30</v>
      </c>
    </row>
    <row r="69" spans="1:6" s="903" customFormat="1" ht="36">
      <c r="A69" s="907">
        <v>9</v>
      </c>
      <c r="B69" s="3099"/>
      <c r="C69" s="821" t="s">
        <v>588</v>
      </c>
      <c r="D69" s="821" t="s">
        <v>589</v>
      </c>
      <c r="E69" s="920">
        <v>0.2</v>
      </c>
      <c r="F69" s="907">
        <v>30</v>
      </c>
    </row>
    <row r="70" spans="1:6" s="903" customFormat="1" ht="48">
      <c r="A70" s="907">
        <v>10</v>
      </c>
      <c r="B70" s="3099"/>
      <c r="C70" s="821" t="s">
        <v>590</v>
      </c>
      <c r="D70" s="821" t="s">
        <v>591</v>
      </c>
      <c r="E70" s="920">
        <v>0.2</v>
      </c>
      <c r="F70" s="907">
        <v>30</v>
      </c>
    </row>
    <row r="71" spans="1:6" s="903" customFormat="1" ht="48">
      <c r="A71" s="907">
        <v>11</v>
      </c>
      <c r="B71" s="3099"/>
      <c r="C71" s="821" t="s">
        <v>592</v>
      </c>
      <c r="D71" s="821" t="s">
        <v>593</v>
      </c>
      <c r="E71" s="920">
        <v>0.2</v>
      </c>
      <c r="F71" s="907">
        <v>30</v>
      </c>
    </row>
    <row r="72" spans="1:6" s="903" customFormat="1" ht="36">
      <c r="A72" s="907">
        <v>12</v>
      </c>
      <c r="B72" s="3099"/>
      <c r="C72" s="821" t="s">
        <v>594</v>
      </c>
      <c r="D72" s="821" t="s">
        <v>595</v>
      </c>
      <c r="E72" s="920">
        <v>0.5</v>
      </c>
      <c r="F72" s="907">
        <v>80</v>
      </c>
    </row>
    <row r="73" spans="1:6" s="903" customFormat="1" ht="24">
      <c r="A73" s="907">
        <v>13</v>
      </c>
      <c r="B73" s="3099"/>
      <c r="C73" s="821" t="s">
        <v>596</v>
      </c>
      <c r="D73" s="821" t="s">
        <v>597</v>
      </c>
      <c r="E73" s="920">
        <v>0.4</v>
      </c>
      <c r="F73" s="907">
        <v>60</v>
      </c>
    </row>
    <row r="74" spans="1:6" s="903" customFormat="1" ht="24">
      <c r="A74" s="907">
        <v>14</v>
      </c>
      <c r="B74" s="3099"/>
      <c r="C74" s="821" t="s">
        <v>598</v>
      </c>
      <c r="D74" s="821" t="s">
        <v>599</v>
      </c>
      <c r="E74" s="920">
        <v>0.2</v>
      </c>
      <c r="F74" s="907">
        <v>30</v>
      </c>
    </row>
    <row r="75" spans="1:6" s="903" customFormat="1" ht="24">
      <c r="A75" s="907">
        <v>15</v>
      </c>
      <c r="B75" s="3099"/>
      <c r="C75" s="821" t="s">
        <v>600</v>
      </c>
      <c r="D75" s="821" t="s">
        <v>601</v>
      </c>
      <c r="E75" s="920">
        <v>0.2</v>
      </c>
      <c r="F75" s="907">
        <v>30</v>
      </c>
    </row>
    <row r="76" spans="1:6" s="903" customFormat="1" ht="24">
      <c r="A76" s="907">
        <v>16</v>
      </c>
      <c r="B76" s="3099" t="s">
        <v>602</v>
      </c>
      <c r="C76" s="821" t="s">
        <v>603</v>
      </c>
      <c r="D76" s="821" t="s">
        <v>604</v>
      </c>
      <c r="E76" s="920">
        <v>0.5</v>
      </c>
      <c r="F76" s="907">
        <v>80</v>
      </c>
    </row>
    <row r="77" spans="1:6" s="903" customFormat="1" ht="24">
      <c r="A77" s="907">
        <v>17</v>
      </c>
      <c r="B77" s="3099"/>
      <c r="C77" s="821" t="s">
        <v>605</v>
      </c>
      <c r="D77" s="821" t="s">
        <v>606</v>
      </c>
      <c r="E77" s="920">
        <v>0.5</v>
      </c>
      <c r="F77" s="907">
        <v>80</v>
      </c>
    </row>
    <row r="78" spans="1:6" s="903" customFormat="1" ht="24">
      <c r="A78" s="907">
        <v>18</v>
      </c>
      <c r="B78" s="3099"/>
      <c r="C78" s="821" t="s">
        <v>607</v>
      </c>
      <c r="D78" s="821" t="s">
        <v>608</v>
      </c>
      <c r="E78" s="920">
        <v>0.2</v>
      </c>
      <c r="F78" s="907">
        <v>30</v>
      </c>
    </row>
    <row r="79" spans="1:6" s="903" customFormat="1" ht="24">
      <c r="A79" s="907">
        <v>19</v>
      </c>
      <c r="B79" s="3099"/>
      <c r="C79" s="821" t="s">
        <v>609</v>
      </c>
      <c r="D79" s="821" t="s">
        <v>610</v>
      </c>
      <c r="E79" s="920">
        <v>0.5</v>
      </c>
      <c r="F79" s="907">
        <v>80</v>
      </c>
    </row>
    <row r="80" spans="1:6" s="903" customFormat="1" ht="36">
      <c r="A80" s="907">
        <v>20</v>
      </c>
      <c r="B80" s="3099"/>
      <c r="C80" s="821" t="s">
        <v>611</v>
      </c>
      <c r="D80" s="821" t="s">
        <v>612</v>
      </c>
      <c r="E80" s="920">
        <v>0.2</v>
      </c>
      <c r="F80" s="907">
        <v>30</v>
      </c>
    </row>
    <row r="81" spans="1:6" s="903" customFormat="1" ht="36">
      <c r="A81" s="907">
        <v>21</v>
      </c>
      <c r="B81" s="3099"/>
      <c r="C81" s="821" t="s">
        <v>613</v>
      </c>
      <c r="D81" s="821" t="s">
        <v>614</v>
      </c>
      <c r="E81" s="920">
        <v>0.2</v>
      </c>
      <c r="F81" s="907">
        <v>30</v>
      </c>
    </row>
    <row r="82" spans="1:6" s="903" customFormat="1" ht="48">
      <c r="A82" s="907">
        <v>22</v>
      </c>
      <c r="B82" s="3099"/>
      <c r="C82" s="821" t="s">
        <v>615</v>
      </c>
      <c r="D82" s="821" t="s">
        <v>616</v>
      </c>
      <c r="E82" s="920">
        <v>0.2</v>
      </c>
      <c r="F82" s="907">
        <v>30</v>
      </c>
    </row>
    <row r="83" spans="1:6" s="903" customFormat="1" ht="48">
      <c r="A83" s="907">
        <v>23</v>
      </c>
      <c r="B83" s="3099"/>
      <c r="C83" s="821" t="s">
        <v>617</v>
      </c>
      <c r="D83" s="821" t="s">
        <v>618</v>
      </c>
      <c r="E83" s="920">
        <v>0.2</v>
      </c>
      <c r="F83" s="907">
        <v>30</v>
      </c>
    </row>
    <row r="84" spans="1:6" s="903" customFormat="1" ht="36">
      <c r="A84" s="907">
        <v>24</v>
      </c>
      <c r="B84" s="3099"/>
      <c r="C84" s="821" t="s">
        <v>619</v>
      </c>
      <c r="D84" s="821" t="s">
        <v>620</v>
      </c>
      <c r="E84" s="920">
        <v>0.2</v>
      </c>
      <c r="F84" s="907">
        <v>30</v>
      </c>
    </row>
    <row r="85" spans="1:6" s="903" customFormat="1" ht="36">
      <c r="A85" s="907">
        <v>25</v>
      </c>
      <c r="B85" s="3099"/>
      <c r="C85" s="821" t="s">
        <v>621</v>
      </c>
      <c r="D85" s="821" t="s">
        <v>622</v>
      </c>
      <c r="E85" s="920">
        <v>0.5</v>
      </c>
      <c r="F85" s="907">
        <v>80</v>
      </c>
    </row>
    <row r="86" spans="1:6" s="903" customFormat="1" ht="36">
      <c r="A86" s="907">
        <v>26</v>
      </c>
      <c r="B86" s="3099"/>
      <c r="C86" s="821" t="s">
        <v>623</v>
      </c>
      <c r="D86" s="821" t="s">
        <v>624</v>
      </c>
      <c r="E86" s="920">
        <v>0.2</v>
      </c>
      <c r="F86" s="907">
        <v>30</v>
      </c>
    </row>
    <row r="87" spans="1:6" s="903" customFormat="1" ht="36">
      <c r="A87" s="907">
        <v>27</v>
      </c>
      <c r="B87" s="3099"/>
      <c r="C87" s="821" t="s">
        <v>625</v>
      </c>
      <c r="D87" s="821" t="s">
        <v>626</v>
      </c>
      <c r="E87" s="920">
        <v>0.2</v>
      </c>
      <c r="F87" s="907">
        <v>30</v>
      </c>
    </row>
    <row r="88" spans="1:6" s="903" customFormat="1" ht="36">
      <c r="A88" s="907">
        <v>28</v>
      </c>
      <c r="B88" s="3099"/>
      <c r="C88" s="821" t="s">
        <v>627</v>
      </c>
      <c r="D88" s="821" t="s">
        <v>628</v>
      </c>
      <c r="E88" s="920">
        <v>0.2</v>
      </c>
      <c r="F88" s="907">
        <v>30</v>
      </c>
    </row>
    <row r="89" spans="1:6" s="903" customFormat="1" ht="24">
      <c r="A89" s="907">
        <v>29</v>
      </c>
      <c r="B89" s="3099"/>
      <c r="C89" s="821" t="s">
        <v>629</v>
      </c>
      <c r="D89" s="821" t="s">
        <v>630</v>
      </c>
      <c r="E89" s="920">
        <v>0.2</v>
      </c>
      <c r="F89" s="907">
        <v>30</v>
      </c>
    </row>
    <row r="90" spans="1:6" s="903" customFormat="1" ht="24">
      <c r="A90" s="907">
        <v>30</v>
      </c>
      <c r="B90" s="3099"/>
      <c r="C90" s="821" t="s">
        <v>631</v>
      </c>
      <c r="D90" s="821" t="s">
        <v>632</v>
      </c>
      <c r="E90" s="920">
        <v>0.2</v>
      </c>
      <c r="F90" s="907">
        <v>30</v>
      </c>
    </row>
    <row r="91" spans="1:6" s="903" customFormat="1" ht="36">
      <c r="A91" s="907">
        <v>31</v>
      </c>
      <c r="B91" s="3099"/>
      <c r="C91" s="821" t="s">
        <v>633</v>
      </c>
      <c r="D91" s="821" t="s">
        <v>634</v>
      </c>
      <c r="E91" s="920">
        <v>0.2</v>
      </c>
      <c r="F91" s="907">
        <v>30</v>
      </c>
    </row>
    <row r="92" spans="1:6" s="903" customFormat="1" ht="24">
      <c r="A92" s="907">
        <v>32</v>
      </c>
      <c r="B92" s="3099" t="s">
        <v>635</v>
      </c>
      <c r="C92" s="907" t="s">
        <v>636</v>
      </c>
      <c r="D92" s="821" t="s">
        <v>637</v>
      </c>
      <c r="E92" s="920">
        <v>0.2</v>
      </c>
      <c r="F92" s="907">
        <v>30</v>
      </c>
    </row>
    <row r="93" spans="1:6" s="903" customFormat="1" ht="36">
      <c r="A93" s="907">
        <v>33</v>
      </c>
      <c r="B93" s="3099"/>
      <c r="C93" s="907" t="s">
        <v>638</v>
      </c>
      <c r="D93" s="821" t="s">
        <v>639</v>
      </c>
      <c r="E93" s="920">
        <v>0.2</v>
      </c>
      <c r="F93" s="907">
        <v>30</v>
      </c>
    </row>
    <row r="94" spans="1:6" s="903" customFormat="1" ht="48">
      <c r="A94" s="907">
        <v>34</v>
      </c>
      <c r="B94" s="3099"/>
      <c r="C94" s="907" t="s">
        <v>640</v>
      </c>
      <c r="D94" s="821" t="s">
        <v>641</v>
      </c>
      <c r="E94" s="920">
        <v>0.2</v>
      </c>
      <c r="F94" s="907">
        <v>30</v>
      </c>
    </row>
    <row r="95" spans="1:6" s="903" customFormat="1" ht="36">
      <c r="A95" s="907">
        <v>35</v>
      </c>
      <c r="B95" s="3099"/>
      <c r="C95" s="907" t="s">
        <v>642</v>
      </c>
      <c r="D95" s="821" t="s">
        <v>643</v>
      </c>
      <c r="E95" s="920">
        <v>0.2</v>
      </c>
      <c r="F95" s="907">
        <v>30</v>
      </c>
    </row>
    <row r="96" spans="1:6" s="903" customFormat="1" ht="48">
      <c r="A96" s="907">
        <v>36</v>
      </c>
      <c r="B96" s="3099"/>
      <c r="C96" s="821" t="s">
        <v>644</v>
      </c>
      <c r="D96" s="821" t="s">
        <v>645</v>
      </c>
      <c r="E96" s="920">
        <v>0.2</v>
      </c>
      <c r="F96" s="907">
        <v>30</v>
      </c>
    </row>
    <row r="97" spans="1:6" s="903" customFormat="1" ht="36">
      <c r="A97" s="907">
        <v>37</v>
      </c>
      <c r="B97" s="3099"/>
      <c r="C97" s="907" t="s">
        <v>646</v>
      </c>
      <c r="D97" s="821" t="s">
        <v>647</v>
      </c>
      <c r="E97" s="920">
        <v>0.2</v>
      </c>
      <c r="F97" s="907">
        <v>30</v>
      </c>
    </row>
    <row r="98" spans="1:6" s="903" customFormat="1" ht="36">
      <c r="A98" s="907">
        <v>38</v>
      </c>
      <c r="B98" s="3099"/>
      <c r="C98" s="907" t="s">
        <v>648</v>
      </c>
      <c r="D98" s="821" t="s">
        <v>649</v>
      </c>
      <c r="E98" s="920">
        <v>0.2</v>
      </c>
      <c r="F98" s="907">
        <v>30</v>
      </c>
    </row>
    <row r="99" spans="1:6" s="903" customFormat="1" ht="36">
      <c r="A99" s="907">
        <v>39</v>
      </c>
      <c r="B99" s="3099" t="s">
        <v>650</v>
      </c>
      <c r="C99" s="907" t="s">
        <v>651</v>
      </c>
      <c r="D99" s="821" t="s">
        <v>652</v>
      </c>
      <c r="E99" s="920">
        <v>0.3</v>
      </c>
      <c r="F99" s="907">
        <v>50</v>
      </c>
    </row>
    <row r="100" spans="1:6" s="903" customFormat="1" ht="24">
      <c r="A100" s="907">
        <v>40</v>
      </c>
      <c r="B100" s="3099"/>
      <c r="C100" s="907" t="s">
        <v>653</v>
      </c>
      <c r="D100" s="821" t="s">
        <v>654</v>
      </c>
      <c r="E100" s="920">
        <v>0.2</v>
      </c>
      <c r="F100" s="907">
        <v>30</v>
      </c>
    </row>
    <row r="101" spans="1:6" s="903" customFormat="1" ht="36">
      <c r="A101" s="907">
        <v>41</v>
      </c>
      <c r="B101" s="309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9" t="s">
        <v>665</v>
      </c>
      <c r="C105" s="907" t="s">
        <v>666</v>
      </c>
      <c r="D105" s="821" t="s">
        <v>667</v>
      </c>
      <c r="E105" s="920">
        <v>0.2</v>
      </c>
      <c r="F105" s="907">
        <v>30</v>
      </c>
    </row>
    <row r="106" spans="1:6" s="903" customFormat="1" ht="36">
      <c r="A106" s="907">
        <v>46</v>
      </c>
      <c r="B106" s="3099"/>
      <c r="C106" s="907" t="s">
        <v>668</v>
      </c>
      <c r="D106" s="821" t="s">
        <v>669</v>
      </c>
      <c r="E106" s="920">
        <v>0.2</v>
      </c>
      <c r="F106" s="907">
        <v>30</v>
      </c>
    </row>
    <row r="107" spans="1:6" s="903" customFormat="1" ht="36">
      <c r="A107" s="907">
        <v>47</v>
      </c>
      <c r="B107" s="3099" t="s">
        <v>670</v>
      </c>
      <c r="C107" s="907" t="s">
        <v>671</v>
      </c>
      <c r="D107" s="821" t="s">
        <v>672</v>
      </c>
      <c r="E107" s="920">
        <v>0.3</v>
      </c>
      <c r="F107" s="907">
        <v>50</v>
      </c>
    </row>
    <row r="108" spans="1:6" s="903" customFormat="1" ht="36">
      <c r="A108" s="907">
        <v>48</v>
      </c>
      <c r="B108" s="309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9" t="s">
        <v>681</v>
      </c>
      <c r="C111" s="907" t="s">
        <v>682</v>
      </c>
      <c r="D111" s="821" t="s">
        <v>683</v>
      </c>
      <c r="E111" s="920">
        <v>0.2</v>
      </c>
      <c r="F111" s="907">
        <v>30</v>
      </c>
    </row>
    <row r="112" spans="1:6" s="903" customFormat="1" ht="24">
      <c r="A112" s="907">
        <v>52</v>
      </c>
      <c r="B112" s="3099"/>
      <c r="C112" s="907" t="s">
        <v>684</v>
      </c>
      <c r="D112" s="821" t="s">
        <v>685</v>
      </c>
      <c r="E112" s="920">
        <v>0.2</v>
      </c>
      <c r="F112" s="907">
        <v>30</v>
      </c>
    </row>
    <row r="113" spans="1:6" s="903" customFormat="1" ht="24">
      <c r="A113" s="907">
        <v>53</v>
      </c>
      <c r="B113" s="309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9" t="s">
        <v>694</v>
      </c>
      <c r="C116" s="907" t="s">
        <v>695</v>
      </c>
      <c r="D116" s="821" t="s">
        <v>696</v>
      </c>
      <c r="E116" s="920">
        <v>0.2</v>
      </c>
      <c r="F116" s="907">
        <v>30</v>
      </c>
    </row>
    <row r="117" spans="1:6" ht="36">
      <c r="A117" s="907">
        <v>57</v>
      </c>
      <c r="B117" s="309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B7" sqref="B7:F7"/>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5" t="s">
        <v>1033</v>
      </c>
      <c r="C1" s="3105"/>
      <c r="D1" s="3105"/>
      <c r="E1" s="3105"/>
      <c r="F1" s="3105"/>
      <c r="G1" s="3104" t="s">
        <v>1034</v>
      </c>
      <c r="H1" s="3104"/>
      <c r="I1" s="3104"/>
      <c r="J1" s="3104"/>
      <c r="K1" s="3104"/>
      <c r="L1" s="3104"/>
      <c r="N1" s="3104" t="s">
        <v>1035</v>
      </c>
      <c r="O1" s="3104"/>
      <c r="P1" s="3104"/>
      <c r="Q1" s="3104"/>
      <c r="R1" s="1548"/>
      <c r="S1" s="3104" t="s">
        <v>1036</v>
      </c>
      <c r="T1" s="3104"/>
      <c r="U1" s="3104"/>
      <c r="V1" s="3104"/>
      <c r="X1" s="3103" t="s">
        <v>1037</v>
      </c>
      <c r="Y1" s="3104"/>
      <c r="Z1" s="3104"/>
      <c r="AA1" s="3104"/>
      <c r="AB1" s="3104"/>
      <c r="AD1" s="3103" t="s">
        <v>1038</v>
      </c>
      <c r="AE1" s="3104"/>
      <c r="AF1" s="3104"/>
      <c r="AG1" s="3104"/>
      <c r="AH1" s="3104"/>
    </row>
    <row r="2" spans="1:34" s="1549" customFormat="1" ht="14.25" thickBot="1">
      <c r="B2" s="1550" t="s">
        <v>1039</v>
      </c>
      <c r="C2" s="1550" t="s">
        <v>1040</v>
      </c>
      <c r="D2" s="1551" t="s">
        <v>1041</v>
      </c>
      <c r="E2" s="1551" t="s">
        <v>1042</v>
      </c>
      <c r="F2" s="1550" t="s">
        <v>1043</v>
      </c>
      <c r="G2" s="1552"/>
      <c r="H2" s="1553"/>
      <c r="I2" s="1550" t="s">
        <v>1261</v>
      </c>
      <c r="J2" s="1551" t="s">
        <v>1262</v>
      </c>
      <c r="K2" s="1551" t="s">
        <v>1263</v>
      </c>
      <c r="L2" s="1550" t="s">
        <v>1264</v>
      </c>
      <c r="N2" s="1550" t="s">
        <v>1039</v>
      </c>
      <c r="O2" s="1551" t="s">
        <v>1265</v>
      </c>
      <c r="P2" s="1551" t="s">
        <v>728</v>
      </c>
      <c r="Q2" s="1550" t="s">
        <v>1043</v>
      </c>
      <c r="R2" s="1554"/>
      <c r="S2" s="1550" t="s">
        <v>1039</v>
      </c>
      <c r="T2" s="1551" t="s">
        <v>1265</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20" customFormat="1" ht="14.25">
      <c r="A3" s="2731" t="s">
        <v>2810</v>
      </c>
      <c r="B3" s="2721"/>
      <c r="C3" s="2721"/>
      <c r="D3" s="2722"/>
      <c r="E3" s="2722"/>
      <c r="F3" s="2721"/>
      <c r="G3" s="2723"/>
      <c r="H3" s="2724"/>
      <c r="I3" s="2725">
        <f>ROUND(AVERAGE(I4:I19),2)</f>
        <v>2.31</v>
      </c>
      <c r="J3" s="2725">
        <f>ROUND(AVERAGE(J4:J19),2)</f>
        <v>1.5</v>
      </c>
      <c r="K3" s="2725">
        <f>ROUND(AVERAGE(K4:K19),2)</f>
        <v>2.57</v>
      </c>
      <c r="L3" s="2726">
        <f>ROUND(AVERAGE(L4:L19),2)</f>
        <v>1.38</v>
      </c>
      <c r="N3" s="2723"/>
      <c r="O3" s="2727"/>
      <c r="P3" s="2727"/>
      <c r="Q3" s="2727"/>
      <c r="R3" s="2727"/>
      <c r="S3" s="2723"/>
      <c r="T3" s="2727"/>
      <c r="U3" s="2727"/>
      <c r="V3" s="2727"/>
      <c r="W3" s="2730"/>
      <c r="X3" s="2728">
        <f>ROUND(SUMPRODUCT(PRODUCT(1+N3:N$21)),4)</f>
        <v>1.4517</v>
      </c>
      <c r="Y3" s="2728">
        <f>ROUND(SUMPRODUCT(PRODUCT(1+O3:O$21)),4)</f>
        <v>1.2928999999999999</v>
      </c>
      <c r="Z3" s="2728">
        <f t="shared" ref="Z3:Z19" si="0">Y3</f>
        <v>1.2928999999999999</v>
      </c>
      <c r="AA3" s="2728">
        <f>ROUND(SUMPRODUCT(PRODUCT(1+P3:P$21)),4)</f>
        <v>1.5068999999999999</v>
      </c>
      <c r="AB3" s="2728">
        <f>ROUND(SUMPRODUCT(PRODUCT(1+Q3:Q$21)),4)</f>
        <v>1.2557</v>
      </c>
      <c r="AD3" s="2729">
        <f>ROUND(AVERAGE(I3:I$22)/100,4)</f>
        <v>2.2700000000000001E-2</v>
      </c>
      <c r="AE3" s="2729">
        <f>ROUND(AVERAGE(J3:J$22)/100,4)</f>
        <v>1.5699999999999999E-2</v>
      </c>
      <c r="AF3" s="2729">
        <f t="shared" ref="AF3:AF10" si="1">AE3</f>
        <v>1.5699999999999999E-2</v>
      </c>
      <c r="AG3" s="2729">
        <f>ROUND(AVERAGE(K3:K$22)/100,4)</f>
        <v>2.5100000000000001E-2</v>
      </c>
      <c r="AH3" s="2729">
        <f>ROUND(AVERAGE(L3:L$22)/100,4)</f>
        <v>1.35E-2</v>
      </c>
    </row>
    <row r="4" spans="1:34" s="1555" customFormat="1" ht="14.25">
      <c r="B4" s="1556"/>
      <c r="C4" s="1556"/>
      <c r="D4" s="1557"/>
      <c r="E4" s="1557"/>
      <c r="F4" s="1556"/>
      <c r="G4" s="1558"/>
      <c r="H4" s="1559"/>
      <c r="I4" s="2712"/>
      <c r="J4" s="2712"/>
      <c r="K4" s="2712"/>
      <c r="L4" s="2712"/>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2814</v>
      </c>
      <c r="B5" s="1568">
        <f t="shared" ref="B5:B10" si="2">B6*(1+N5)</f>
        <v>446.46299999999997</v>
      </c>
      <c r="C5" s="1568">
        <f t="shared" ref="C5" si="3">C6*(1+O5)</f>
        <v>333.27840000000003</v>
      </c>
      <c r="D5" s="1817">
        <f t="shared" ref="D5" si="4">C5</f>
        <v>333.27840000000003</v>
      </c>
      <c r="E5" s="1568">
        <f t="shared" ref="E5" si="5">E6*(1+P5)</f>
        <v>637.28279999999995</v>
      </c>
      <c r="F5" s="1568">
        <f t="shared" ref="F5" si="6">F6*(1+Q5)</f>
        <v>288.68830000000003</v>
      </c>
      <c r="G5" s="2732">
        <v>2018</v>
      </c>
      <c r="H5" s="1821">
        <v>2</v>
      </c>
      <c r="I5" s="2713">
        <v>0</v>
      </c>
      <c r="J5" s="2713">
        <v>0</v>
      </c>
      <c r="K5" s="2713">
        <v>0</v>
      </c>
      <c r="L5" s="2714">
        <v>0</v>
      </c>
      <c r="N5" s="1570">
        <f t="shared" ref="N5" si="7">I5/100</f>
        <v>0</v>
      </c>
      <c r="O5" s="1570">
        <f t="shared" ref="O5" si="8">J5/100</f>
        <v>0</v>
      </c>
      <c r="P5" s="1570">
        <f t="shared" ref="P5" si="9">K5/100</f>
        <v>0</v>
      </c>
      <c r="Q5" s="1570">
        <f t="shared" ref="Q5" si="10">L5/100</f>
        <v>0</v>
      </c>
      <c r="R5" s="1823"/>
      <c r="S5" s="1824"/>
      <c r="T5" s="1823"/>
      <c r="U5" s="1823"/>
      <c r="V5" s="1823"/>
      <c r="W5" s="2719" t="s">
        <v>2809</v>
      </c>
      <c r="X5" s="1816">
        <f>ROUND(SUMPRODUCT(PRODUCT(1+N5:N$21)),4)</f>
        <v>1.4517</v>
      </c>
      <c r="Y5" s="1816">
        <f>ROUND(SUMPRODUCT(PRODUCT(1+O5:O$21)),4)</f>
        <v>1.2928999999999999</v>
      </c>
      <c r="Z5" s="1816">
        <f t="shared" ref="Z5" si="11">Y5</f>
        <v>1.2928999999999999</v>
      </c>
      <c r="AA5" s="1816">
        <f>ROUND(SUMPRODUCT(PRODUCT(1+P5:P$21)),4)</f>
        <v>1.5068999999999999</v>
      </c>
      <c r="AB5" s="1816">
        <f>ROUND(SUMPRODUCT(PRODUCT(1+Q5:Q$21)),4)</f>
        <v>1.2557</v>
      </c>
      <c r="AD5" s="1571">
        <f>ROUND(AVERAGE(I5:I$22)/100,4)</f>
        <v>2.2700000000000001E-2</v>
      </c>
      <c r="AE5" s="1571">
        <f>ROUND(AVERAGE(J5:J$22)/100,4)</f>
        <v>1.5699999999999999E-2</v>
      </c>
      <c r="AF5" s="1571">
        <f t="shared" ref="AF5" si="12">AE5</f>
        <v>1.5699999999999999E-2</v>
      </c>
      <c r="AG5" s="1571">
        <f>ROUND(AVERAGE(K5:K$22)/100,4)</f>
        <v>2.5000000000000001E-2</v>
      </c>
      <c r="AH5" s="1571">
        <f>ROUND(AVERAGE(L5:L$22)/100,4)</f>
        <v>1.35E-2</v>
      </c>
    </row>
    <row r="6" spans="1:34" s="1569" customFormat="1" ht="13.5" thickBot="1">
      <c r="A6" s="1563" t="s">
        <v>2815</v>
      </c>
      <c r="B6" s="1580">
        <f t="shared" si="2"/>
        <v>446.46299999999997</v>
      </c>
      <c r="C6" s="1580">
        <f t="shared" ref="C6" si="13">C7*(1+O6)</f>
        <v>333.27840000000003</v>
      </c>
      <c r="D6" s="1580">
        <f t="shared" ref="D6:D11" si="14">C6</f>
        <v>333.27840000000003</v>
      </c>
      <c r="E6" s="1580">
        <f t="shared" ref="E6" si="15">E7*(1+P6)</f>
        <v>637.28279999999995</v>
      </c>
      <c r="F6" s="1580">
        <f t="shared" ref="F6" si="16">F7*(1+Q6)</f>
        <v>288.68830000000003</v>
      </c>
      <c r="G6" s="2711">
        <v>2018</v>
      </c>
      <c r="H6" s="1566">
        <v>1</v>
      </c>
      <c r="I6" s="1566">
        <v>1.7</v>
      </c>
      <c r="J6" s="1566">
        <v>1.92</v>
      </c>
      <c r="K6" s="1566">
        <v>1.64</v>
      </c>
      <c r="L6" s="1581">
        <v>2.0099999999999998</v>
      </c>
      <c r="M6" s="1574"/>
      <c r="N6" s="1575">
        <f t="shared" ref="N6:N11" si="17">I6/100</f>
        <v>1.7000000000000001E-2</v>
      </c>
      <c r="O6" s="1576">
        <f t="shared" ref="O6" si="18">J6/100</f>
        <v>1.9199999999999998E-2</v>
      </c>
      <c r="P6" s="1576">
        <f t="shared" ref="P6" si="19">K6/100</f>
        <v>1.6399999999999998E-2</v>
      </c>
      <c r="Q6" s="1576">
        <f t="shared" ref="Q6" si="20">L6/100</f>
        <v>2.0099999999999996E-2</v>
      </c>
      <c r="R6" s="1574"/>
      <c r="S6" s="1583">
        <f>B6/B7-1</f>
        <v>1.6999999999999904E-2</v>
      </c>
      <c r="T6" s="1584">
        <f>C6/C7-1</f>
        <v>1.9200000000000106E-2</v>
      </c>
      <c r="U6" s="1584">
        <f>E6/E7-1</f>
        <v>1.639999999999997E-2</v>
      </c>
      <c r="V6" s="1584">
        <f>F6/F7-1</f>
        <v>2.0100000000000007E-2</v>
      </c>
      <c r="W6" s="1574"/>
      <c r="X6" s="1561">
        <f>ROUND(SUMPRODUCT(PRODUCT(1+N6:N$21)),4)</f>
        <v>1.4517</v>
      </c>
      <c r="Y6" s="1561">
        <f>ROUND(SUMPRODUCT(PRODUCT(1+O6:O$21)),4)</f>
        <v>1.2928999999999999</v>
      </c>
      <c r="Z6" s="1561">
        <f t="shared" ref="Z6" si="21">Y6</f>
        <v>1.2928999999999999</v>
      </c>
      <c r="AA6" s="1561">
        <f>ROUND(SUMPRODUCT(PRODUCT(1+P6:P$21)),4)</f>
        <v>1.5068999999999999</v>
      </c>
      <c r="AB6" s="1561">
        <f>ROUND(SUMPRODUCT(PRODUCT(1+Q6:Q$21)),4)</f>
        <v>1.2557</v>
      </c>
      <c r="AC6" s="1574"/>
      <c r="AD6" s="1562">
        <f>ROUND(AVERAGE(I6:I$22)/100,4)</f>
        <v>2.4E-2</v>
      </c>
      <c r="AE6" s="1562">
        <f>ROUND(AVERAGE(J6:J$22)/100,4)</f>
        <v>1.66E-2</v>
      </c>
      <c r="AF6" s="1562">
        <f t="shared" ref="AF6" si="22">AE6</f>
        <v>1.66E-2</v>
      </c>
      <c r="AG6" s="1562">
        <f>ROUND(AVERAGE(K6:K$22)/100,4)</f>
        <v>2.6499999999999999E-2</v>
      </c>
      <c r="AH6" s="1562">
        <f>ROUND(AVERAGE(L6:L$22)/100,4)</f>
        <v>1.43E-2</v>
      </c>
    </row>
    <row r="7" spans="1:34">
      <c r="A7" s="1563" t="s">
        <v>2811</v>
      </c>
      <c r="B7" s="1572">
        <v>439</v>
      </c>
      <c r="C7" s="1572">
        <v>327</v>
      </c>
      <c r="D7" s="1572">
        <f t="shared" si="14"/>
        <v>327</v>
      </c>
      <c r="E7" s="1572">
        <v>627</v>
      </c>
      <c r="F7" s="1573">
        <v>283</v>
      </c>
      <c r="G7" s="2718">
        <v>2017</v>
      </c>
      <c r="H7" s="1564">
        <v>4</v>
      </c>
      <c r="I7" s="1564">
        <v>1.71</v>
      </c>
      <c r="J7" s="1564">
        <v>1.78</v>
      </c>
      <c r="K7" s="1564">
        <v>1.71</v>
      </c>
      <c r="L7" s="1565">
        <v>1.43</v>
      </c>
      <c r="N7" s="1575">
        <f t="shared" si="17"/>
        <v>1.7100000000000001E-2</v>
      </c>
      <c r="O7" s="1576">
        <f t="shared" ref="O7" si="23">J7/100</f>
        <v>1.78E-2</v>
      </c>
      <c r="P7" s="1576">
        <f t="shared" ref="P7" si="24">K7/100</f>
        <v>1.7100000000000001E-2</v>
      </c>
      <c r="Q7" s="1576">
        <f t="shared" ref="Q7" si="25">L7/100</f>
        <v>1.43E-2</v>
      </c>
      <c r="R7" s="1577"/>
      <c r="S7" s="1578"/>
      <c r="T7" s="1579"/>
      <c r="U7" s="1579"/>
      <c r="V7" s="1579"/>
      <c r="X7" s="1561">
        <f>ROUND(SUMPRODUCT(PRODUCT(1+N7:N$21)),4)</f>
        <v>1.4274</v>
      </c>
      <c r="Y7" s="1561">
        <f>ROUND(SUMPRODUCT(PRODUCT(1+O7:O$21)),4)</f>
        <v>1.2685</v>
      </c>
      <c r="Z7" s="1561">
        <f t="shared" si="0"/>
        <v>1.2685</v>
      </c>
      <c r="AA7" s="1561">
        <f>ROUND(SUMPRODUCT(PRODUCT(1+P7:P$21)),4)</f>
        <v>1.4825999999999999</v>
      </c>
      <c r="AB7" s="1561">
        <f>ROUND(SUMPRODUCT(PRODUCT(1+Q7:Q$21)),4)</f>
        <v>1.2309000000000001</v>
      </c>
      <c r="AD7" s="1562">
        <f>ROUND(AVERAGE(I7:I$22)/100,4)</f>
        <v>2.4500000000000001E-2</v>
      </c>
      <c r="AE7" s="1562">
        <f>ROUND(AVERAGE(J7:J$22)/100,4)</f>
        <v>1.6500000000000001E-2</v>
      </c>
      <c r="AF7" s="1562">
        <f t="shared" si="1"/>
        <v>1.6500000000000001E-2</v>
      </c>
      <c r="AG7" s="1562">
        <f>ROUND(AVERAGE(K7:K$22)/100,4)</f>
        <v>2.7099999999999999E-2</v>
      </c>
      <c r="AH7" s="1562">
        <f>ROUND(AVERAGE(L7:L$22)/100,4)</f>
        <v>1.3899999999999999E-2</v>
      </c>
    </row>
    <row r="8" spans="1:34" s="1569" customFormat="1" ht="13.5" thickBot="1">
      <c r="A8" s="1563" t="s">
        <v>2806</v>
      </c>
      <c r="B8" s="1580">
        <f t="shared" si="2"/>
        <v>431.80730811680002</v>
      </c>
      <c r="C8" s="1580">
        <f t="shared" ref="C8" si="26">C9*(1+O8)</f>
        <v>320.57880516480003</v>
      </c>
      <c r="D8" s="1580">
        <f t="shared" si="14"/>
        <v>320.57880516480003</v>
      </c>
      <c r="E8" s="1580">
        <f t="shared" ref="E8:F10" si="27">E9*(1+P8)</f>
        <v>615.96110553196797</v>
      </c>
      <c r="F8" s="1580">
        <f t="shared" si="27"/>
        <v>279.46777300108801</v>
      </c>
      <c r="G8" s="2711"/>
      <c r="H8" s="1566">
        <v>3</v>
      </c>
      <c r="I8" s="1566">
        <v>2.98</v>
      </c>
      <c r="J8" s="1566">
        <v>2.11</v>
      </c>
      <c r="K8" s="1566">
        <v>3.24</v>
      </c>
      <c r="L8" s="1581">
        <v>1.72</v>
      </c>
      <c r="M8" s="1574"/>
      <c r="N8" s="1575">
        <f t="shared" si="17"/>
        <v>2.98E-2</v>
      </c>
      <c r="O8" s="1576">
        <f t="shared" ref="O8" si="28">J8/100</f>
        <v>2.1099999999999997E-2</v>
      </c>
      <c r="P8" s="1576">
        <f t="shared" ref="P8" si="29">K8/100</f>
        <v>3.2400000000000005E-2</v>
      </c>
      <c r="Q8" s="1576">
        <f t="shared" ref="Q8" si="30">L8/100</f>
        <v>1.72E-2</v>
      </c>
      <c r="R8" s="1574"/>
      <c r="S8" s="1583"/>
      <c r="T8" s="1584"/>
      <c r="U8" s="1584"/>
      <c r="V8" s="1584"/>
      <c r="X8" s="1561">
        <f>ROUND(SUMPRODUCT(PRODUCT(1+N8:N$21)),4)</f>
        <v>1.4034</v>
      </c>
      <c r="Y8" s="1561">
        <f>ROUND(SUMPRODUCT(PRODUCT(1+O8:O$21)),4)</f>
        <v>1.2463</v>
      </c>
      <c r="Z8" s="1561">
        <f t="shared" si="0"/>
        <v>1.2463</v>
      </c>
      <c r="AA8" s="1561">
        <f>ROUND(SUMPRODUCT(PRODUCT(1+P8:P$21)),4)</f>
        <v>1.4577</v>
      </c>
      <c r="AB8" s="1561">
        <f>ROUND(SUMPRODUCT(PRODUCT(1+Q8:Q$21)),4)</f>
        <v>1.2136</v>
      </c>
      <c r="AC8" s="1574"/>
      <c r="AD8" s="1562">
        <f>ROUND(AVERAGE(I8:I$22)/100,4)</f>
        <v>2.4899999999999999E-2</v>
      </c>
      <c r="AE8" s="1562">
        <f>ROUND(AVERAGE(J8:J$22)/100,4)</f>
        <v>1.6400000000000001E-2</v>
      </c>
      <c r="AF8" s="1562">
        <f t="shared" si="1"/>
        <v>1.6400000000000001E-2</v>
      </c>
      <c r="AG8" s="1562">
        <f>ROUND(AVERAGE(K8:K$22)/100,4)</f>
        <v>2.7799999999999998E-2</v>
      </c>
      <c r="AH8" s="1562">
        <f>ROUND(AVERAGE(L8:L$22)/100,4)</f>
        <v>1.3899999999999999E-2</v>
      </c>
    </row>
    <row r="9" spans="1:34" s="1822" customFormat="1">
      <c r="A9" s="1563" t="s">
        <v>1260</v>
      </c>
      <c r="B9" s="1580">
        <f t="shared" si="2"/>
        <v>419.31181600000002</v>
      </c>
      <c r="C9" s="1580">
        <f t="shared" ref="C9" si="31">C10*(1+O9)</f>
        <v>313.95436800000004</v>
      </c>
      <c r="D9" s="1580">
        <f t="shared" si="14"/>
        <v>313.95436800000004</v>
      </c>
      <c r="E9" s="1580">
        <f t="shared" si="27"/>
        <v>596.63028431999999</v>
      </c>
      <c r="F9" s="1580">
        <f t="shared" si="27"/>
        <v>274.74220703999998</v>
      </c>
      <c r="G9" s="2710"/>
      <c r="H9" s="1567">
        <v>2</v>
      </c>
      <c r="I9" s="1567">
        <v>3.4</v>
      </c>
      <c r="J9" s="1567">
        <v>2</v>
      </c>
      <c r="K9" s="1567">
        <v>3.82</v>
      </c>
      <c r="L9" s="1582">
        <v>1.68</v>
      </c>
      <c r="M9" s="1574"/>
      <c r="N9" s="1575">
        <f t="shared" si="17"/>
        <v>3.4000000000000002E-2</v>
      </c>
      <c r="O9" s="1576">
        <f t="shared" ref="O9" si="32">J9/100</f>
        <v>0.02</v>
      </c>
      <c r="P9" s="1576">
        <f t="shared" ref="P9" si="33">K9/100</f>
        <v>3.8199999999999998E-2</v>
      </c>
      <c r="Q9" s="1576">
        <f t="shared" ref="Q9" si="34">L9/100</f>
        <v>1.6799999999999999E-2</v>
      </c>
      <c r="R9" s="1574"/>
      <c r="S9" s="1558"/>
      <c r="T9" s="1560"/>
      <c r="U9" s="1560"/>
      <c r="V9" s="1560"/>
      <c r="W9" s="1555"/>
      <c r="X9" s="1875">
        <f>ROUND(SUMPRODUCT(PRODUCT(1+N9:N$21)),4)</f>
        <v>1.3628</v>
      </c>
      <c r="Y9" s="1875">
        <f>ROUND(SUMPRODUCT(PRODUCT(1+O9:O$21)),4)</f>
        <v>1.2205999999999999</v>
      </c>
      <c r="Z9" s="1875">
        <f t="shared" si="0"/>
        <v>1.2205999999999999</v>
      </c>
      <c r="AA9" s="1875">
        <f>ROUND(SUMPRODUCT(PRODUCT(1+P9:P$21)),4)</f>
        <v>1.4118999999999999</v>
      </c>
      <c r="AB9" s="1875">
        <f>ROUND(SUMPRODUCT(PRODUCT(1+Q9:Q$21)),4)</f>
        <v>1.1930000000000001</v>
      </c>
      <c r="AC9" s="1555"/>
      <c r="AD9" s="1876">
        <f>ROUND(AVERAGE(I9:I$22)/100,4)</f>
        <v>2.46E-2</v>
      </c>
      <c r="AE9" s="1876">
        <f>ROUND(AVERAGE(J9:J$22)/100,4)</f>
        <v>1.6E-2</v>
      </c>
      <c r="AF9" s="1876">
        <f t="shared" si="1"/>
        <v>1.6E-2</v>
      </c>
      <c r="AG9" s="1876">
        <f>ROUND(AVERAGE(K9:K$22)/100,4)</f>
        <v>2.75E-2</v>
      </c>
      <c r="AH9" s="1876">
        <f>ROUND(AVERAGE(L9:L$22)/100,4)</f>
        <v>1.37E-2</v>
      </c>
    </row>
    <row r="10" spans="1:34" s="1569" customFormat="1" ht="13.5" thickBot="1">
      <c r="A10" s="1563" t="s">
        <v>1049</v>
      </c>
      <c r="B10" s="1580">
        <f t="shared" si="2"/>
        <v>405.524</v>
      </c>
      <c r="C10" s="1580">
        <f t="shared" ref="C10" si="35">C11*(1+O10)</f>
        <v>307.79840000000002</v>
      </c>
      <c r="D10" s="1580">
        <f t="shared" si="14"/>
        <v>307.79840000000002</v>
      </c>
      <c r="E10" s="1580">
        <f t="shared" si="27"/>
        <v>574.67759999999998</v>
      </c>
      <c r="F10" s="1580">
        <f t="shared" si="27"/>
        <v>270.20280000000002</v>
      </c>
      <c r="G10" s="2711"/>
      <c r="H10" s="1566">
        <v>1</v>
      </c>
      <c r="I10" s="1566">
        <v>3.45</v>
      </c>
      <c r="J10" s="1566">
        <v>1.92</v>
      </c>
      <c r="K10" s="1566">
        <v>3.92</v>
      </c>
      <c r="L10" s="1581">
        <v>1.58</v>
      </c>
      <c r="M10" s="1574"/>
      <c r="N10" s="1575">
        <f t="shared" si="17"/>
        <v>3.4500000000000003E-2</v>
      </c>
      <c r="O10" s="1576">
        <f t="shared" ref="O10:Q25" si="36">J10/100</f>
        <v>1.9199999999999998E-2</v>
      </c>
      <c r="P10" s="1576">
        <f t="shared" si="36"/>
        <v>3.9199999999999999E-2</v>
      </c>
      <c r="Q10" s="1576">
        <f t="shared" si="36"/>
        <v>1.5800000000000002E-2</v>
      </c>
      <c r="R10" s="1574"/>
      <c r="S10" s="1583">
        <f>B10/B11-1</f>
        <v>3.4499999999999975E-2</v>
      </c>
      <c r="T10" s="1584">
        <f>C10/C11-1</f>
        <v>1.9200000000000106E-2</v>
      </c>
      <c r="U10" s="1584">
        <f>E10/E11-1</f>
        <v>3.9199999999999902E-2</v>
      </c>
      <c r="V10" s="1584">
        <f>F10/F11-1</f>
        <v>1.5800000000000036E-2</v>
      </c>
      <c r="W10" s="1574"/>
      <c r="X10" s="1561">
        <f>ROUND(SUMPRODUCT(PRODUCT(1+N10:N$21)),4)</f>
        <v>1.3180000000000001</v>
      </c>
      <c r="Y10" s="1561">
        <f>ROUND(SUMPRODUCT(PRODUCT(1+O10:O$21)),4)</f>
        <v>1.1966000000000001</v>
      </c>
      <c r="Z10" s="1561">
        <f t="shared" si="0"/>
        <v>1.1966000000000001</v>
      </c>
      <c r="AA10" s="1561">
        <f>ROUND(SUMPRODUCT(PRODUCT(1+P10:P$21)),4)</f>
        <v>1.36</v>
      </c>
      <c r="AB10" s="1561">
        <f>ROUND(SUMPRODUCT(PRODUCT(1+Q10:Q$21)),4)</f>
        <v>1.1733</v>
      </c>
      <c r="AC10" s="1574"/>
      <c r="AD10" s="1562">
        <f>ROUND(AVERAGE(I10:I$22)/100,4)</f>
        <v>2.3900000000000001E-2</v>
      </c>
      <c r="AE10" s="1562">
        <f>ROUND(AVERAGE(J10:J$22)/100,4)</f>
        <v>1.5699999999999999E-2</v>
      </c>
      <c r="AF10" s="1562">
        <f t="shared" si="1"/>
        <v>1.5699999999999999E-2</v>
      </c>
      <c r="AG10" s="1562">
        <f>ROUND(AVERAGE(K10:K$22)/100,4)</f>
        <v>2.6599999999999999E-2</v>
      </c>
      <c r="AH10" s="1562">
        <f>ROUND(AVERAGE(L10:L$22)/100,4)</f>
        <v>1.34E-2</v>
      </c>
    </row>
    <row r="11" spans="1:34">
      <c r="A11" s="1563" t="s">
        <v>1050</v>
      </c>
      <c r="B11" s="1572">
        <v>392</v>
      </c>
      <c r="C11" s="1572">
        <v>302</v>
      </c>
      <c r="D11" s="1572">
        <f t="shared" si="14"/>
        <v>302</v>
      </c>
      <c r="E11" s="1572">
        <v>553</v>
      </c>
      <c r="F11" s="1573">
        <v>266</v>
      </c>
      <c r="G11" s="3106">
        <v>2016</v>
      </c>
      <c r="H11" s="1564">
        <v>4</v>
      </c>
      <c r="I11" s="1564">
        <v>4.5599999999999996</v>
      </c>
      <c r="J11" s="1564">
        <v>2.15</v>
      </c>
      <c r="K11" s="1564">
        <v>5.32</v>
      </c>
      <c r="L11" s="1565">
        <v>1.57</v>
      </c>
      <c r="N11" s="1575">
        <f t="shared" si="17"/>
        <v>4.5599999999999995E-2</v>
      </c>
      <c r="O11" s="1576">
        <f t="shared" si="36"/>
        <v>2.1499999999999998E-2</v>
      </c>
      <c r="P11" s="1576">
        <f t="shared" si="36"/>
        <v>5.3200000000000004E-2</v>
      </c>
      <c r="Q11" s="1576">
        <f t="shared" si="36"/>
        <v>1.5700000000000002E-2</v>
      </c>
      <c r="R11" s="1577"/>
      <c r="S11" s="1578"/>
      <c r="T11" s="1579"/>
      <c r="U11" s="1579"/>
      <c r="V11" s="1579"/>
      <c r="X11" s="1561">
        <f>ROUND(SUMPRODUCT(PRODUCT(1+N11:N$21)),4)</f>
        <v>1.274</v>
      </c>
      <c r="Y11" s="1561">
        <f>ROUND(SUMPRODUCT(PRODUCT(1+O11:O$21)),4)</f>
        <v>1.1740999999999999</v>
      </c>
      <c r="Z11" s="1561">
        <f t="shared" si="0"/>
        <v>1.1740999999999999</v>
      </c>
      <c r="AA11" s="1561">
        <f>ROUND(SUMPRODUCT(PRODUCT(1+P11:P$21)),4)</f>
        <v>1.3087</v>
      </c>
      <c r="AB11" s="1561">
        <f>ROUND(SUMPRODUCT(PRODUCT(1+Q11:Q$21)),4)</f>
        <v>1.1551</v>
      </c>
      <c r="AD11" s="1562">
        <f>ROUND(AVERAGE(I11:I$22)/100,4)</f>
        <v>2.3E-2</v>
      </c>
      <c r="AE11" s="1562">
        <f>ROUND(AVERAGE(J11:J$22)/100,4)</f>
        <v>1.55E-2</v>
      </c>
      <c r="AF11" s="1562">
        <f t="shared" ref="AF11:AF20" si="37">AE11</f>
        <v>1.55E-2</v>
      </c>
      <c r="AG11" s="1562">
        <f>ROUND(AVERAGE(K11:K$22)/100,4)</f>
        <v>2.5600000000000001E-2</v>
      </c>
      <c r="AH11" s="1562">
        <f>ROUND(AVERAGE(L11:L$22)/100,4)</f>
        <v>1.32E-2</v>
      </c>
    </row>
    <row r="12" spans="1:34">
      <c r="A12" s="1563" t="s">
        <v>103</v>
      </c>
      <c r="B12" s="1580">
        <f t="shared" ref="B12:C14" si="38">B11/(1+N11)</f>
        <v>374.90436113236416</v>
      </c>
      <c r="C12" s="1580">
        <f t="shared" si="38"/>
        <v>295.64366128242779</v>
      </c>
      <c r="D12" s="1580">
        <f t="shared" ref="D12:D71" si="39">C12</f>
        <v>295.64366128242779</v>
      </c>
      <c r="E12" s="1580">
        <f t="shared" ref="E12:F14" si="40">E11/(1+P11)</f>
        <v>525.06646410938095</v>
      </c>
      <c r="F12" s="1580">
        <f t="shared" si="40"/>
        <v>261.88835286009646</v>
      </c>
      <c r="G12" s="3101"/>
      <c r="H12" s="1566">
        <v>3</v>
      </c>
      <c r="I12" s="1566">
        <v>4.12</v>
      </c>
      <c r="J12" s="1566">
        <v>2</v>
      </c>
      <c r="K12" s="1566">
        <v>4.79</v>
      </c>
      <c r="L12" s="1581">
        <v>1.97</v>
      </c>
      <c r="N12" s="1575">
        <f t="shared" ref="N12:Q46" si="41">I12/100</f>
        <v>4.1200000000000001E-2</v>
      </c>
      <c r="O12" s="1576">
        <f t="shared" si="36"/>
        <v>0.02</v>
      </c>
      <c r="P12" s="1576">
        <f t="shared" si="36"/>
        <v>4.7899999999999998E-2</v>
      </c>
      <c r="Q12" s="1576">
        <f t="shared" si="36"/>
        <v>1.9699999999999999E-2</v>
      </c>
      <c r="R12" s="1577"/>
      <c r="S12" s="1575"/>
      <c r="T12" s="1576"/>
      <c r="U12" s="1576"/>
      <c r="V12" s="1576"/>
      <c r="X12" s="1561">
        <f>ROUND(SUMPRODUCT(PRODUCT(1+N12:N$21)),4)</f>
        <v>1.2184999999999999</v>
      </c>
      <c r="Y12" s="1561">
        <f>ROUND(SUMPRODUCT(PRODUCT(1+O12:O$21)),4)</f>
        <v>1.1494</v>
      </c>
      <c r="Z12" s="1561">
        <f t="shared" si="0"/>
        <v>1.1494</v>
      </c>
      <c r="AA12" s="1561">
        <f>ROUND(SUMPRODUCT(PRODUCT(1+P12:P$21)),4)</f>
        <v>1.2425999999999999</v>
      </c>
      <c r="AB12" s="1561">
        <f>ROUND(SUMPRODUCT(PRODUCT(1+Q12:Q$21)),4)</f>
        <v>1.1372</v>
      </c>
      <c r="AD12" s="1562">
        <f>ROUND(AVERAGE(I12:I$22)/100,4)</f>
        <v>2.0899999999999998E-2</v>
      </c>
      <c r="AE12" s="1562">
        <f>ROUND(AVERAGE(J12:J$22)/100,4)</f>
        <v>1.49E-2</v>
      </c>
      <c r="AF12" s="1562">
        <f t="shared" si="37"/>
        <v>1.49E-2</v>
      </c>
      <c r="AG12" s="1562">
        <f>ROUND(AVERAGE(K12:K$22)/100,4)</f>
        <v>2.3099999999999999E-2</v>
      </c>
      <c r="AH12" s="1562">
        <f>ROUND(AVERAGE(L12:L$22)/100,4)</f>
        <v>1.2999999999999999E-2</v>
      </c>
    </row>
    <row r="13" spans="1:34">
      <c r="A13" s="1563" t="s">
        <v>93</v>
      </c>
      <c r="B13" s="1580">
        <f t="shared" si="38"/>
        <v>360.06949782209392</v>
      </c>
      <c r="C13" s="1580">
        <f t="shared" si="38"/>
        <v>289.84672674747821</v>
      </c>
      <c r="D13" s="1580">
        <f t="shared" si="39"/>
        <v>289.84672674747821</v>
      </c>
      <c r="E13" s="1580">
        <f t="shared" si="40"/>
        <v>501.06543001181495</v>
      </c>
      <c r="F13" s="1580">
        <f t="shared" si="40"/>
        <v>256.82882500744967</v>
      </c>
      <c r="G13" s="3101"/>
      <c r="H13" s="1567">
        <v>2</v>
      </c>
      <c r="I13" s="1567">
        <v>3.85</v>
      </c>
      <c r="J13" s="1567">
        <v>1.95</v>
      </c>
      <c r="K13" s="1567">
        <v>4.4800000000000004</v>
      </c>
      <c r="L13" s="1582">
        <v>1.41</v>
      </c>
      <c r="N13" s="1575">
        <f t="shared" si="41"/>
        <v>3.85E-2</v>
      </c>
      <c r="O13" s="1576">
        <f t="shared" si="36"/>
        <v>1.95E-2</v>
      </c>
      <c r="P13" s="1576">
        <f t="shared" si="36"/>
        <v>4.4800000000000006E-2</v>
      </c>
      <c r="Q13" s="1576">
        <f t="shared" si="36"/>
        <v>1.41E-2</v>
      </c>
      <c r="R13" s="1577"/>
      <c r="S13" s="1575"/>
      <c r="T13" s="1576"/>
      <c r="U13" s="1576"/>
      <c r="V13" s="1576"/>
      <c r="X13" s="1561">
        <f>ROUND(SUMPRODUCT(PRODUCT(1+N13:N$21)),4)</f>
        <v>1.1702999999999999</v>
      </c>
      <c r="Y13" s="1561">
        <f>ROUND(SUMPRODUCT(PRODUCT(1+O13:O$21)),4)</f>
        <v>1.1269</v>
      </c>
      <c r="Z13" s="1561">
        <f t="shared" si="0"/>
        <v>1.1269</v>
      </c>
      <c r="AA13" s="1561">
        <f>ROUND(SUMPRODUCT(PRODUCT(1+P13:P$21)),4)</f>
        <v>1.1858</v>
      </c>
      <c r="AB13" s="1561">
        <f>ROUND(SUMPRODUCT(PRODUCT(1+Q13:Q$21)),4)</f>
        <v>1.1152</v>
      </c>
      <c r="AD13" s="1562">
        <f>ROUND(AVERAGE(I13:I$22)/100,4)</f>
        <v>1.89E-2</v>
      </c>
      <c r="AE13" s="1562">
        <f>ROUND(AVERAGE(J13:J$22)/100,4)</f>
        <v>1.44E-2</v>
      </c>
      <c r="AF13" s="1562">
        <f t="shared" si="37"/>
        <v>1.44E-2</v>
      </c>
      <c r="AG13" s="1562">
        <f>ROUND(AVERAGE(K13:K$22)/100,4)</f>
        <v>2.06E-2</v>
      </c>
      <c r="AH13" s="1562">
        <f>ROUND(AVERAGE(L13:L$22)/100,4)</f>
        <v>1.23E-2</v>
      </c>
    </row>
    <row r="14" spans="1:34" ht="13.5" thickBot="1">
      <c r="A14" s="1563" t="s">
        <v>102</v>
      </c>
      <c r="B14" s="1580">
        <f t="shared" si="38"/>
        <v>346.720748986128</v>
      </c>
      <c r="C14" s="1580">
        <f t="shared" si="38"/>
        <v>284.30282172386285</v>
      </c>
      <c r="D14" s="1580">
        <f t="shared" si="39"/>
        <v>284.30282172386285</v>
      </c>
      <c r="E14" s="1580">
        <f t="shared" si="40"/>
        <v>479.58023546306947</v>
      </c>
      <c r="F14" s="1580">
        <f t="shared" si="40"/>
        <v>253.25788877571213</v>
      </c>
      <c r="G14" s="3102"/>
      <c r="H14" s="1566">
        <v>1</v>
      </c>
      <c r="I14" s="1566">
        <v>4.09</v>
      </c>
      <c r="J14" s="1566">
        <v>2.93</v>
      </c>
      <c r="K14" s="1566">
        <v>4.54</v>
      </c>
      <c r="L14" s="1581">
        <v>1.48</v>
      </c>
      <c r="N14" s="1575">
        <f t="shared" si="41"/>
        <v>4.0899999999999999E-2</v>
      </c>
      <c r="O14" s="1576">
        <f t="shared" si="36"/>
        <v>2.9300000000000003E-2</v>
      </c>
      <c r="P14" s="1576">
        <f t="shared" si="36"/>
        <v>4.5400000000000003E-2</v>
      </c>
      <c r="Q14" s="1576">
        <f t="shared" si="36"/>
        <v>1.4800000000000001E-2</v>
      </c>
      <c r="R14" s="1577"/>
      <c r="S14" s="1583">
        <f>B14/B15-1</f>
        <v>4.1203450408792808E-2</v>
      </c>
      <c r="T14" s="1584">
        <f>C14/C15-1</f>
        <v>2.6363977342465095E-2</v>
      </c>
      <c r="U14" s="1584">
        <f>E14/E15-1</f>
        <v>4.4837114298626357E-2</v>
      </c>
      <c r="V14" s="1584">
        <f>F14/F15-1</f>
        <v>1.7099954922538574E-2</v>
      </c>
      <c r="X14" s="1561">
        <f>ROUND(SUMPRODUCT(PRODUCT(1+N14:N$21)),4)</f>
        <v>1.1269</v>
      </c>
      <c r="Y14" s="1561">
        <f>ROUND(SUMPRODUCT(PRODUCT(1+O14:O$21)),4)</f>
        <v>1.1052999999999999</v>
      </c>
      <c r="Z14" s="1561">
        <f t="shared" si="0"/>
        <v>1.1052999999999999</v>
      </c>
      <c r="AA14" s="1561">
        <f>ROUND(SUMPRODUCT(PRODUCT(1+P14:P$21)),4)</f>
        <v>1.1349</v>
      </c>
      <c r="AB14" s="1561">
        <f>ROUND(SUMPRODUCT(PRODUCT(1+Q14:Q$21)),4)</f>
        <v>1.0996999999999999</v>
      </c>
      <c r="AD14" s="1562">
        <f>ROUND(AVERAGE(I14:I$22)/100,4)</f>
        <v>1.67E-2</v>
      </c>
      <c r="AE14" s="1562">
        <f>ROUND(AVERAGE(J14:J$22)/100,4)</f>
        <v>1.38E-2</v>
      </c>
      <c r="AF14" s="1562">
        <f t="shared" si="37"/>
        <v>1.38E-2</v>
      </c>
      <c r="AG14" s="1562">
        <f>ROUND(AVERAGE(K14:K$22)/100,4)</f>
        <v>1.7899999999999999E-2</v>
      </c>
      <c r="AH14" s="1562">
        <f>ROUND(AVERAGE(L14:L$22)/100,4)</f>
        <v>1.21E-2</v>
      </c>
    </row>
    <row r="15" spans="1:34" ht="13.5" thickBot="1">
      <c r="A15" s="1563" t="s">
        <v>101</v>
      </c>
      <c r="B15" s="1572">
        <v>333</v>
      </c>
      <c r="C15" s="1572">
        <v>277</v>
      </c>
      <c r="D15" s="1572">
        <f t="shared" si="39"/>
        <v>277</v>
      </c>
      <c r="E15" s="1572">
        <v>459</v>
      </c>
      <c r="F15" s="1573">
        <v>249</v>
      </c>
      <c r="G15" s="3100">
        <v>2015</v>
      </c>
      <c r="H15" s="1585">
        <v>4</v>
      </c>
      <c r="I15" s="1585">
        <v>1.63</v>
      </c>
      <c r="J15" s="1585">
        <v>1.1100000000000001</v>
      </c>
      <c r="K15" s="1585">
        <v>1.77</v>
      </c>
      <c r="L15" s="1586">
        <v>1.89</v>
      </c>
      <c r="N15" s="1587">
        <f t="shared" si="41"/>
        <v>1.6299999999999999E-2</v>
      </c>
      <c r="O15" s="1588">
        <f t="shared" si="36"/>
        <v>1.11E-2</v>
      </c>
      <c r="P15" s="1588">
        <f t="shared" si="36"/>
        <v>1.77E-2</v>
      </c>
      <c r="Q15" s="1588">
        <f t="shared" si="36"/>
        <v>1.89E-2</v>
      </c>
      <c r="R15" s="1577"/>
      <c r="X15" s="1561">
        <f>ROUND(SUMPRODUCT(PRODUCT(1+N15:N$21)),4)</f>
        <v>1.0826</v>
      </c>
      <c r="Y15" s="1561">
        <f>ROUND(SUMPRODUCT(PRODUCT(1+O15:O$21)),4)</f>
        <v>1.0738000000000001</v>
      </c>
      <c r="Z15" s="1561">
        <f t="shared" si="0"/>
        <v>1.0738000000000001</v>
      </c>
      <c r="AA15" s="1561">
        <f>ROUND(SUMPRODUCT(PRODUCT(1+P15:P$21)),4)</f>
        <v>1.0855999999999999</v>
      </c>
      <c r="AB15" s="1561">
        <f>ROUND(SUMPRODUCT(PRODUCT(1+Q15:Q$21)),4)</f>
        <v>1.0837000000000001</v>
      </c>
      <c r="AD15" s="1562">
        <f>ROUND(AVERAGE(I15:I$22)/100,4)</f>
        <v>1.37E-2</v>
      </c>
      <c r="AE15" s="1562">
        <f>ROUND(AVERAGE(J15:J$22)/100,4)</f>
        <v>1.1900000000000001E-2</v>
      </c>
      <c r="AF15" s="1562">
        <f t="shared" si="37"/>
        <v>1.1900000000000001E-2</v>
      </c>
      <c r="AG15" s="1562">
        <f>ROUND(AVERAGE(K15:K$22)/100,4)</f>
        <v>1.4500000000000001E-2</v>
      </c>
      <c r="AH15" s="1562">
        <f>ROUND(AVERAGE(L15:L$22)/100,4)</f>
        <v>1.18E-2</v>
      </c>
    </row>
    <row r="16" spans="1:34">
      <c r="A16" s="1563" t="s">
        <v>100</v>
      </c>
      <c r="B16" s="1580">
        <f t="shared" ref="B16:C18" si="42">B15/(1+N15)</f>
        <v>327.65915576109415</v>
      </c>
      <c r="C16" s="1580">
        <f t="shared" si="42"/>
        <v>273.95905449510434</v>
      </c>
      <c r="D16" s="1580">
        <f t="shared" si="39"/>
        <v>273.95905449510434</v>
      </c>
      <c r="E16" s="1580">
        <f t="shared" ref="E16:F18" si="43">E15/(1+P15)</f>
        <v>451.01699911565294</v>
      </c>
      <c r="F16" s="1580">
        <f t="shared" si="43"/>
        <v>244.38119540681129</v>
      </c>
      <c r="G16" s="3101"/>
      <c r="H16" s="1590">
        <v>3</v>
      </c>
      <c r="I16" s="1590">
        <v>1.65</v>
      </c>
      <c r="J16" s="1590">
        <v>0.92</v>
      </c>
      <c r="K16" s="1590">
        <v>1.88</v>
      </c>
      <c r="L16" s="1591">
        <v>1.26</v>
      </c>
      <c r="N16" s="1575">
        <f t="shared" si="41"/>
        <v>1.6500000000000001E-2</v>
      </c>
      <c r="O16" s="1592">
        <f t="shared" si="36"/>
        <v>9.1999999999999998E-3</v>
      </c>
      <c r="P16" s="1592">
        <f t="shared" si="36"/>
        <v>1.8799999999999997E-2</v>
      </c>
      <c r="Q16" s="1592">
        <f t="shared" si="36"/>
        <v>1.26E-2</v>
      </c>
      <c r="R16" s="1577"/>
      <c r="S16" s="1575"/>
      <c r="T16" s="1576"/>
      <c r="U16" s="1576"/>
      <c r="V16" s="1576"/>
      <c r="X16" s="1561">
        <f>ROUND(SUMPRODUCT(PRODUCT(1+N16:N$21)),4)</f>
        <v>1.0651999999999999</v>
      </c>
      <c r="Y16" s="1561">
        <f>ROUND(SUMPRODUCT(PRODUCT(1+O16:O$21)),4)</f>
        <v>1.0621</v>
      </c>
      <c r="Z16" s="1561">
        <f t="shared" si="0"/>
        <v>1.0621</v>
      </c>
      <c r="AA16" s="1561">
        <f>ROUND(SUMPRODUCT(PRODUCT(1+P16:P$21)),4)</f>
        <v>1.0668</v>
      </c>
      <c r="AB16" s="1561">
        <f>ROUND(SUMPRODUCT(PRODUCT(1+Q16:Q$21)),4)</f>
        <v>1.0636000000000001</v>
      </c>
      <c r="AD16" s="1562">
        <f>ROUND(AVERAGE(I16:I$22)/100,4)</f>
        <v>1.3299999999999999E-2</v>
      </c>
      <c r="AE16" s="1562">
        <f>ROUND(AVERAGE(J16:J$22)/100,4)</f>
        <v>1.2E-2</v>
      </c>
      <c r="AF16" s="1562">
        <f t="shared" si="37"/>
        <v>1.2E-2</v>
      </c>
      <c r="AG16" s="1562">
        <f>ROUND(AVERAGE(K16:K$22)/100,4)</f>
        <v>1.4E-2</v>
      </c>
      <c r="AH16" s="1562">
        <f>ROUND(AVERAGE(L16:L$22)/100,4)</f>
        <v>1.0800000000000001E-2</v>
      </c>
    </row>
    <row r="17" spans="1:34">
      <c r="A17" s="1563" t="s">
        <v>99</v>
      </c>
      <c r="B17" s="1580">
        <f t="shared" si="42"/>
        <v>322.34053690220776</v>
      </c>
      <c r="C17" s="1580">
        <f t="shared" si="42"/>
        <v>271.46160770422546</v>
      </c>
      <c r="D17" s="1580">
        <f t="shared" si="39"/>
        <v>271.46160770422546</v>
      </c>
      <c r="E17" s="1580">
        <f t="shared" si="43"/>
        <v>442.69434542172456</v>
      </c>
      <c r="F17" s="1580">
        <f t="shared" si="43"/>
        <v>241.34030753190925</v>
      </c>
      <c r="G17" s="3101"/>
      <c r="H17" s="1567">
        <v>2</v>
      </c>
      <c r="I17" s="1567">
        <v>0.77</v>
      </c>
      <c r="J17" s="1567">
        <v>0.69</v>
      </c>
      <c r="K17" s="1567">
        <v>0.8</v>
      </c>
      <c r="L17" s="1582">
        <v>0.88</v>
      </c>
      <c r="N17" s="1575">
        <f t="shared" si="41"/>
        <v>7.7000000000000002E-3</v>
      </c>
      <c r="O17" s="1592">
        <f t="shared" si="36"/>
        <v>6.8999999999999999E-3</v>
      </c>
      <c r="P17" s="1592">
        <f t="shared" si="36"/>
        <v>8.0000000000000002E-3</v>
      </c>
      <c r="Q17" s="1592">
        <f t="shared" si="36"/>
        <v>8.8000000000000005E-3</v>
      </c>
      <c r="R17" s="1577"/>
      <c r="S17" s="1575"/>
      <c r="T17" s="1576"/>
      <c r="U17" s="1576"/>
      <c r="V17" s="1576"/>
      <c r="X17" s="1561">
        <f>ROUND(SUMPRODUCT(PRODUCT(1+N17:N$21)),4)</f>
        <v>1.048</v>
      </c>
      <c r="Y17" s="1561">
        <f>ROUND(SUMPRODUCT(PRODUCT(1+O17:O$21)),4)</f>
        <v>1.0524</v>
      </c>
      <c r="Z17" s="1561">
        <f t="shared" si="0"/>
        <v>1.0524</v>
      </c>
      <c r="AA17" s="1561">
        <f>ROUND(SUMPRODUCT(PRODUCT(1+P17:P$21)),4)</f>
        <v>1.0470999999999999</v>
      </c>
      <c r="AB17" s="1561">
        <f>ROUND(SUMPRODUCT(PRODUCT(1+Q17:Q$21)),4)</f>
        <v>1.0504</v>
      </c>
      <c r="AD17" s="1562">
        <f>ROUND(AVERAGE(I17:I$22)/100,4)</f>
        <v>1.2800000000000001E-2</v>
      </c>
      <c r="AE17" s="1562">
        <f>ROUND(AVERAGE(J17:J$22)/100,4)</f>
        <v>1.2500000000000001E-2</v>
      </c>
      <c r="AF17" s="1562">
        <f t="shared" si="37"/>
        <v>1.2500000000000001E-2</v>
      </c>
      <c r="AG17" s="1562">
        <f>ROUND(AVERAGE(K17:K$22)/100,4)</f>
        <v>1.32E-2</v>
      </c>
      <c r="AH17" s="1562">
        <f>ROUND(AVERAGE(L17:L$22)/100,4)</f>
        <v>1.0500000000000001E-2</v>
      </c>
    </row>
    <row r="18" spans="1:34">
      <c r="A18" s="1563" t="s">
        <v>98</v>
      </c>
      <c r="B18" s="1580">
        <f t="shared" si="42"/>
        <v>319.87748030386797</v>
      </c>
      <c r="C18" s="1580">
        <f t="shared" si="42"/>
        <v>269.60135833173649</v>
      </c>
      <c r="D18" s="1580">
        <f t="shared" si="39"/>
        <v>269.60135833173649</v>
      </c>
      <c r="E18" s="1580">
        <f t="shared" si="43"/>
        <v>439.18089823583784</v>
      </c>
      <c r="F18" s="1580">
        <f t="shared" si="43"/>
        <v>239.23503918706311</v>
      </c>
      <c r="G18" s="3102"/>
      <c r="H18" s="1566">
        <v>1</v>
      </c>
      <c r="I18" s="1566">
        <v>0.51</v>
      </c>
      <c r="J18" s="1566">
        <v>0.54</v>
      </c>
      <c r="K18" s="1566">
        <v>0.48</v>
      </c>
      <c r="L18" s="1581">
        <v>0.93</v>
      </c>
      <c r="N18" s="1583">
        <f t="shared" si="41"/>
        <v>5.1000000000000004E-3</v>
      </c>
      <c r="O18" s="1584">
        <f t="shared" si="36"/>
        <v>5.4000000000000003E-3</v>
      </c>
      <c r="P18" s="1584">
        <f t="shared" si="36"/>
        <v>4.7999999999999996E-3</v>
      </c>
      <c r="Q18" s="1584">
        <f t="shared" si="36"/>
        <v>9.300000000000001E-3</v>
      </c>
      <c r="R18" s="1577"/>
      <c r="S18" s="1583">
        <f>B18/B19-1</f>
        <v>5.9040261127922822E-3</v>
      </c>
      <c r="T18" s="1584">
        <f>C18/C19-1</f>
        <v>5.9752176557332781E-3</v>
      </c>
      <c r="U18" s="1584">
        <f>E18/E19-1</f>
        <v>4.9906138119859556E-3</v>
      </c>
      <c r="V18" s="1584">
        <f>F18/F19-1</f>
        <v>9.4305450930933787E-3</v>
      </c>
      <c r="X18" s="1561">
        <f>ROUND(SUMPRODUCT(PRODUCT(1+N18:N$21)),4)</f>
        <v>1.0399</v>
      </c>
      <c r="Y18" s="1561">
        <f>ROUND(SUMPRODUCT(PRODUCT(1+O18:O$21)),4)</f>
        <v>1.0451999999999999</v>
      </c>
      <c r="Z18" s="1561">
        <f t="shared" si="0"/>
        <v>1.0451999999999999</v>
      </c>
      <c r="AA18" s="1561">
        <f>ROUND(SUMPRODUCT(PRODUCT(1+P18:P$21)),4)</f>
        <v>1.0387999999999999</v>
      </c>
      <c r="AB18" s="1561">
        <f>ROUND(SUMPRODUCT(PRODUCT(1+Q18:Q$21)),4)</f>
        <v>1.0411999999999999</v>
      </c>
      <c r="AD18" s="1562">
        <f>ROUND(AVERAGE(I18:I$22)/100,4)</f>
        <v>1.38E-2</v>
      </c>
      <c r="AE18" s="1562">
        <f>ROUND(AVERAGE(J18:J$22)/100,4)</f>
        <v>1.3599999999999999E-2</v>
      </c>
      <c r="AF18" s="1562">
        <f t="shared" si="37"/>
        <v>1.3599999999999999E-2</v>
      </c>
      <c r="AG18" s="1562">
        <f>ROUND(AVERAGE(K18:K$22)/100,4)</f>
        <v>1.4200000000000001E-2</v>
      </c>
      <c r="AH18" s="1562">
        <f>ROUND(AVERAGE(L18:L$22)/100,4)</f>
        <v>1.0800000000000001E-2</v>
      </c>
    </row>
    <row r="19" spans="1:34" ht="13.5" thickBot="1">
      <c r="A19" s="1563" t="s">
        <v>97</v>
      </c>
      <c r="B19" s="1593">
        <v>318</v>
      </c>
      <c r="C19" s="1593">
        <v>268</v>
      </c>
      <c r="D19" s="1593">
        <f t="shared" si="39"/>
        <v>268</v>
      </c>
      <c r="E19" s="1593">
        <v>437</v>
      </c>
      <c r="F19" s="1594">
        <v>237</v>
      </c>
      <c r="G19" s="3100">
        <v>2014</v>
      </c>
      <c r="H19" s="1585">
        <v>4</v>
      </c>
      <c r="I19" s="1585">
        <v>0.21</v>
      </c>
      <c r="J19" s="1585">
        <v>0.41</v>
      </c>
      <c r="K19" s="1585">
        <v>0.12</v>
      </c>
      <c r="L19" s="1586">
        <v>0.89</v>
      </c>
      <c r="N19" s="1575">
        <f t="shared" si="41"/>
        <v>2.0999999999999999E-3</v>
      </c>
      <c r="O19" s="1576">
        <f t="shared" si="36"/>
        <v>4.0999999999999995E-3</v>
      </c>
      <c r="P19" s="1576">
        <f t="shared" si="36"/>
        <v>1.1999999999999999E-3</v>
      </c>
      <c r="Q19" s="1576">
        <f t="shared" si="36"/>
        <v>8.8999999999999999E-3</v>
      </c>
      <c r="R19" s="1577"/>
      <c r="S19" s="1578"/>
      <c r="T19" s="1579"/>
      <c r="U19" s="1579"/>
      <c r="V19" s="1579"/>
      <c r="X19" s="1561">
        <f>ROUND(SUMPRODUCT(PRODUCT(1+N19:N$21)),4)</f>
        <v>1.0347</v>
      </c>
      <c r="Y19" s="1561">
        <f>ROUND(SUMPRODUCT(PRODUCT(1+O19:O$21)),4)</f>
        <v>1.0395000000000001</v>
      </c>
      <c r="Z19" s="1561">
        <f t="shared" si="0"/>
        <v>1.0395000000000001</v>
      </c>
      <c r="AA19" s="1561">
        <f>ROUND(SUMPRODUCT(PRODUCT(1+P19:P$21)),4)</f>
        <v>1.0338000000000001</v>
      </c>
      <c r="AB19" s="1561">
        <f>ROUND(SUMPRODUCT(PRODUCT(1+Q19:Q$21)),4)</f>
        <v>1.0316000000000001</v>
      </c>
      <c r="AD19" s="1562">
        <f>ROUND(AVERAGE(I19:I$22)/100,4)</f>
        <v>1.6E-2</v>
      </c>
      <c r="AE19" s="1562">
        <f>ROUND(AVERAGE(J19:J$22)/100,4)</f>
        <v>1.5599999999999999E-2</v>
      </c>
      <c r="AF19" s="1562">
        <f t="shared" si="37"/>
        <v>1.5599999999999999E-2</v>
      </c>
      <c r="AG19" s="1562">
        <f>ROUND(AVERAGE(K19:K$22)/100,4)</f>
        <v>1.66E-2</v>
      </c>
      <c r="AH19" s="1562">
        <f>ROUND(AVERAGE(L19:L$22)/100,4)</f>
        <v>1.12E-2</v>
      </c>
    </row>
    <row r="20" spans="1:34">
      <c r="A20" s="1563" t="s">
        <v>96</v>
      </c>
      <c r="B20" s="1580">
        <f t="shared" ref="B20:C22" si="44">B19/(1+N19)</f>
        <v>317.33359944117353</v>
      </c>
      <c r="C20" s="1580">
        <f t="shared" si="44"/>
        <v>266.90568668459315</v>
      </c>
      <c r="D20" s="1580">
        <f t="shared" si="39"/>
        <v>266.90568668459315</v>
      </c>
      <c r="E20" s="1580">
        <f t="shared" ref="E20:F22" si="45">E19/(1+P19)</f>
        <v>436.47622852576905</v>
      </c>
      <c r="F20" s="1580">
        <f t="shared" si="45"/>
        <v>234.90930716622066</v>
      </c>
      <c r="G20" s="3101"/>
      <c r="H20" s="1595">
        <v>3</v>
      </c>
      <c r="I20" s="1595">
        <v>0.83</v>
      </c>
      <c r="J20" s="1595">
        <v>1.47</v>
      </c>
      <c r="K20" s="1595">
        <v>0.65</v>
      </c>
      <c r="L20" s="1596">
        <v>0.72</v>
      </c>
      <c r="N20" s="1575">
        <f t="shared" si="41"/>
        <v>8.3000000000000001E-3</v>
      </c>
      <c r="O20" s="1576">
        <f t="shared" si="36"/>
        <v>1.47E-2</v>
      </c>
      <c r="P20" s="1576">
        <f t="shared" si="36"/>
        <v>6.5000000000000006E-3</v>
      </c>
      <c r="Q20" s="1576">
        <f t="shared" si="36"/>
        <v>7.1999999999999998E-3</v>
      </c>
      <c r="R20" s="1577"/>
      <c r="S20" s="1575"/>
      <c r="T20" s="1576"/>
      <c r="U20" s="1576"/>
      <c r="V20" s="1576"/>
      <c r="X20" s="1561">
        <f>ROUND(SUMPRODUCT(PRODUCT(1+N20:N$21)),4)</f>
        <v>1.0325</v>
      </c>
      <c r="Y20" s="1561">
        <f>ROUND(SUMPRODUCT(PRODUCT(1+O20:O$21)),4)</f>
        <v>1.0353000000000001</v>
      </c>
      <c r="Z20" s="1561">
        <f t="shared" ref="Z20:Z21" si="46">Y20</f>
        <v>1.0353000000000001</v>
      </c>
      <c r="AA20" s="1561">
        <f>ROUND(SUMPRODUCT(PRODUCT(1+P20:P$21)),4)</f>
        <v>1.0326</v>
      </c>
      <c r="AB20" s="1561">
        <f>ROUND(SUMPRODUCT(PRODUCT(1+Q20:Q$21)),4)</f>
        <v>1.0225</v>
      </c>
      <c r="AD20" s="1562">
        <f>ROUND(AVERAGE(I20:I$22)/100,4)</f>
        <v>2.07E-2</v>
      </c>
      <c r="AE20" s="1562">
        <f>ROUND(AVERAGE(J20:J$22)/100,4)</f>
        <v>1.95E-2</v>
      </c>
      <c r="AF20" s="1562">
        <f t="shared" si="37"/>
        <v>1.95E-2</v>
      </c>
      <c r="AG20" s="1562">
        <f>ROUND(AVERAGE(K20:K$22)/100,4)</f>
        <v>2.1700000000000001E-2</v>
      </c>
      <c r="AH20" s="1562">
        <f>ROUND(AVERAGE(L20:L$22)/100,4)</f>
        <v>1.2E-2</v>
      </c>
    </row>
    <row r="21" spans="1:34" ht="13.5" thickBot="1">
      <c r="A21" s="1563" t="s">
        <v>95</v>
      </c>
      <c r="B21" s="1580">
        <f t="shared" si="44"/>
        <v>314.72141172386546</v>
      </c>
      <c r="C21" s="1580">
        <f t="shared" si="44"/>
        <v>263.03901319069001</v>
      </c>
      <c r="D21" s="1580">
        <f t="shared" si="39"/>
        <v>263.03901319069001</v>
      </c>
      <c r="E21" s="1580">
        <f t="shared" si="45"/>
        <v>433.65745506782821</v>
      </c>
      <c r="F21" s="1580">
        <f t="shared" si="45"/>
        <v>233.23005080045735</v>
      </c>
      <c r="G21" s="3101"/>
      <c r="H21" s="1585">
        <v>2</v>
      </c>
      <c r="I21" s="1585">
        <v>2.4</v>
      </c>
      <c r="J21" s="1585">
        <v>2.0299999999999998</v>
      </c>
      <c r="K21" s="1585">
        <v>2.59</v>
      </c>
      <c r="L21" s="1586">
        <v>1.52</v>
      </c>
      <c r="N21" s="1575">
        <f t="shared" si="41"/>
        <v>2.4E-2</v>
      </c>
      <c r="O21" s="1576">
        <f t="shared" si="36"/>
        <v>2.0299999999999999E-2</v>
      </c>
      <c r="P21" s="1576">
        <f t="shared" si="36"/>
        <v>2.5899999999999999E-2</v>
      </c>
      <c r="Q21" s="1576">
        <f t="shared" si="36"/>
        <v>1.52E-2</v>
      </c>
      <c r="R21" s="1577"/>
      <c r="S21" s="1575"/>
      <c r="T21" s="1576"/>
      <c r="U21" s="1576"/>
      <c r="V21" s="1576"/>
      <c r="X21" s="1561">
        <f>1+N21</f>
        <v>1.024</v>
      </c>
      <c r="Y21" s="1561">
        <f>1+O21</f>
        <v>1.0203</v>
      </c>
      <c r="Z21" s="1561">
        <f t="shared" si="46"/>
        <v>1.0203</v>
      </c>
      <c r="AA21" s="1561">
        <f>1+P21</f>
        <v>1.0259</v>
      </c>
      <c r="AB21" s="1561">
        <f>1+Q21</f>
        <v>1.0152000000000001</v>
      </c>
      <c r="AD21" s="1562">
        <f>ROUND(AVERAGE(I21:I$22)/100,4)</f>
        <v>2.69E-2</v>
      </c>
      <c r="AE21" s="1562">
        <f>ROUND(AVERAGE(J21:J$22)/100,4)</f>
        <v>2.1899999999999999E-2</v>
      </c>
      <c r="AF21" s="1562">
        <f t="shared" ref="AF21" si="47">AE21</f>
        <v>2.1899999999999999E-2</v>
      </c>
      <c r="AG21" s="1562">
        <f>ROUND(AVERAGE(K21:K$22)/100,4)</f>
        <v>2.9399999999999999E-2</v>
      </c>
      <c r="AH21" s="1562">
        <f>ROUND(AVERAGE(L21:L$22)/100,4)</f>
        <v>1.44E-2</v>
      </c>
    </row>
    <row r="22" spans="1:34" s="1601" customFormat="1" ht="13.5" thickBot="1">
      <c r="A22" s="1597" t="s">
        <v>94</v>
      </c>
      <c r="B22" s="1598">
        <f t="shared" si="44"/>
        <v>307.34512863658733</v>
      </c>
      <c r="C22" s="1598">
        <f t="shared" si="44"/>
        <v>257.80556031626975</v>
      </c>
      <c r="D22" s="1598">
        <f t="shared" si="39"/>
        <v>257.80556031626975</v>
      </c>
      <c r="E22" s="1598">
        <f t="shared" si="45"/>
        <v>422.70928459677179</v>
      </c>
      <c r="F22" s="1598">
        <f t="shared" si="45"/>
        <v>229.73803270336617</v>
      </c>
      <c r="G22" s="3102"/>
      <c r="H22" s="1599">
        <v>1</v>
      </c>
      <c r="I22" s="1599">
        <v>2.97</v>
      </c>
      <c r="J22" s="1599">
        <v>2.34</v>
      </c>
      <c r="K22" s="1599">
        <v>3.28</v>
      </c>
      <c r="L22" s="1600">
        <v>1.36</v>
      </c>
      <c r="N22" s="1602">
        <f t="shared" si="41"/>
        <v>2.9700000000000001E-2</v>
      </c>
      <c r="O22" s="1603">
        <f t="shared" si="36"/>
        <v>2.3399999999999997E-2</v>
      </c>
      <c r="P22" s="1603">
        <f t="shared" si="36"/>
        <v>3.2799999999999996E-2</v>
      </c>
      <c r="Q22" s="1603">
        <f t="shared" si="36"/>
        <v>1.3600000000000001E-2</v>
      </c>
      <c r="R22" s="1604"/>
      <c r="S22" s="1605">
        <f>B22/B23-1</f>
        <v>2.7910129219355539E-2</v>
      </c>
      <c r="T22" s="1606">
        <f>C22/C23-1</f>
        <v>2.3037937762975247E-2</v>
      </c>
      <c r="U22" s="1606">
        <f>E22/E23-1</f>
        <v>3.3519033243940788E-2</v>
      </c>
      <c r="V22" s="1606">
        <f>F22/F23-1</f>
        <v>1.2061818076502862E-2</v>
      </c>
      <c r="W22" s="1607" t="s">
        <v>1218</v>
      </c>
      <c r="X22" s="1608">
        <v>1</v>
      </c>
      <c r="Y22" s="1608">
        <v>1</v>
      </c>
      <c r="Z22" s="1608">
        <v>1</v>
      </c>
      <c r="AA22" s="1608">
        <v>1</v>
      </c>
      <c r="AB22" s="1608">
        <v>1</v>
      </c>
      <c r="AD22" s="1815">
        <f>I22/100</f>
        <v>2.9700000000000001E-2</v>
      </c>
      <c r="AE22" s="1815">
        <f>J22/100</f>
        <v>2.3399999999999997E-2</v>
      </c>
      <c r="AF22" s="1815">
        <f>AE22</f>
        <v>2.3399999999999997E-2</v>
      </c>
      <c r="AG22" s="1815">
        <f>K22/100</f>
        <v>3.2799999999999996E-2</v>
      </c>
      <c r="AH22" s="1815">
        <f>L22/100</f>
        <v>1.3600000000000001E-2</v>
      </c>
    </row>
    <row r="23" spans="1:34" ht="13.5" thickBot="1">
      <c r="A23" s="1563" t="s">
        <v>1051</v>
      </c>
      <c r="B23" s="1572">
        <v>299</v>
      </c>
      <c r="C23" s="1572">
        <v>252</v>
      </c>
      <c r="D23" s="1572">
        <f t="shared" si="39"/>
        <v>252</v>
      </c>
      <c r="E23" s="1572">
        <v>409</v>
      </c>
      <c r="F23" s="1573">
        <v>227</v>
      </c>
      <c r="G23" s="3107">
        <v>2013</v>
      </c>
      <c r="H23" s="1609">
        <v>4</v>
      </c>
      <c r="I23" s="1609">
        <v>1.83</v>
      </c>
      <c r="J23" s="1609">
        <v>1.68</v>
      </c>
      <c r="K23" s="1609">
        <v>1.97</v>
      </c>
      <c r="L23" s="1610">
        <v>0.87</v>
      </c>
      <c r="N23" s="1587">
        <f t="shared" si="41"/>
        <v>1.83E-2</v>
      </c>
      <c r="O23" s="1588">
        <f t="shared" si="36"/>
        <v>1.6799999999999999E-2</v>
      </c>
      <c r="P23" s="1588">
        <f t="shared" si="36"/>
        <v>1.9699999999999999E-2</v>
      </c>
      <c r="Q23" s="1588">
        <f t="shared" si="36"/>
        <v>8.6999999999999994E-3</v>
      </c>
      <c r="R23" s="1577"/>
      <c r="S23" s="1578"/>
      <c r="T23" s="1579"/>
      <c r="U23" s="1579"/>
      <c r="V23" s="1579"/>
      <c r="X23" s="1579"/>
      <c r="Y23" s="1579"/>
      <c r="Z23" s="1579"/>
    </row>
    <row r="24" spans="1:34">
      <c r="A24" s="1563" t="s">
        <v>1052</v>
      </c>
      <c r="B24" s="1580">
        <f t="shared" ref="B24:C26" si="48">B23/(1+N23)</f>
        <v>293.62663262299913</v>
      </c>
      <c r="C24" s="1580">
        <f t="shared" si="48"/>
        <v>247.83634933123525</v>
      </c>
      <c r="D24" s="1580">
        <f t="shared" si="39"/>
        <v>247.83634933123525</v>
      </c>
      <c r="E24" s="1580">
        <f t="shared" ref="E24:F26" si="49">E23/(1+P23)</f>
        <v>401.09836226341076</v>
      </c>
      <c r="F24" s="1580">
        <f t="shared" si="49"/>
        <v>225.04213343908003</v>
      </c>
      <c r="G24" s="3108"/>
      <c r="H24" s="1590">
        <v>3</v>
      </c>
      <c r="I24" s="1590">
        <v>1.86</v>
      </c>
      <c r="J24" s="1590">
        <v>1.72</v>
      </c>
      <c r="K24" s="1590">
        <v>1.98</v>
      </c>
      <c r="L24" s="1591">
        <v>0.88</v>
      </c>
      <c r="N24" s="1575">
        <f t="shared" si="41"/>
        <v>1.8600000000000002E-2</v>
      </c>
      <c r="O24" s="1592">
        <f t="shared" si="36"/>
        <v>1.72E-2</v>
      </c>
      <c r="P24" s="1592">
        <f t="shared" si="36"/>
        <v>1.9799999999999998E-2</v>
      </c>
      <c r="Q24" s="1592">
        <f t="shared" si="36"/>
        <v>8.8000000000000005E-3</v>
      </c>
      <c r="R24" s="1577"/>
      <c r="S24" s="1575"/>
      <c r="T24" s="1576"/>
      <c r="U24" s="1576"/>
      <c r="V24" s="1576"/>
    </row>
    <row r="25" spans="1:34">
      <c r="A25" s="1563" t="s">
        <v>1053</v>
      </c>
      <c r="B25" s="1580">
        <f t="shared" si="48"/>
        <v>288.2649053828776</v>
      </c>
      <c r="C25" s="1580">
        <f t="shared" si="48"/>
        <v>243.64564425013293</v>
      </c>
      <c r="D25" s="1580">
        <f t="shared" si="39"/>
        <v>243.64564425013293</v>
      </c>
      <c r="E25" s="1580">
        <f t="shared" si="49"/>
        <v>393.31080825986544</v>
      </c>
      <c r="F25" s="1580">
        <f t="shared" si="49"/>
        <v>223.07903790551154</v>
      </c>
      <c r="G25" s="3108"/>
      <c r="H25" s="1567">
        <v>2</v>
      </c>
      <c r="I25" s="1567">
        <v>2.04</v>
      </c>
      <c r="J25" s="1567">
        <v>2.33</v>
      </c>
      <c r="K25" s="1567">
        <v>2.0699999999999998</v>
      </c>
      <c r="L25" s="1582">
        <v>0.69</v>
      </c>
      <c r="N25" s="1575">
        <f t="shared" si="41"/>
        <v>2.0400000000000001E-2</v>
      </c>
      <c r="O25" s="1592">
        <f t="shared" si="36"/>
        <v>2.3300000000000001E-2</v>
      </c>
      <c r="P25" s="1592">
        <f t="shared" si="36"/>
        <v>2.07E-2</v>
      </c>
      <c r="Q25" s="1592">
        <f t="shared" si="36"/>
        <v>6.8999999999999999E-3</v>
      </c>
      <c r="R25" s="1577"/>
      <c r="S25" s="1575"/>
      <c r="T25" s="1576"/>
      <c r="U25" s="1576"/>
      <c r="V25" s="1576"/>
      <c r="X25" s="1611"/>
      <c r="Y25" s="1612"/>
    </row>
    <row r="26" spans="1:34">
      <c r="A26" s="1563" t="s">
        <v>1054</v>
      </c>
      <c r="B26" s="1580">
        <f t="shared" si="48"/>
        <v>282.50186729015837</v>
      </c>
      <c r="C26" s="1580">
        <f t="shared" si="48"/>
        <v>238.09796174155468</v>
      </c>
      <c r="D26" s="1580">
        <f t="shared" si="39"/>
        <v>238.09796174155468</v>
      </c>
      <c r="E26" s="1580">
        <f t="shared" si="49"/>
        <v>385.33438646014054</v>
      </c>
      <c r="F26" s="1580">
        <f t="shared" si="49"/>
        <v>221.55034055567739</v>
      </c>
      <c r="G26" s="3109"/>
      <c r="H26" s="1566">
        <v>1</v>
      </c>
      <c r="I26" s="1566">
        <v>1.67</v>
      </c>
      <c r="J26" s="1566">
        <v>1.31</v>
      </c>
      <c r="K26" s="1566">
        <v>1.85</v>
      </c>
      <c r="L26" s="1581">
        <v>0.96</v>
      </c>
      <c r="N26" s="1583">
        <f t="shared" si="41"/>
        <v>1.67E-2</v>
      </c>
      <c r="O26" s="1584">
        <f t="shared" si="41"/>
        <v>1.3100000000000001E-2</v>
      </c>
      <c r="P26" s="1584">
        <f t="shared" si="41"/>
        <v>1.8500000000000003E-2</v>
      </c>
      <c r="Q26" s="1584">
        <f t="shared" si="41"/>
        <v>9.5999999999999992E-3</v>
      </c>
      <c r="R26" s="1577"/>
      <c r="S26" s="1583">
        <f>B26/B27-1</f>
        <v>1.6193767230785472E-2</v>
      </c>
      <c r="T26" s="1584">
        <f>C26/C27-1</f>
        <v>1.7512657015190891E-2</v>
      </c>
      <c r="U26" s="1584">
        <f>E26/E27-1</f>
        <v>1.6713420739157048E-2</v>
      </c>
      <c r="V26" s="1584">
        <f>F26/F27-1</f>
        <v>7.0470025258062563E-3</v>
      </c>
      <c r="X26" s="1613"/>
      <c r="Y26" s="1562"/>
      <c r="Z26" s="1562"/>
    </row>
    <row r="27" spans="1:34" ht="13.5" thickBot="1">
      <c r="A27" s="1563" t="s">
        <v>1055</v>
      </c>
      <c r="B27" s="1614">
        <v>278</v>
      </c>
      <c r="C27" s="1614">
        <v>234</v>
      </c>
      <c r="D27" s="1614">
        <f t="shared" si="39"/>
        <v>234</v>
      </c>
      <c r="E27" s="1614">
        <v>379</v>
      </c>
      <c r="F27" s="1615">
        <v>220</v>
      </c>
      <c r="G27" s="3100">
        <v>2012</v>
      </c>
      <c r="H27" s="1585">
        <v>4</v>
      </c>
      <c r="I27" s="1585">
        <v>0.91</v>
      </c>
      <c r="J27" s="1585">
        <v>0.68</v>
      </c>
      <c r="K27" s="1585">
        <v>0.98</v>
      </c>
      <c r="L27" s="1586">
        <v>0.9</v>
      </c>
      <c r="N27" s="1575">
        <f t="shared" si="41"/>
        <v>9.1000000000000004E-3</v>
      </c>
      <c r="O27" s="1576">
        <f t="shared" si="41"/>
        <v>6.8000000000000005E-3</v>
      </c>
      <c r="P27" s="1576">
        <f t="shared" si="41"/>
        <v>9.7999999999999997E-3</v>
      </c>
      <c r="Q27" s="1576">
        <f t="shared" si="41"/>
        <v>9.0000000000000011E-3</v>
      </c>
      <c r="R27" s="1577"/>
      <c r="S27" s="1578"/>
      <c r="T27" s="1579"/>
      <c r="U27" s="1579"/>
      <c r="V27" s="1579"/>
      <c r="X27" s="1579"/>
      <c r="Y27" s="1579"/>
      <c r="Z27" s="1579"/>
    </row>
    <row r="28" spans="1:34">
      <c r="A28" s="1563" t="s">
        <v>1056</v>
      </c>
      <c r="B28" s="1580">
        <f>B27/(1+N27)</f>
        <v>275.49301357645425</v>
      </c>
      <c r="C28" s="1580">
        <f>C27/(1+O27)</f>
        <v>232.41954707985698</v>
      </c>
      <c r="D28" s="1580">
        <f t="shared" si="39"/>
        <v>232.41954707985698</v>
      </c>
      <c r="E28" s="1580">
        <f t="shared" ref="E28:F30" si="50">E27/(1+P27)</f>
        <v>375.32184591008121</v>
      </c>
      <c r="F28" s="1580">
        <f t="shared" si="50"/>
        <v>218.03766105054513</v>
      </c>
      <c r="G28" s="3101"/>
      <c r="H28" s="1590">
        <v>3</v>
      </c>
      <c r="I28" s="1590">
        <v>0.09</v>
      </c>
      <c r="J28" s="1590">
        <v>0.28999999999999998</v>
      </c>
      <c r="K28" s="1590">
        <v>-0.01</v>
      </c>
      <c r="L28" s="1591">
        <v>0.57999999999999996</v>
      </c>
      <c r="N28" s="1575">
        <f t="shared" si="41"/>
        <v>8.9999999999999998E-4</v>
      </c>
      <c r="O28" s="1576">
        <f t="shared" si="41"/>
        <v>2.8999999999999998E-3</v>
      </c>
      <c r="P28" s="1576">
        <f t="shared" si="41"/>
        <v>-1E-4</v>
      </c>
      <c r="Q28" s="1576">
        <f t="shared" si="41"/>
        <v>5.7999999999999996E-3</v>
      </c>
      <c r="R28" s="1577"/>
      <c r="S28" s="1575"/>
      <c r="T28" s="1576"/>
      <c r="U28" s="1576"/>
      <c r="V28" s="1576"/>
    </row>
    <row r="29" spans="1:34">
      <c r="A29" s="1563" t="s">
        <v>1057</v>
      </c>
      <c r="B29" s="1580">
        <f>B28/(1+N28)</f>
        <v>275.24529281292263</v>
      </c>
      <c r="C29" s="1580">
        <f>C28/(1+O28)</f>
        <v>231.74747938962707</v>
      </c>
      <c r="D29" s="1580">
        <f t="shared" si="39"/>
        <v>231.74747938962707</v>
      </c>
      <c r="E29" s="1580">
        <f t="shared" si="50"/>
        <v>375.35938184826603</v>
      </c>
      <c r="F29" s="1580">
        <f t="shared" si="50"/>
        <v>216.78033510692495</v>
      </c>
      <c r="G29" s="3101"/>
      <c r="H29" s="1567">
        <v>2</v>
      </c>
      <c r="I29" s="1567">
        <v>0.02</v>
      </c>
      <c r="J29" s="1567">
        <v>0.12</v>
      </c>
      <c r="K29" s="1567">
        <v>-0.08</v>
      </c>
      <c r="L29" s="1582">
        <v>1.24</v>
      </c>
      <c r="N29" s="1575">
        <f t="shared" si="41"/>
        <v>2.0000000000000001E-4</v>
      </c>
      <c r="O29" s="1576">
        <f t="shared" si="41"/>
        <v>1.1999999999999999E-3</v>
      </c>
      <c r="P29" s="1576">
        <f t="shared" si="41"/>
        <v>-8.0000000000000004E-4</v>
      </c>
      <c r="Q29" s="1576">
        <f t="shared" si="41"/>
        <v>1.24E-2</v>
      </c>
      <c r="R29" s="1577"/>
      <c r="S29" s="1575"/>
      <c r="T29" s="1576"/>
      <c r="U29" s="1576"/>
      <c r="V29" s="1576"/>
    </row>
    <row r="30" spans="1:34" ht="13.5" thickBot="1">
      <c r="A30" s="1563" t="s">
        <v>1058</v>
      </c>
      <c r="B30" s="1580">
        <f>B29/(1+N29)</f>
        <v>275.19025476197027</v>
      </c>
      <c r="C30" s="1616">
        <v>232</v>
      </c>
      <c r="D30" s="1616">
        <f t="shared" si="39"/>
        <v>232</v>
      </c>
      <c r="E30" s="1580">
        <f t="shared" si="50"/>
        <v>375.65990977608692</v>
      </c>
      <c r="F30" s="1580">
        <f t="shared" si="50"/>
        <v>214.12518283971252</v>
      </c>
      <c r="G30" s="3102"/>
      <c r="H30" s="1566">
        <v>1</v>
      </c>
      <c r="I30" s="1566">
        <v>0.02</v>
      </c>
      <c r="J30" s="1566">
        <v>0.13</v>
      </c>
      <c r="K30" s="1566">
        <v>-0.04</v>
      </c>
      <c r="L30" s="1581">
        <v>0.46</v>
      </c>
      <c r="N30" s="1575">
        <f t="shared" si="41"/>
        <v>2.0000000000000001E-4</v>
      </c>
      <c r="O30" s="1576">
        <f t="shared" si="41"/>
        <v>1.2999999999999999E-3</v>
      </c>
      <c r="P30" s="1576">
        <f t="shared" si="41"/>
        <v>-4.0000000000000002E-4</v>
      </c>
      <c r="Q30" s="1576">
        <f t="shared" si="41"/>
        <v>4.5999999999999999E-3</v>
      </c>
      <c r="R30" s="1577"/>
      <c r="S30" s="1583">
        <f>B30/B31-1</f>
        <v>6.9183549807361189E-4</v>
      </c>
      <c r="T30" s="1584">
        <f>C30/C31-1</f>
        <v>0</v>
      </c>
      <c r="U30" s="1584">
        <f>E30/E31-1</f>
        <v>-9.0449527636460303E-4</v>
      </c>
      <c r="V30" s="1584">
        <f>F30/F31-1</f>
        <v>5.2825485432512753E-3</v>
      </c>
      <c r="X30" s="1562"/>
      <c r="Y30" s="1562"/>
      <c r="Z30" s="1562"/>
    </row>
    <row r="31" spans="1:34" ht="13.5" thickBot="1">
      <c r="A31" s="1563" t="s">
        <v>1059</v>
      </c>
      <c r="B31" s="1572">
        <v>275</v>
      </c>
      <c r="C31" s="1572">
        <v>232</v>
      </c>
      <c r="D31" s="1572">
        <f t="shared" si="39"/>
        <v>232</v>
      </c>
      <c r="E31" s="1572">
        <v>376</v>
      </c>
      <c r="F31" s="1573">
        <v>213</v>
      </c>
      <c r="G31" s="3100">
        <v>2011</v>
      </c>
      <c r="H31" s="1585">
        <v>4</v>
      </c>
      <c r="I31" s="1585">
        <v>-0.2</v>
      </c>
      <c r="J31" s="1585">
        <v>0.04</v>
      </c>
      <c r="K31" s="1585">
        <v>-0.34</v>
      </c>
      <c r="L31" s="1586">
        <v>0.46</v>
      </c>
      <c r="N31" s="1587">
        <f t="shared" si="41"/>
        <v>-2E-3</v>
      </c>
      <c r="O31" s="1588">
        <f t="shared" si="41"/>
        <v>4.0000000000000002E-4</v>
      </c>
      <c r="P31" s="1588">
        <f t="shared" si="41"/>
        <v>-3.4000000000000002E-3</v>
      </c>
      <c r="Q31" s="1588">
        <f t="shared" si="41"/>
        <v>4.5999999999999999E-3</v>
      </c>
      <c r="R31" s="1577"/>
      <c r="S31" s="1578"/>
      <c r="T31" s="1579"/>
      <c r="U31" s="1579"/>
      <c r="V31" s="1579"/>
      <c r="X31" s="1579"/>
      <c r="Y31" s="1579"/>
      <c r="Z31" s="1579"/>
    </row>
    <row r="32" spans="1:34">
      <c r="A32" s="1563" t="s">
        <v>1060</v>
      </c>
      <c r="B32" s="1580">
        <f t="shared" ref="B32:C34" si="51">B31/(1+N31)</f>
        <v>275.55110220440883</v>
      </c>
      <c r="C32" s="1580">
        <f t="shared" si="51"/>
        <v>231.90723710515795</v>
      </c>
      <c r="D32" s="1580">
        <f t="shared" si="39"/>
        <v>231.90723710515795</v>
      </c>
      <c r="E32" s="1580">
        <f t="shared" ref="E32:F34" si="52">E31/(1+P31)</f>
        <v>377.28276138872161</v>
      </c>
      <c r="F32" s="1580">
        <f t="shared" si="52"/>
        <v>212.02468644236512</v>
      </c>
      <c r="G32" s="3101">
        <v>2011</v>
      </c>
      <c r="H32" s="1590">
        <v>3</v>
      </c>
      <c r="I32" s="1590">
        <v>0.13</v>
      </c>
      <c r="J32" s="1590">
        <v>0.75</v>
      </c>
      <c r="K32" s="1590">
        <v>-0.08</v>
      </c>
      <c r="L32" s="1591">
        <v>0.53</v>
      </c>
      <c r="N32" s="1575">
        <f t="shared" si="41"/>
        <v>1.2999999999999999E-3</v>
      </c>
      <c r="O32" s="1592">
        <f t="shared" si="41"/>
        <v>7.4999999999999997E-3</v>
      </c>
      <c r="P32" s="1592">
        <f t="shared" si="41"/>
        <v>-8.0000000000000004E-4</v>
      </c>
      <c r="Q32" s="1592">
        <f t="shared" si="41"/>
        <v>5.3E-3</v>
      </c>
      <c r="R32" s="1577"/>
      <c r="S32" s="1575"/>
      <c r="T32" s="1576"/>
      <c r="U32" s="1576"/>
      <c r="V32" s="1576"/>
    </row>
    <row r="33" spans="1:26">
      <c r="A33" s="1563" t="s">
        <v>1061</v>
      </c>
      <c r="B33" s="1580">
        <f t="shared" si="51"/>
        <v>275.19335084830601</v>
      </c>
      <c r="C33" s="1580">
        <f t="shared" si="51"/>
        <v>230.18088050139744</v>
      </c>
      <c r="D33" s="1580">
        <f t="shared" si="39"/>
        <v>230.18088050139744</v>
      </c>
      <c r="E33" s="1580">
        <f t="shared" si="52"/>
        <v>377.58482925212331</v>
      </c>
      <c r="F33" s="1580">
        <f t="shared" si="52"/>
        <v>210.90687997847917</v>
      </c>
      <c r="G33" s="3101">
        <v>2011</v>
      </c>
      <c r="H33" s="1567">
        <v>2</v>
      </c>
      <c r="I33" s="1567">
        <v>-0.4</v>
      </c>
      <c r="J33" s="1567">
        <v>0.17</v>
      </c>
      <c r="K33" s="1567">
        <v>-0.57999999999999996</v>
      </c>
      <c r="L33" s="1582">
        <v>-0.2</v>
      </c>
      <c r="N33" s="1575">
        <f t="shared" si="41"/>
        <v>-4.0000000000000001E-3</v>
      </c>
      <c r="O33" s="1592">
        <f t="shared" si="41"/>
        <v>1.7000000000000001E-3</v>
      </c>
      <c r="P33" s="1592">
        <f t="shared" si="41"/>
        <v>-5.7999999999999996E-3</v>
      </c>
      <c r="Q33" s="1592">
        <f t="shared" si="41"/>
        <v>-2E-3</v>
      </c>
      <c r="R33" s="1577"/>
      <c r="S33" s="1575"/>
      <c r="T33" s="1576"/>
      <c r="U33" s="1576"/>
      <c r="V33" s="1576"/>
    </row>
    <row r="34" spans="1:26" ht="13.5" thickBot="1">
      <c r="A34" s="1563" t="s">
        <v>1062</v>
      </c>
      <c r="B34" s="1580">
        <f t="shared" si="51"/>
        <v>276.29854502841971</v>
      </c>
      <c r="C34" s="1580">
        <f t="shared" si="51"/>
        <v>229.79023709833027</v>
      </c>
      <c r="D34" s="1580">
        <f t="shared" si="39"/>
        <v>229.79023709833027</v>
      </c>
      <c r="E34" s="1580">
        <f t="shared" si="52"/>
        <v>379.78759731655936</v>
      </c>
      <c r="F34" s="1580">
        <f t="shared" si="52"/>
        <v>211.32953905659235</v>
      </c>
      <c r="G34" s="3102">
        <v>2011</v>
      </c>
      <c r="H34" s="1566">
        <v>1</v>
      </c>
      <c r="I34" s="1566">
        <v>2.65</v>
      </c>
      <c r="J34" s="1566">
        <v>3.76</v>
      </c>
      <c r="K34" s="1566">
        <v>1.89</v>
      </c>
      <c r="L34" s="1581">
        <v>7.95</v>
      </c>
      <c r="N34" s="1583">
        <f t="shared" si="41"/>
        <v>2.6499999999999999E-2</v>
      </c>
      <c r="O34" s="1584">
        <f t="shared" si="41"/>
        <v>3.7599999999999995E-2</v>
      </c>
      <c r="P34" s="1584">
        <f t="shared" si="41"/>
        <v>1.89E-2</v>
      </c>
      <c r="Q34" s="1584">
        <f t="shared" si="41"/>
        <v>7.9500000000000001E-2</v>
      </c>
      <c r="R34" s="1577"/>
      <c r="S34" s="1583">
        <f>B34/B35-1</f>
        <v>2.713213765211786E-2</v>
      </c>
      <c r="T34" s="1584">
        <f>C34/C35-1</f>
        <v>3.9774828499231862E-2</v>
      </c>
      <c r="U34" s="1584">
        <f>E34/E35-1</f>
        <v>1.8197311840641772E-2</v>
      </c>
      <c r="V34" s="1584">
        <f>F34/F35-1</f>
        <v>7.8211933962205826E-2</v>
      </c>
      <c r="X34" s="1562"/>
      <c r="Y34" s="1562"/>
      <c r="Z34" s="1562"/>
    </row>
    <row r="35" spans="1:26" ht="13.5" thickBot="1">
      <c r="A35" s="1563" t="s">
        <v>1063</v>
      </c>
      <c r="B35" s="1572">
        <v>269</v>
      </c>
      <c r="C35" s="1572">
        <v>221</v>
      </c>
      <c r="D35" s="1572">
        <f t="shared" si="39"/>
        <v>221</v>
      </c>
      <c r="E35" s="1572">
        <v>373</v>
      </c>
      <c r="F35" s="1573">
        <v>196</v>
      </c>
      <c r="G35" s="3100">
        <v>2010</v>
      </c>
      <c r="H35" s="1585">
        <v>4</v>
      </c>
      <c r="I35" s="1585">
        <v>5.72</v>
      </c>
      <c r="J35" s="1585">
        <v>6.57</v>
      </c>
      <c r="K35" s="1585">
        <v>5.72</v>
      </c>
      <c r="L35" s="1586">
        <v>2.72</v>
      </c>
      <c r="N35" s="1575">
        <f t="shared" si="41"/>
        <v>5.7200000000000001E-2</v>
      </c>
      <c r="O35" s="1576">
        <f t="shared" si="41"/>
        <v>6.5700000000000008E-2</v>
      </c>
      <c r="P35" s="1576">
        <f t="shared" si="41"/>
        <v>5.7200000000000001E-2</v>
      </c>
      <c r="Q35" s="1576">
        <f t="shared" si="41"/>
        <v>2.7200000000000002E-2</v>
      </c>
      <c r="R35" s="1577"/>
      <c r="S35" s="1578"/>
      <c r="T35" s="1579"/>
      <c r="U35" s="1579"/>
      <c r="V35" s="1579"/>
      <c r="X35" s="1579"/>
      <c r="Y35" s="1579"/>
      <c r="Z35" s="1579"/>
    </row>
    <row r="36" spans="1:26">
      <c r="A36" s="1563" t="s">
        <v>1064</v>
      </c>
      <c r="B36" s="1580">
        <f t="shared" ref="B36:C38" si="53">B35/(1+N35)</f>
        <v>254.44570563753314</v>
      </c>
      <c r="C36" s="1580">
        <f t="shared" si="53"/>
        <v>207.37543398705074</v>
      </c>
      <c r="D36" s="1580">
        <f t="shared" si="39"/>
        <v>207.37543398705074</v>
      </c>
      <c r="E36" s="1580">
        <f t="shared" ref="E36:F38" si="54">E35/(1+P35)</f>
        <v>352.81876655315932</v>
      </c>
      <c r="F36" s="1580">
        <f t="shared" si="54"/>
        <v>190.809968847352</v>
      </c>
      <c r="G36" s="3101">
        <v>2010</v>
      </c>
      <c r="H36" s="1590">
        <v>3</v>
      </c>
      <c r="I36" s="1590">
        <v>4.7300000000000004</v>
      </c>
      <c r="J36" s="1590">
        <v>3.9</v>
      </c>
      <c r="K36" s="1590">
        <v>5.03</v>
      </c>
      <c r="L36" s="1591">
        <v>4.21</v>
      </c>
      <c r="N36" s="1575">
        <f t="shared" si="41"/>
        <v>4.7300000000000002E-2</v>
      </c>
      <c r="O36" s="1576">
        <f t="shared" si="41"/>
        <v>3.9E-2</v>
      </c>
      <c r="P36" s="1576">
        <f t="shared" si="41"/>
        <v>5.0300000000000004E-2</v>
      </c>
      <c r="Q36" s="1576">
        <f t="shared" si="41"/>
        <v>4.2099999999999999E-2</v>
      </c>
      <c r="R36" s="1577"/>
      <c r="S36" s="1575"/>
      <c r="T36" s="1576"/>
      <c r="U36" s="1576"/>
      <c r="V36" s="1576"/>
    </row>
    <row r="37" spans="1:26">
      <c r="A37" s="1563" t="s">
        <v>1065</v>
      </c>
      <c r="B37" s="1580">
        <f t="shared" si="53"/>
        <v>242.95398227588385</v>
      </c>
      <c r="C37" s="1580">
        <f t="shared" si="53"/>
        <v>199.59137053614126</v>
      </c>
      <c r="D37" s="1580">
        <f t="shared" si="39"/>
        <v>199.59137053614126</v>
      </c>
      <c r="E37" s="1580">
        <f t="shared" si="54"/>
        <v>335.92189522342125</v>
      </c>
      <c r="F37" s="1580">
        <f t="shared" si="54"/>
        <v>183.10139991109489</v>
      </c>
      <c r="G37" s="3101">
        <v>2010</v>
      </c>
      <c r="H37" s="1567">
        <v>2</v>
      </c>
      <c r="I37" s="1567">
        <v>4.6900000000000004</v>
      </c>
      <c r="J37" s="1567">
        <v>3.55</v>
      </c>
      <c r="K37" s="1567">
        <v>5.07</v>
      </c>
      <c r="L37" s="1582">
        <v>4.2300000000000004</v>
      </c>
      <c r="N37" s="1575">
        <f t="shared" si="41"/>
        <v>4.6900000000000004E-2</v>
      </c>
      <c r="O37" s="1576">
        <f t="shared" si="41"/>
        <v>3.5499999999999997E-2</v>
      </c>
      <c r="P37" s="1576">
        <f t="shared" si="41"/>
        <v>5.0700000000000002E-2</v>
      </c>
      <c r="Q37" s="1576">
        <f t="shared" si="41"/>
        <v>4.2300000000000004E-2</v>
      </c>
      <c r="R37" s="1577"/>
      <c r="S37" s="1575"/>
      <c r="T37" s="1576"/>
      <c r="U37" s="1576"/>
      <c r="V37" s="1576"/>
    </row>
    <row r="38" spans="1:26" ht="13.5" thickBot="1">
      <c r="A38" s="1563" t="s">
        <v>1066</v>
      </c>
      <c r="B38" s="1580">
        <f t="shared" si="53"/>
        <v>232.06990378821649</v>
      </c>
      <c r="C38" s="1580">
        <f t="shared" si="53"/>
        <v>192.74878854286936</v>
      </c>
      <c r="D38" s="1580">
        <f t="shared" si="39"/>
        <v>192.74878854286936</v>
      </c>
      <c r="E38" s="1580">
        <f t="shared" si="54"/>
        <v>319.71247284992984</v>
      </c>
      <c r="F38" s="1580">
        <f t="shared" si="54"/>
        <v>175.67053622862409</v>
      </c>
      <c r="G38" s="3102">
        <v>2010</v>
      </c>
      <c r="H38" s="1566">
        <v>1</v>
      </c>
      <c r="I38" s="1566">
        <v>5.4</v>
      </c>
      <c r="J38" s="1566">
        <v>3.2</v>
      </c>
      <c r="K38" s="1566">
        <v>6.16</v>
      </c>
      <c r="L38" s="1581">
        <v>4.51</v>
      </c>
      <c r="N38" s="1575">
        <f t="shared" si="41"/>
        <v>5.4000000000000006E-2</v>
      </c>
      <c r="O38" s="1576">
        <f t="shared" si="41"/>
        <v>3.2000000000000001E-2</v>
      </c>
      <c r="P38" s="1576">
        <f t="shared" si="41"/>
        <v>6.1600000000000002E-2</v>
      </c>
      <c r="Q38" s="1576">
        <f t="shared" si="41"/>
        <v>4.5100000000000001E-2</v>
      </c>
      <c r="R38" s="1577"/>
      <c r="S38" s="1583">
        <f>B38/B39-1</f>
        <v>5.4863199037347599E-2</v>
      </c>
      <c r="T38" s="1584">
        <f>C38/C39-1</f>
        <v>3.0742184721226584E-2</v>
      </c>
      <c r="U38" s="1584">
        <f>E38/E39-1</f>
        <v>6.2167683886810154E-2</v>
      </c>
      <c r="V38" s="1584">
        <f>F38/F39-1</f>
        <v>4.5657953741810031E-2</v>
      </c>
      <c r="X38" s="1562"/>
      <c r="Y38" s="1562"/>
      <c r="Z38" s="1562"/>
    </row>
    <row r="39" spans="1:26" ht="13.5" thickBot="1">
      <c r="A39" s="1563" t="s">
        <v>1067</v>
      </c>
      <c r="B39" s="1572">
        <v>220</v>
      </c>
      <c r="C39" s="1572">
        <v>187</v>
      </c>
      <c r="D39" s="1572">
        <f t="shared" si="39"/>
        <v>187</v>
      </c>
      <c r="E39" s="1572">
        <v>301</v>
      </c>
      <c r="F39" s="1573">
        <v>168</v>
      </c>
      <c r="G39" s="3100">
        <v>2009</v>
      </c>
      <c r="H39" s="1585">
        <v>4</v>
      </c>
      <c r="I39" s="1585">
        <v>2.2999999999999998</v>
      </c>
      <c r="J39" s="1585">
        <v>1.04</v>
      </c>
      <c r="K39" s="1585">
        <v>2.84</v>
      </c>
      <c r="L39" s="1586">
        <v>0.67</v>
      </c>
      <c r="N39" s="1587">
        <f t="shared" si="41"/>
        <v>2.3E-2</v>
      </c>
      <c r="O39" s="1588">
        <f t="shared" si="41"/>
        <v>1.04E-2</v>
      </c>
      <c r="P39" s="1588">
        <f t="shared" si="41"/>
        <v>2.8399999999999998E-2</v>
      </c>
      <c r="Q39" s="1588">
        <f t="shared" si="41"/>
        <v>6.7000000000000002E-3</v>
      </c>
      <c r="R39" s="1577"/>
      <c r="S39" s="1578"/>
      <c r="T39" s="1579"/>
      <c r="U39" s="1579"/>
      <c r="V39" s="1579"/>
      <c r="X39" s="1579"/>
      <c r="Y39" s="1579"/>
      <c r="Z39" s="1579"/>
    </row>
    <row r="40" spans="1:26">
      <c r="A40" s="1563" t="s">
        <v>1068</v>
      </c>
      <c r="B40" s="1580">
        <f t="shared" ref="B40:C42" si="55">B39/(1+N39)</f>
        <v>215.05376344086022</v>
      </c>
      <c r="C40" s="1580">
        <f t="shared" si="55"/>
        <v>185.0752177355503</v>
      </c>
      <c r="D40" s="1580">
        <f t="shared" si="39"/>
        <v>185.0752177355503</v>
      </c>
      <c r="E40" s="1580">
        <f t="shared" ref="E40:F42" si="56">E39/(1+P39)</f>
        <v>292.68767016725008</v>
      </c>
      <c r="F40" s="1580">
        <f t="shared" si="56"/>
        <v>166.88189132810174</v>
      </c>
      <c r="G40" s="3101">
        <v>2009</v>
      </c>
      <c r="H40" s="1590">
        <v>3</v>
      </c>
      <c r="I40" s="1590">
        <v>2.1</v>
      </c>
      <c r="J40" s="1590">
        <v>1.86</v>
      </c>
      <c r="K40" s="1590">
        <v>2.29</v>
      </c>
      <c r="L40" s="1591">
        <v>0.85</v>
      </c>
      <c r="N40" s="1575">
        <f t="shared" si="41"/>
        <v>2.1000000000000001E-2</v>
      </c>
      <c r="O40" s="1592">
        <f t="shared" si="41"/>
        <v>1.8600000000000002E-2</v>
      </c>
      <c r="P40" s="1592">
        <f t="shared" si="41"/>
        <v>2.29E-2</v>
      </c>
      <c r="Q40" s="1592">
        <f t="shared" si="41"/>
        <v>8.5000000000000006E-3</v>
      </c>
      <c r="R40" s="1577"/>
      <c r="S40" s="1575"/>
      <c r="T40" s="1576"/>
      <c r="U40" s="1576"/>
      <c r="V40" s="1576"/>
    </row>
    <row r="41" spans="1:26">
      <c r="A41" s="1563" t="s">
        <v>1069</v>
      </c>
      <c r="B41" s="1580">
        <f t="shared" si="55"/>
        <v>210.630522469011</v>
      </c>
      <c r="C41" s="1580">
        <f t="shared" si="55"/>
        <v>181.69567812247232</v>
      </c>
      <c r="D41" s="1580">
        <f t="shared" si="39"/>
        <v>181.69567812247232</v>
      </c>
      <c r="E41" s="1580">
        <f t="shared" si="56"/>
        <v>286.13517466736738</v>
      </c>
      <c r="F41" s="1580">
        <f t="shared" si="56"/>
        <v>165.47535084591149</v>
      </c>
      <c r="G41" s="3101">
        <v>2009</v>
      </c>
      <c r="H41" s="1567">
        <v>2</v>
      </c>
      <c r="I41" s="1567">
        <v>0.86</v>
      </c>
      <c r="J41" s="1567">
        <v>-1.1299999999999999</v>
      </c>
      <c r="K41" s="1567">
        <v>1.79</v>
      </c>
      <c r="L41" s="1582">
        <v>-2.0699999999999998</v>
      </c>
      <c r="N41" s="1575">
        <f t="shared" si="41"/>
        <v>8.6E-3</v>
      </c>
      <c r="O41" s="1592">
        <f t="shared" si="41"/>
        <v>-1.1299999999999999E-2</v>
      </c>
      <c r="P41" s="1592">
        <f t="shared" si="41"/>
        <v>1.7899999999999999E-2</v>
      </c>
      <c r="Q41" s="1592">
        <f t="shared" si="41"/>
        <v>-2.07E-2</v>
      </c>
      <c r="R41" s="1577"/>
      <c r="S41" s="1575"/>
      <c r="T41" s="1576"/>
      <c r="U41" s="1576"/>
      <c r="V41" s="1576"/>
    </row>
    <row r="42" spans="1:26">
      <c r="A42" s="1563" t="s">
        <v>1070</v>
      </c>
      <c r="B42" s="1580">
        <f t="shared" si="55"/>
        <v>208.83454537875372</v>
      </c>
      <c r="C42" s="1580">
        <f t="shared" si="55"/>
        <v>183.77230517090351</v>
      </c>
      <c r="D42" s="1580">
        <f t="shared" si="39"/>
        <v>183.77230517090351</v>
      </c>
      <c r="E42" s="1580">
        <f t="shared" si="56"/>
        <v>281.10342338870947</v>
      </c>
      <c r="F42" s="1580">
        <f t="shared" si="56"/>
        <v>168.97309388942256</v>
      </c>
      <c r="G42" s="3102">
        <v>2009</v>
      </c>
      <c r="H42" s="1566">
        <v>1</v>
      </c>
      <c r="I42" s="1566">
        <v>-2.64</v>
      </c>
      <c r="J42" s="1566">
        <v>-2.5299999999999998</v>
      </c>
      <c r="K42" s="1566">
        <v>-3.02</v>
      </c>
      <c r="L42" s="1581">
        <v>1.52</v>
      </c>
      <c r="N42" s="1583">
        <f t="shared" si="41"/>
        <v>-2.64E-2</v>
      </c>
      <c r="O42" s="1584">
        <f t="shared" si="41"/>
        <v>-2.53E-2</v>
      </c>
      <c r="P42" s="1584">
        <f t="shared" si="41"/>
        <v>-3.0200000000000001E-2</v>
      </c>
      <c r="Q42" s="1584">
        <f t="shared" si="41"/>
        <v>1.52E-2</v>
      </c>
      <c r="R42" s="1577"/>
      <c r="S42" s="1583">
        <f>B42/B43-1</f>
        <v>-2.4137638417038754E-2</v>
      </c>
      <c r="T42" s="1584">
        <f>C42/C43-1</f>
        <v>-2.248773845264096E-2</v>
      </c>
      <c r="U42" s="1584">
        <f>E42/E43-1</f>
        <v>-2.7323794502735366E-2</v>
      </c>
      <c r="V42" s="1584">
        <f>F42/F43-1</f>
        <v>1.7910204153148035E-2</v>
      </c>
      <c r="X42" s="1562"/>
      <c r="Y42" s="1562"/>
      <c r="Z42" s="1562"/>
    </row>
    <row r="43" spans="1:26" ht="13.5" thickBot="1">
      <c r="A43" s="1563" t="s">
        <v>1071</v>
      </c>
      <c r="B43" s="1614">
        <v>214</v>
      </c>
      <c r="C43" s="1614">
        <v>188</v>
      </c>
      <c r="D43" s="1614">
        <f t="shared" si="39"/>
        <v>188</v>
      </c>
      <c r="E43" s="1614">
        <v>289</v>
      </c>
      <c r="F43" s="1615">
        <v>166</v>
      </c>
      <c r="G43" s="3100">
        <v>2008</v>
      </c>
      <c r="H43" s="1585">
        <v>4</v>
      </c>
      <c r="I43" s="1585">
        <v>1.73</v>
      </c>
      <c r="J43" s="1585">
        <v>0.03</v>
      </c>
      <c r="K43" s="1585">
        <v>2.59</v>
      </c>
      <c r="L43" s="1586">
        <v>-1.66</v>
      </c>
      <c r="N43" s="1575">
        <f t="shared" si="41"/>
        <v>1.7299999999999999E-2</v>
      </c>
      <c r="O43" s="1576">
        <f t="shared" si="41"/>
        <v>2.9999999999999997E-4</v>
      </c>
      <c r="P43" s="1576">
        <f t="shared" si="41"/>
        <v>2.5899999999999999E-2</v>
      </c>
      <c r="Q43" s="1576">
        <f t="shared" si="41"/>
        <v>-1.66E-2</v>
      </c>
      <c r="R43" s="1577"/>
      <c r="S43" s="1578"/>
      <c r="T43" s="1579"/>
      <c r="U43" s="1579"/>
      <c r="V43" s="1579"/>
      <c r="X43" s="1579"/>
      <c r="Y43" s="1579"/>
      <c r="Z43" s="1579"/>
    </row>
    <row r="44" spans="1:26">
      <c r="A44" s="1563" t="s">
        <v>1072</v>
      </c>
      <c r="B44" s="1580">
        <f t="shared" ref="B44:C46" si="57">B43/(1+N43)</f>
        <v>210.36075887152265</v>
      </c>
      <c r="C44" s="1580">
        <f t="shared" si="57"/>
        <v>187.94361691492554</v>
      </c>
      <c r="D44" s="1580">
        <f t="shared" si="39"/>
        <v>187.94361691492554</v>
      </c>
      <c r="E44" s="1580">
        <f t="shared" ref="E44:F46" si="58">E43/(1+P43)</f>
        <v>281.70386977288234</v>
      </c>
      <c r="F44" s="1580">
        <f t="shared" si="58"/>
        <v>168.80211511083994</v>
      </c>
      <c r="G44" s="3101">
        <v>2008</v>
      </c>
      <c r="H44" s="1590">
        <v>3</v>
      </c>
      <c r="I44" s="1590">
        <v>1.96</v>
      </c>
      <c r="J44" s="1590">
        <v>2.36</v>
      </c>
      <c r="K44" s="1590">
        <v>1.82</v>
      </c>
      <c r="L44" s="1591">
        <v>2.2200000000000002</v>
      </c>
      <c r="N44" s="1575">
        <f t="shared" si="41"/>
        <v>1.9599999999999999E-2</v>
      </c>
      <c r="O44" s="1576">
        <f t="shared" si="41"/>
        <v>2.3599999999999999E-2</v>
      </c>
      <c r="P44" s="1576">
        <f t="shared" si="41"/>
        <v>1.8200000000000001E-2</v>
      </c>
      <c r="Q44" s="1576">
        <f t="shared" si="41"/>
        <v>2.2200000000000001E-2</v>
      </c>
      <c r="R44" s="1577"/>
      <c r="S44" s="1575"/>
      <c r="T44" s="1576"/>
      <c r="U44" s="1576"/>
      <c r="V44" s="1576"/>
    </row>
    <row r="45" spans="1:26">
      <c r="A45" s="1563" t="s">
        <v>1073</v>
      </c>
      <c r="B45" s="1580">
        <f t="shared" si="57"/>
        <v>206.31694671589116</v>
      </c>
      <c r="C45" s="1580">
        <f t="shared" si="57"/>
        <v>183.61041121036101</v>
      </c>
      <c r="D45" s="1580">
        <f t="shared" si="39"/>
        <v>183.61041121036101</v>
      </c>
      <c r="E45" s="1580">
        <f t="shared" si="58"/>
        <v>276.66850301795557</v>
      </c>
      <c r="F45" s="1580">
        <f t="shared" si="58"/>
        <v>165.1360938278614</v>
      </c>
      <c r="G45" s="3101">
        <v>2008</v>
      </c>
      <c r="H45" s="1567">
        <v>2</v>
      </c>
      <c r="I45" s="1567">
        <v>4.93</v>
      </c>
      <c r="J45" s="1567">
        <v>7.38</v>
      </c>
      <c r="K45" s="1567">
        <v>3.98</v>
      </c>
      <c r="L45" s="1582">
        <v>6.86</v>
      </c>
      <c r="N45" s="1575">
        <f t="shared" si="41"/>
        <v>4.9299999999999997E-2</v>
      </c>
      <c r="O45" s="1576">
        <f t="shared" si="41"/>
        <v>7.3800000000000004E-2</v>
      </c>
      <c r="P45" s="1576">
        <f t="shared" si="41"/>
        <v>3.9800000000000002E-2</v>
      </c>
      <c r="Q45" s="1576">
        <f t="shared" si="41"/>
        <v>6.8600000000000008E-2</v>
      </c>
      <c r="R45" s="1577"/>
      <c r="S45" s="1575"/>
      <c r="T45" s="1576"/>
      <c r="U45" s="1576"/>
      <c r="V45" s="1576"/>
    </row>
    <row r="46" spans="1:26" s="1620" customFormat="1" ht="13.5" thickBot="1">
      <c r="A46" s="1563" t="s">
        <v>1074</v>
      </c>
      <c r="B46" s="1617">
        <f t="shared" si="57"/>
        <v>196.62341248059772</v>
      </c>
      <c r="C46" s="1617">
        <f t="shared" si="57"/>
        <v>170.99125648199012</v>
      </c>
      <c r="D46" s="1617">
        <f t="shared" si="39"/>
        <v>170.99125648199012</v>
      </c>
      <c r="E46" s="1617">
        <f t="shared" si="58"/>
        <v>266.07857570490052</v>
      </c>
      <c r="F46" s="1617">
        <f t="shared" si="58"/>
        <v>154.53499328828505</v>
      </c>
      <c r="G46" s="3102">
        <v>2008</v>
      </c>
      <c r="H46" s="1618">
        <v>1</v>
      </c>
      <c r="I46" s="1618">
        <v>4.1399999999999997</v>
      </c>
      <c r="J46" s="1618">
        <v>3.45</v>
      </c>
      <c r="K46" s="1618">
        <v>4.95</v>
      </c>
      <c r="L46" s="1619">
        <v>4.82</v>
      </c>
      <c r="N46" s="1621">
        <f t="shared" si="41"/>
        <v>4.1399999999999999E-2</v>
      </c>
      <c r="O46" s="1622">
        <f t="shared" si="41"/>
        <v>3.4500000000000003E-2</v>
      </c>
      <c r="P46" s="1622">
        <f t="shared" si="41"/>
        <v>4.9500000000000002E-2</v>
      </c>
      <c r="Q46" s="1622">
        <f t="shared" si="41"/>
        <v>4.82E-2</v>
      </c>
      <c r="R46" s="1623"/>
      <c r="S46" s="1621">
        <f>B46/B47-1</f>
        <v>4.5869215322328349E-2</v>
      </c>
      <c r="T46" s="1622">
        <f>C46/C47-1</f>
        <v>3.6310645345394743E-2</v>
      </c>
      <c r="U46" s="1622">
        <f>E46/E47-1</f>
        <v>4.7553447657088688E-2</v>
      </c>
      <c r="V46" s="1622">
        <f>F46/F47-1</f>
        <v>4.4155360055980086E-2</v>
      </c>
      <c r="X46" s="1624"/>
      <c r="Y46" s="1624"/>
      <c r="Z46" s="1624"/>
    </row>
    <row r="47" spans="1:26" ht="13.5" thickBot="1">
      <c r="A47" s="1563" t="s">
        <v>1075</v>
      </c>
      <c r="B47" s="1572">
        <v>188</v>
      </c>
      <c r="C47" s="1572">
        <v>165</v>
      </c>
      <c r="D47" s="1572">
        <f t="shared" si="39"/>
        <v>165</v>
      </c>
      <c r="E47" s="1572">
        <v>254</v>
      </c>
      <c r="F47" s="1573">
        <v>148</v>
      </c>
      <c r="G47" s="3100">
        <v>2007</v>
      </c>
      <c r="H47" s="1625">
        <v>4</v>
      </c>
      <c r="I47" s="1625">
        <v>5.51</v>
      </c>
      <c r="J47" s="1625">
        <v>4.8899999999999997</v>
      </c>
      <c r="K47" s="1625">
        <v>6.43</v>
      </c>
      <c r="L47" s="1626">
        <v>5.36</v>
      </c>
      <c r="N47" s="1627">
        <f t="shared" ref="N47:O50" si="59">B47/B48-1</f>
        <v>4.1339718365245526E-2</v>
      </c>
      <c r="O47" s="1628">
        <f t="shared" si="59"/>
        <v>4.0324492593776018E-2</v>
      </c>
      <c r="P47" s="1628">
        <f t="shared" ref="P47:Q50" si="60">E47/E48-1</f>
        <v>6.1625555347990968E-2</v>
      </c>
      <c r="Q47" s="1628">
        <f t="shared" si="60"/>
        <v>4.6757569250590603E-2</v>
      </c>
      <c r="R47" s="1577"/>
      <c r="S47" s="1578"/>
      <c r="T47" s="1579"/>
      <c r="U47" s="1579"/>
      <c r="V47" s="1579"/>
      <c r="X47" s="1579"/>
      <c r="Y47" s="1579"/>
      <c r="Z47" s="1579"/>
    </row>
    <row r="48" spans="1:26">
      <c r="A48" s="1563" t="s">
        <v>1076</v>
      </c>
      <c r="B48" s="1580">
        <f t="shared" ref="B48:C50" si="61">B49+(B$47-B$51)*I48/SUM(I$47:I$50)</f>
        <v>180.5366651097618</v>
      </c>
      <c r="C48" s="1580">
        <f t="shared" si="61"/>
        <v>158.60435967302453</v>
      </c>
      <c r="D48" s="1580">
        <f t="shared" si="39"/>
        <v>158.60435967302453</v>
      </c>
      <c r="E48" s="1580">
        <f t="shared" ref="E48:F50" si="62">E49+(E$47-E$51)*K48/SUM(K$47:K$50)</f>
        <v>239.25573260785075</v>
      </c>
      <c r="F48" s="1580">
        <f t="shared" si="62"/>
        <v>141.38899430740037</v>
      </c>
      <c r="G48" s="3101">
        <v>2007</v>
      </c>
      <c r="H48" s="1590">
        <v>3</v>
      </c>
      <c r="I48" s="1590">
        <v>8.65</v>
      </c>
      <c r="J48" s="1590">
        <v>8.06</v>
      </c>
      <c r="K48" s="1590">
        <v>9.94</v>
      </c>
      <c r="L48" s="1591">
        <v>5.8</v>
      </c>
      <c r="N48" s="1627">
        <f t="shared" si="59"/>
        <v>6.940217571740015E-2</v>
      </c>
      <c r="O48" s="1628">
        <f t="shared" si="59"/>
        <v>7.1197482471153428E-2</v>
      </c>
      <c r="P48" s="1628">
        <f t="shared" si="60"/>
        <v>0.10529679922579582</v>
      </c>
      <c r="Q48" s="1628">
        <f t="shared" si="60"/>
        <v>5.3292245059512133E-2</v>
      </c>
      <c r="R48" s="1577"/>
      <c r="S48" s="1575"/>
      <c r="T48" s="1576"/>
      <c r="U48" s="1576"/>
      <c r="V48" s="1576"/>
      <c r="X48" s="1629"/>
      <c r="Y48" s="1629"/>
      <c r="Z48" s="1629"/>
    </row>
    <row r="49" spans="1:26">
      <c r="A49" s="1563" t="s">
        <v>1077</v>
      </c>
      <c r="B49" s="1580">
        <f t="shared" si="61"/>
        <v>168.82017748715555</v>
      </c>
      <c r="C49" s="1580">
        <f t="shared" si="61"/>
        <v>148.06267029972753</v>
      </c>
      <c r="D49" s="1580">
        <f t="shared" si="39"/>
        <v>148.06267029972753</v>
      </c>
      <c r="E49" s="1580">
        <f t="shared" si="62"/>
        <v>216.46288379323747</v>
      </c>
      <c r="F49" s="1580">
        <f t="shared" si="62"/>
        <v>134.23529411764704</v>
      </c>
      <c r="G49" s="3101">
        <v>2007</v>
      </c>
      <c r="H49" s="1567">
        <v>2</v>
      </c>
      <c r="I49" s="1567">
        <v>3.67</v>
      </c>
      <c r="J49" s="1567">
        <v>2.3199999999999998</v>
      </c>
      <c r="K49" s="1567">
        <v>5.0199999999999996</v>
      </c>
      <c r="L49" s="1582">
        <v>6.71</v>
      </c>
      <c r="N49" s="1627">
        <f t="shared" si="59"/>
        <v>3.0339138143848032E-2</v>
      </c>
      <c r="O49" s="1628">
        <f t="shared" si="59"/>
        <v>2.0922341588790472E-2</v>
      </c>
      <c r="P49" s="1628">
        <f t="shared" si="60"/>
        <v>5.6164796592717003E-2</v>
      </c>
      <c r="Q49" s="1628">
        <f t="shared" si="60"/>
        <v>6.5704536723887319E-2</v>
      </c>
      <c r="R49" s="1577"/>
      <c r="S49" s="1575"/>
      <c r="T49" s="1576"/>
      <c r="U49" s="1576"/>
      <c r="V49" s="1576"/>
      <c r="X49" s="1629"/>
      <c r="Y49" s="1629"/>
      <c r="Z49" s="1629"/>
    </row>
    <row r="50" spans="1:26">
      <c r="A50" s="1563" t="s">
        <v>1078</v>
      </c>
      <c r="B50" s="1580">
        <f t="shared" si="61"/>
        <v>163.84913591779542</v>
      </c>
      <c r="C50" s="1580">
        <f t="shared" si="61"/>
        <v>145.0283378746594</v>
      </c>
      <c r="D50" s="1580">
        <f t="shared" si="39"/>
        <v>145.0283378746594</v>
      </c>
      <c r="E50" s="1580">
        <f t="shared" si="62"/>
        <v>204.95180722891567</v>
      </c>
      <c r="F50" s="1580">
        <f t="shared" si="62"/>
        <v>125.95920303605313</v>
      </c>
      <c r="G50" s="3102">
        <v>2007</v>
      </c>
      <c r="H50" s="1566">
        <v>1</v>
      </c>
      <c r="I50" s="1566">
        <v>3.58</v>
      </c>
      <c r="J50" s="1566">
        <v>3.08</v>
      </c>
      <c r="K50" s="1566">
        <v>4.34</v>
      </c>
      <c r="L50" s="1581">
        <v>3.21</v>
      </c>
      <c r="N50" s="1630">
        <f t="shared" si="59"/>
        <v>3.0497710174814063E-2</v>
      </c>
      <c r="O50" s="1631">
        <f t="shared" si="59"/>
        <v>2.8569772160704998E-2</v>
      </c>
      <c r="P50" s="1631">
        <f t="shared" si="60"/>
        <v>5.1034908866234296E-2</v>
      </c>
      <c r="Q50" s="1631">
        <f t="shared" si="60"/>
        <v>3.245248390207478E-2</v>
      </c>
      <c r="R50" s="1577"/>
      <c r="S50" s="1583">
        <f>B50/B51-1</f>
        <v>3.0497710174814063E-2</v>
      </c>
      <c r="T50" s="1584">
        <f>C50/C51-1</f>
        <v>2.8569772160704998E-2</v>
      </c>
      <c r="U50" s="1584">
        <f>E50/E51-1</f>
        <v>5.1034908866234296E-2</v>
      </c>
      <c r="V50" s="1584">
        <f>F50/F51-1</f>
        <v>3.245248390207478E-2</v>
      </c>
      <c r="X50" s="1629"/>
      <c r="Y50" s="1629"/>
      <c r="Z50" s="1629"/>
    </row>
    <row r="51" spans="1:26" ht="13.5" thickBot="1">
      <c r="A51" s="1563" t="s">
        <v>1079</v>
      </c>
      <c r="B51" s="1593">
        <v>159</v>
      </c>
      <c r="C51" s="1593">
        <v>141</v>
      </c>
      <c r="D51" s="1593">
        <f t="shared" si="39"/>
        <v>141</v>
      </c>
      <c r="E51" s="1593">
        <v>195</v>
      </c>
      <c r="F51" s="1594">
        <v>122</v>
      </c>
      <c r="G51" s="3100">
        <v>2006</v>
      </c>
      <c r="H51" s="1585">
        <v>4</v>
      </c>
      <c r="I51" s="1585">
        <v>3.79</v>
      </c>
      <c r="J51" s="1585">
        <v>2.21</v>
      </c>
      <c r="K51" s="1585">
        <v>5.65</v>
      </c>
      <c r="L51" s="1586">
        <v>5.41</v>
      </c>
      <c r="N51" s="1627">
        <f t="shared" ref="N51:O54" si="63">I51/SUM(I$51:I$54)*(B$51/B$55-1)</f>
        <v>7.245466462748526E-2</v>
      </c>
      <c r="O51" s="1628">
        <f t="shared" si="63"/>
        <v>2.3237230038062766E-2</v>
      </c>
      <c r="P51" s="1628">
        <f t="shared" ref="P51:Q54" si="64">K51/SUM(K$51:K$54)*(E$51/E$55-1)</f>
        <v>0.16146893866323722</v>
      </c>
      <c r="Q51" s="1628">
        <f t="shared" si="64"/>
        <v>5.0755230321793784E-2</v>
      </c>
      <c r="R51" s="1577"/>
      <c r="S51" s="1578"/>
      <c r="T51" s="1579"/>
      <c r="U51" s="1579"/>
      <c r="V51" s="1579"/>
      <c r="X51" s="1629"/>
      <c r="Y51" s="1629"/>
      <c r="Z51" s="1629"/>
    </row>
    <row r="52" spans="1:26">
      <c r="A52" s="1563" t="s">
        <v>1080</v>
      </c>
      <c r="B52" s="1580">
        <f t="shared" ref="B52:C54" si="65">B53+(B$51-B$55)*I52/SUM(I$51:I$54)</f>
        <v>149.00125628140702</v>
      </c>
      <c r="C52" s="1580">
        <f t="shared" si="65"/>
        <v>137.95592286501378</v>
      </c>
      <c r="D52" s="1580">
        <f t="shared" si="39"/>
        <v>137.95592286501378</v>
      </c>
      <c r="E52" s="1580">
        <f t="shared" ref="E52:F54" si="66">E53+(E$51-E$55)*K52/SUM(K$51:K$54)</f>
        <v>169.97231450719823</v>
      </c>
      <c r="F52" s="1580">
        <f t="shared" si="66"/>
        <v>116.21390374331551</v>
      </c>
      <c r="G52" s="3101">
        <v>2006</v>
      </c>
      <c r="H52" s="1590">
        <v>3</v>
      </c>
      <c r="I52" s="1590">
        <v>0.92</v>
      </c>
      <c r="J52" s="1590">
        <v>1.08</v>
      </c>
      <c r="K52" s="1590">
        <v>0.73</v>
      </c>
      <c r="L52" s="1591">
        <v>1.08</v>
      </c>
      <c r="N52" s="1627">
        <f t="shared" si="63"/>
        <v>1.7587939698492462E-2</v>
      </c>
      <c r="O52" s="1628">
        <f t="shared" si="63"/>
        <v>1.1355750425840628E-2</v>
      </c>
      <c r="P52" s="1628">
        <f t="shared" si="64"/>
        <v>2.0862358446754544E-2</v>
      </c>
      <c r="Q52" s="1628">
        <f t="shared" si="64"/>
        <v>1.0132282578103011E-2</v>
      </c>
      <c r="R52" s="1577"/>
      <c r="S52" s="1575"/>
      <c r="T52" s="1576"/>
      <c r="U52" s="1576"/>
      <c r="V52" s="1576"/>
      <c r="X52" s="1629"/>
      <c r="Y52" s="1629"/>
      <c r="Z52" s="1629"/>
    </row>
    <row r="53" spans="1:26">
      <c r="A53" s="1563" t="s">
        <v>1081</v>
      </c>
      <c r="B53" s="1580">
        <f t="shared" si="65"/>
        <v>146.57412060301507</v>
      </c>
      <c r="C53" s="1580">
        <f t="shared" si="65"/>
        <v>136.46831955922866</v>
      </c>
      <c r="D53" s="1580">
        <f t="shared" si="39"/>
        <v>136.46831955922866</v>
      </c>
      <c r="E53" s="1580">
        <f t="shared" si="66"/>
        <v>166.73864894795128</v>
      </c>
      <c r="F53" s="1580">
        <f t="shared" si="66"/>
        <v>115.05882352941177</v>
      </c>
      <c r="G53" s="3101">
        <v>2006</v>
      </c>
      <c r="H53" s="1567">
        <v>2</v>
      </c>
      <c r="I53" s="1567">
        <v>0.96</v>
      </c>
      <c r="J53" s="1567">
        <v>0.25</v>
      </c>
      <c r="K53" s="1567">
        <v>1.9</v>
      </c>
      <c r="L53" s="1582">
        <v>0.95</v>
      </c>
      <c r="N53" s="1627">
        <f t="shared" si="63"/>
        <v>1.8352632728861701E-2</v>
      </c>
      <c r="O53" s="1628">
        <f t="shared" si="63"/>
        <v>2.6286459319075526E-3</v>
      </c>
      <c r="P53" s="1628">
        <f t="shared" si="64"/>
        <v>5.4299289107991269E-2</v>
      </c>
      <c r="Q53" s="1628">
        <f t="shared" si="64"/>
        <v>8.9126559714794995E-3</v>
      </c>
      <c r="R53" s="1577"/>
      <c r="S53" s="1575"/>
      <c r="T53" s="1576"/>
      <c r="U53" s="1576"/>
      <c r="V53" s="1576"/>
      <c r="X53" s="1629"/>
      <c r="Y53" s="1629"/>
      <c r="Z53" s="1629"/>
    </row>
    <row r="54" spans="1:26">
      <c r="A54" s="1563" t="s">
        <v>1082</v>
      </c>
      <c r="B54" s="1580">
        <f t="shared" si="65"/>
        <v>144.04145728643215</v>
      </c>
      <c r="C54" s="1580">
        <f t="shared" si="65"/>
        <v>136.12396694214877</v>
      </c>
      <c r="D54" s="1580">
        <f t="shared" si="39"/>
        <v>136.12396694214877</v>
      </c>
      <c r="E54" s="1580">
        <f t="shared" si="66"/>
        <v>158.32225913621264</v>
      </c>
      <c r="F54" s="1580">
        <f t="shared" si="66"/>
        <v>114.04278074866311</v>
      </c>
      <c r="G54" s="3102">
        <v>2006</v>
      </c>
      <c r="H54" s="1566">
        <v>1</v>
      </c>
      <c r="I54" s="1566">
        <v>2.29</v>
      </c>
      <c r="J54" s="1566">
        <v>3.72</v>
      </c>
      <c r="K54" s="1566">
        <v>0.75</v>
      </c>
      <c r="L54" s="1581">
        <v>0.04</v>
      </c>
      <c r="N54" s="1630">
        <f t="shared" si="63"/>
        <v>4.3778675988638847E-2</v>
      </c>
      <c r="O54" s="1631">
        <f t="shared" si="63"/>
        <v>3.9114251466784385E-2</v>
      </c>
      <c r="P54" s="1631">
        <f t="shared" si="64"/>
        <v>2.1433929911049188E-2</v>
      </c>
      <c r="Q54" s="1631">
        <f t="shared" si="64"/>
        <v>3.7526972511492629E-4</v>
      </c>
      <c r="R54" s="1577"/>
      <c r="S54" s="1583">
        <f>B54/B55-1</f>
        <v>4.3778675988638716E-2</v>
      </c>
      <c r="T54" s="1584">
        <f>C54/C55-1</f>
        <v>3.91142514667846E-2</v>
      </c>
      <c r="U54" s="1584">
        <f>E54/E55-1</f>
        <v>2.143392991104931E-2</v>
      </c>
      <c r="V54" s="1584">
        <f>F54/F55-1</f>
        <v>3.7526972511492396E-4</v>
      </c>
      <c r="X54" s="1629"/>
      <c r="Y54" s="1629"/>
      <c r="Z54" s="1629"/>
    </row>
    <row r="55" spans="1:26" ht="13.5" thickBot="1">
      <c r="A55" s="1563" t="s">
        <v>1083</v>
      </c>
      <c r="B55" s="1593">
        <v>138</v>
      </c>
      <c r="C55" s="1593">
        <v>131</v>
      </c>
      <c r="D55" s="1593">
        <f t="shared" si="39"/>
        <v>131</v>
      </c>
      <c r="E55" s="1593">
        <v>155</v>
      </c>
      <c r="F55" s="1594">
        <v>114</v>
      </c>
      <c r="G55" s="3100">
        <v>2005</v>
      </c>
      <c r="H55" s="1585">
        <v>4</v>
      </c>
      <c r="I55" s="1585">
        <v>3.29</v>
      </c>
      <c r="J55" s="1585">
        <v>1.44</v>
      </c>
      <c r="K55" s="1585">
        <v>0.66</v>
      </c>
      <c r="L55" s="1586">
        <v>7.78</v>
      </c>
      <c r="N55" s="1627">
        <f t="shared" ref="N55:O58" si="67">I55/SUM(I$55:I$58)*(B$55/B$59-1)</f>
        <v>9.9404603216919935E-2</v>
      </c>
      <c r="O55" s="1628">
        <f t="shared" si="67"/>
        <v>4.7636550760861554E-2</v>
      </c>
      <c r="P55" s="1628">
        <f t="shared" ref="P55:Q58" si="68">K55/SUM(K$55:K$58)*(E$55/E$59-1)</f>
        <v>8.3756345177664976E-2</v>
      </c>
      <c r="Q55" s="1628">
        <f t="shared" si="68"/>
        <v>5.2148766661559584E-2</v>
      </c>
      <c r="R55" s="1577"/>
      <c r="S55" s="1578"/>
      <c r="T55" s="1579"/>
      <c r="U55" s="1579"/>
      <c r="V55" s="1579"/>
      <c r="X55" s="1629"/>
      <c r="Y55" s="1629"/>
      <c r="Z55" s="1629"/>
    </row>
    <row r="56" spans="1:26">
      <c r="A56" s="1563" t="s">
        <v>1084</v>
      </c>
      <c r="B56" s="1580">
        <f t="shared" ref="B56:C58" si="69">B57+(B$55-B$59)*I56/SUM(I$55:I$58)</f>
        <v>125.9720430107527</v>
      </c>
      <c r="C56" s="1580">
        <f t="shared" si="69"/>
        <v>125.1883408071749</v>
      </c>
      <c r="D56" s="1580">
        <f t="shared" si="39"/>
        <v>125.1883408071749</v>
      </c>
      <c r="E56" s="1580">
        <f t="shared" ref="E56:F58" si="70">E57+(E$55-E$59)*K56/SUM(K$55:K$58)</f>
        <v>144.61421319796952</v>
      </c>
      <c r="F56" s="1580">
        <f t="shared" si="70"/>
        <v>108.42008196721311</v>
      </c>
      <c r="G56" s="3101">
        <v>2005</v>
      </c>
      <c r="H56" s="1590">
        <v>3</v>
      </c>
      <c r="I56" s="1590">
        <v>0.46</v>
      </c>
      <c r="J56" s="1590">
        <v>0.32</v>
      </c>
      <c r="K56" s="1590">
        <v>0.42</v>
      </c>
      <c r="L56" s="1591">
        <v>0.64</v>
      </c>
      <c r="N56" s="1627">
        <f t="shared" si="67"/>
        <v>1.3898515951301874E-2</v>
      </c>
      <c r="O56" s="1628">
        <f t="shared" si="67"/>
        <v>1.0585900169080346E-2</v>
      </c>
      <c r="P56" s="1628">
        <f t="shared" si="68"/>
        <v>5.3299492385786795E-2</v>
      </c>
      <c r="Q56" s="1628">
        <f t="shared" si="68"/>
        <v>4.2898728359123568E-3</v>
      </c>
      <c r="R56" s="1577"/>
      <c r="S56" s="1575"/>
      <c r="T56" s="1576"/>
      <c r="U56" s="1576"/>
      <c r="V56" s="1576"/>
      <c r="X56" s="1629"/>
      <c r="Y56" s="1629"/>
      <c r="Z56" s="1629"/>
    </row>
    <row r="57" spans="1:26">
      <c r="A57" s="1563" t="s">
        <v>1085</v>
      </c>
      <c r="B57" s="1580">
        <f t="shared" si="69"/>
        <v>124.29032258064517</v>
      </c>
      <c r="C57" s="1580">
        <f t="shared" si="69"/>
        <v>123.8968609865471</v>
      </c>
      <c r="D57" s="1580">
        <f t="shared" si="39"/>
        <v>123.8968609865471</v>
      </c>
      <c r="E57" s="1580">
        <f t="shared" si="70"/>
        <v>138.00507614213197</v>
      </c>
      <c r="F57" s="1580">
        <f t="shared" si="70"/>
        <v>107.96106557377048</v>
      </c>
      <c r="G57" s="3101">
        <v>2005</v>
      </c>
      <c r="H57" s="1567">
        <v>2</v>
      </c>
      <c r="I57" s="1567">
        <v>0.47</v>
      </c>
      <c r="J57" s="1567">
        <v>0.1</v>
      </c>
      <c r="K57" s="1567">
        <v>0.52</v>
      </c>
      <c r="L57" s="1582">
        <v>0.79</v>
      </c>
      <c r="N57" s="1627">
        <f t="shared" si="67"/>
        <v>1.420065760241713E-2</v>
      </c>
      <c r="O57" s="1628">
        <f t="shared" si="67"/>
        <v>3.3080938028376083E-3</v>
      </c>
      <c r="P57" s="1628">
        <f t="shared" si="68"/>
        <v>6.598984771573603E-2</v>
      </c>
      <c r="Q57" s="1628">
        <f t="shared" si="68"/>
        <v>5.2953117818293153E-3</v>
      </c>
      <c r="R57" s="1577"/>
      <c r="S57" s="1575"/>
      <c r="T57" s="1576"/>
      <c r="U57" s="1576"/>
      <c r="V57" s="1576"/>
      <c r="X57" s="1629"/>
      <c r="Y57" s="1629"/>
      <c r="Z57" s="1629"/>
    </row>
    <row r="58" spans="1:26">
      <c r="A58" s="1563" t="s">
        <v>1086</v>
      </c>
      <c r="B58" s="1580">
        <f t="shared" si="69"/>
        <v>122.57204301075269</v>
      </c>
      <c r="C58" s="1580">
        <f t="shared" si="69"/>
        <v>123.4932735426009</v>
      </c>
      <c r="D58" s="1580">
        <f t="shared" si="39"/>
        <v>123.4932735426009</v>
      </c>
      <c r="E58" s="1580">
        <f t="shared" si="70"/>
        <v>129.82233502538071</v>
      </c>
      <c r="F58" s="1580">
        <f t="shared" si="70"/>
        <v>107.39446721311475</v>
      </c>
      <c r="G58" s="3102">
        <v>2005</v>
      </c>
      <c r="H58" s="1566">
        <v>1</v>
      </c>
      <c r="I58" s="1566">
        <v>0.43</v>
      </c>
      <c r="J58" s="1566">
        <v>0.37</v>
      </c>
      <c r="K58" s="1566">
        <v>0.37</v>
      </c>
      <c r="L58" s="1581">
        <v>0.55000000000000004</v>
      </c>
      <c r="N58" s="1630">
        <f t="shared" si="67"/>
        <v>1.2992090997956099E-2</v>
      </c>
      <c r="O58" s="1631">
        <f t="shared" si="67"/>
        <v>1.2239947070499151E-2</v>
      </c>
      <c r="P58" s="1631">
        <f t="shared" si="68"/>
        <v>4.6954314720812178E-2</v>
      </c>
      <c r="Q58" s="1631">
        <f t="shared" si="68"/>
        <v>3.6866094683621815E-3</v>
      </c>
      <c r="R58" s="1577"/>
      <c r="S58" s="1583">
        <f>B58/B59-1</f>
        <v>1.2992090997956174E-2</v>
      </c>
      <c r="T58" s="1584">
        <f>C58/C59-1</f>
        <v>1.2239947070499246E-2</v>
      </c>
      <c r="U58" s="1584">
        <f>E58/E59-1</f>
        <v>4.695431472081224E-2</v>
      </c>
      <c r="V58" s="1584">
        <f>F58/F59-1</f>
        <v>3.6866094683620787E-3</v>
      </c>
      <c r="X58" s="1629"/>
      <c r="Y58" s="1629"/>
      <c r="Z58" s="1629"/>
    </row>
    <row r="59" spans="1:26" ht="13.5" thickBot="1">
      <c r="A59" s="1563" t="s">
        <v>1087</v>
      </c>
      <c r="B59" s="1614">
        <v>121</v>
      </c>
      <c r="C59" s="1614">
        <v>122</v>
      </c>
      <c r="D59" s="1614">
        <f t="shared" si="39"/>
        <v>122</v>
      </c>
      <c r="E59" s="1614">
        <v>124</v>
      </c>
      <c r="F59" s="1615">
        <v>107</v>
      </c>
      <c r="G59" s="3100">
        <v>2004</v>
      </c>
      <c r="H59" s="1585">
        <v>4</v>
      </c>
      <c r="I59" s="1585">
        <v>0.33</v>
      </c>
      <c r="J59" s="1585">
        <v>0.5</v>
      </c>
      <c r="K59" s="1585">
        <v>0.5</v>
      </c>
      <c r="L59" s="1586">
        <v>0</v>
      </c>
      <c r="N59" s="1627">
        <f t="shared" ref="N59:O62" si="71">I59/SUM(I$59:I$62)*(B$59/B$63-1)</f>
        <v>1.3391770148526898E-2</v>
      </c>
      <c r="O59" s="1628">
        <f t="shared" si="71"/>
        <v>1.063264221158958E-2</v>
      </c>
      <c r="P59" s="1628">
        <f t="shared" ref="P59:Q62" si="72">K59/SUM(K$59:K$62)*(E$59/E$63-1)</f>
        <v>2.2244466688911134E-2</v>
      </c>
      <c r="Q59" s="1628">
        <f t="shared" si="72"/>
        <v>0</v>
      </c>
      <c r="R59" s="1577"/>
      <c r="S59" s="1578"/>
      <c r="T59" s="1579"/>
      <c r="U59" s="1579"/>
      <c r="V59" s="1579"/>
      <c r="X59" s="1629"/>
      <c r="Y59" s="1629"/>
      <c r="Z59" s="1629"/>
    </row>
    <row r="60" spans="1:26">
      <c r="A60" s="1563" t="s">
        <v>1088</v>
      </c>
      <c r="B60" s="1580">
        <f t="shared" ref="B60:C62" si="73">B61+(B$59-B$63)*I60/SUM(I$59:I$62)</f>
        <v>119.51351351351352</v>
      </c>
      <c r="C60" s="1580">
        <f t="shared" si="73"/>
        <v>120.7878787878788</v>
      </c>
      <c r="D60" s="1580">
        <f t="shared" si="39"/>
        <v>120.7878787878788</v>
      </c>
      <c r="E60" s="1580">
        <f t="shared" ref="E60:F62" si="74">E61+(E$59-E$63)*K60/SUM(K$59:K$62)</f>
        <v>121.5975975975976</v>
      </c>
      <c r="F60" s="1580">
        <f t="shared" si="74"/>
        <v>107</v>
      </c>
      <c r="G60" s="3101">
        <v>2004</v>
      </c>
      <c r="H60" s="1590">
        <v>3</v>
      </c>
      <c r="I60" s="1590">
        <v>0.56000000000000005</v>
      </c>
      <c r="J60" s="1590">
        <v>0.8</v>
      </c>
      <c r="K60" s="1590">
        <v>0.83</v>
      </c>
      <c r="L60" s="1591">
        <v>0.06</v>
      </c>
      <c r="N60" s="1627">
        <f t="shared" si="71"/>
        <v>2.2725428130833527E-2</v>
      </c>
      <c r="O60" s="1628">
        <f t="shared" si="71"/>
        <v>1.7012227538543329E-2</v>
      </c>
      <c r="P60" s="1628">
        <f t="shared" si="72"/>
        <v>3.6925814703592477E-2</v>
      </c>
      <c r="Q60" s="1628">
        <f t="shared" si="72"/>
        <v>2.8846153846153744E-2</v>
      </c>
      <c r="R60" s="1577"/>
      <c r="S60" s="1575"/>
      <c r="T60" s="1576"/>
      <c r="U60" s="1576"/>
      <c r="V60" s="1576"/>
      <c r="X60" s="1629"/>
      <c r="Y60" s="1629"/>
      <c r="Z60" s="1629"/>
    </row>
    <row r="61" spans="1:26">
      <c r="A61" s="1563" t="s">
        <v>1089</v>
      </c>
      <c r="B61" s="1580">
        <f t="shared" si="73"/>
        <v>116.99099099099099</v>
      </c>
      <c r="C61" s="1580">
        <f t="shared" si="73"/>
        <v>118.84848484848486</v>
      </c>
      <c r="D61" s="1580">
        <f t="shared" si="39"/>
        <v>118.84848484848486</v>
      </c>
      <c r="E61" s="1580">
        <f t="shared" si="74"/>
        <v>117.60960960960961</v>
      </c>
      <c r="F61" s="1580">
        <f t="shared" si="74"/>
        <v>104</v>
      </c>
      <c r="G61" s="3101">
        <v>2004</v>
      </c>
      <c r="H61" s="1567">
        <v>2</v>
      </c>
      <c r="I61" s="1567">
        <v>1</v>
      </c>
      <c r="J61" s="1567">
        <v>1.5</v>
      </c>
      <c r="K61" s="1567">
        <v>1.5</v>
      </c>
      <c r="L61" s="1582">
        <v>0</v>
      </c>
      <c r="N61" s="1627">
        <f t="shared" si="71"/>
        <v>4.0581121662202721E-2</v>
      </c>
      <c r="O61" s="1628">
        <f t="shared" si="71"/>
        <v>3.1897926634768738E-2</v>
      </c>
      <c r="P61" s="1628">
        <f t="shared" si="72"/>
        <v>6.6733400066733395E-2</v>
      </c>
      <c r="Q61" s="1628">
        <f t="shared" si="72"/>
        <v>0</v>
      </c>
      <c r="R61" s="1577"/>
      <c r="S61" s="1575"/>
      <c r="T61" s="1576"/>
      <c r="U61" s="1576"/>
      <c r="V61" s="1576"/>
      <c r="X61" s="1629"/>
      <c r="Y61" s="1629"/>
      <c r="Z61" s="1629"/>
    </row>
    <row r="62" spans="1:26" s="1620" customFormat="1" ht="13.5" thickBot="1">
      <c r="A62" s="1563" t="s">
        <v>1090</v>
      </c>
      <c r="B62" s="1617">
        <f t="shared" si="73"/>
        <v>112.48648648648648</v>
      </c>
      <c r="C62" s="1617">
        <f t="shared" si="73"/>
        <v>115.21212121212122</v>
      </c>
      <c r="D62" s="1617">
        <f t="shared" si="39"/>
        <v>115.21212121212122</v>
      </c>
      <c r="E62" s="1617">
        <f t="shared" si="74"/>
        <v>110.4024024024024</v>
      </c>
      <c r="F62" s="1617">
        <f t="shared" si="74"/>
        <v>104</v>
      </c>
      <c r="G62" s="3102">
        <v>2004</v>
      </c>
      <c r="H62" s="1618">
        <v>1</v>
      </c>
      <c r="I62" s="1618">
        <v>0.33</v>
      </c>
      <c r="J62" s="1618">
        <v>0.5</v>
      </c>
      <c r="K62" s="1618">
        <v>0.5</v>
      </c>
      <c r="L62" s="1619">
        <v>0</v>
      </c>
      <c r="N62" s="1632">
        <f t="shared" si="71"/>
        <v>1.3391770148526898E-2</v>
      </c>
      <c r="O62" s="1633">
        <f t="shared" si="71"/>
        <v>1.063264221158958E-2</v>
      </c>
      <c r="P62" s="1633">
        <f t="shared" si="72"/>
        <v>2.2244466688911134E-2</v>
      </c>
      <c r="Q62" s="1633">
        <f t="shared" si="72"/>
        <v>0</v>
      </c>
      <c r="R62" s="1623"/>
      <c r="S62" s="1621">
        <f>B62/B63-1</f>
        <v>1.3391770148526883E-2</v>
      </c>
      <c r="T62" s="1622">
        <f>C62/C63-1</f>
        <v>1.063264221158966E-2</v>
      </c>
      <c r="U62" s="1622">
        <f>E62/E63-1</f>
        <v>2.2244466688911224E-2</v>
      </c>
      <c r="V62" s="1622">
        <f>F62/F63-1</f>
        <v>0</v>
      </c>
      <c r="X62" s="1634"/>
      <c r="Y62" s="1634"/>
      <c r="Z62" s="1634"/>
    </row>
    <row r="63" spans="1:26" ht="13.5" thickBot="1">
      <c r="A63" s="1563" t="s">
        <v>1091</v>
      </c>
      <c r="B63" s="1635">
        <v>111</v>
      </c>
      <c r="C63" s="1635">
        <v>114</v>
      </c>
      <c r="D63" s="1635">
        <f t="shared" si="39"/>
        <v>114</v>
      </c>
      <c r="E63" s="1635">
        <v>108</v>
      </c>
      <c r="F63" s="1636">
        <v>104</v>
      </c>
      <c r="G63" s="3100">
        <v>2003</v>
      </c>
      <c r="H63" s="1625">
        <v>4</v>
      </c>
      <c r="I63" s="1637"/>
      <c r="J63" s="1637"/>
      <c r="K63" s="1637"/>
      <c r="L63" s="1637"/>
      <c r="N63" s="1638"/>
      <c r="O63" s="1637"/>
      <c r="P63" s="1637"/>
      <c r="Q63" s="1637"/>
      <c r="S63" s="1638"/>
      <c r="T63" s="1637"/>
      <c r="U63" s="1637"/>
      <c r="V63" s="1637"/>
      <c r="X63" s="1629"/>
      <c r="Y63" s="1629"/>
      <c r="Z63" s="1629"/>
    </row>
    <row r="64" spans="1:26">
      <c r="A64" s="1563" t="s">
        <v>1092</v>
      </c>
      <c r="B64" s="1639">
        <f t="shared" ref="B64:C66" si="75">B65+(B$63-B$67)/4</f>
        <v>109.75</v>
      </c>
      <c r="C64" s="1639">
        <f t="shared" si="75"/>
        <v>112.25</v>
      </c>
      <c r="D64" s="1639">
        <f t="shared" si="39"/>
        <v>112.25</v>
      </c>
      <c r="E64" s="1639">
        <f t="shared" ref="E64:F66" si="76">E65+(E$63-E$67)/4</f>
        <v>107.25</v>
      </c>
      <c r="F64" s="1639">
        <f t="shared" si="76"/>
        <v>103.5</v>
      </c>
      <c r="G64" s="3101">
        <v>2003</v>
      </c>
      <c r="H64" s="1590">
        <v>3</v>
      </c>
      <c r="I64" s="1637"/>
      <c r="J64" s="1637"/>
      <c r="K64" s="1637"/>
      <c r="L64" s="1637"/>
      <c r="X64" s="1629"/>
      <c r="Y64" s="1629"/>
      <c r="Z64" s="1629"/>
    </row>
    <row r="65" spans="1:26">
      <c r="A65" s="1563" t="s">
        <v>1093</v>
      </c>
      <c r="B65" s="1639">
        <f t="shared" si="75"/>
        <v>108.5</v>
      </c>
      <c r="C65" s="1639">
        <f t="shared" si="75"/>
        <v>110.5</v>
      </c>
      <c r="D65" s="1639">
        <f t="shared" si="39"/>
        <v>110.5</v>
      </c>
      <c r="E65" s="1639">
        <f t="shared" si="76"/>
        <v>106.5</v>
      </c>
      <c r="F65" s="1639">
        <f t="shared" si="76"/>
        <v>103</v>
      </c>
      <c r="G65" s="3101">
        <v>2003</v>
      </c>
      <c r="H65" s="1567">
        <v>2</v>
      </c>
      <c r="I65" s="1637"/>
      <c r="J65" s="1637"/>
      <c r="K65" s="1637"/>
      <c r="L65" s="1637"/>
      <c r="X65" s="1629"/>
      <c r="Y65" s="1629"/>
      <c r="Z65" s="1629"/>
    </row>
    <row r="66" spans="1:26" ht="13.5" thickBot="1">
      <c r="A66" s="1563" t="s">
        <v>1094</v>
      </c>
      <c r="B66" s="1639">
        <f t="shared" si="75"/>
        <v>107.25</v>
      </c>
      <c r="C66" s="1639">
        <f t="shared" si="75"/>
        <v>108.75</v>
      </c>
      <c r="D66" s="1639">
        <f t="shared" si="39"/>
        <v>108.75</v>
      </c>
      <c r="E66" s="1639">
        <f t="shared" si="76"/>
        <v>105.75</v>
      </c>
      <c r="F66" s="1639">
        <f t="shared" si="76"/>
        <v>102.5</v>
      </c>
      <c r="G66" s="3102">
        <v>2003</v>
      </c>
      <c r="H66" s="1640">
        <v>1</v>
      </c>
      <c r="I66" s="1637"/>
      <c r="J66" s="1637"/>
      <c r="K66" s="1637"/>
      <c r="L66" s="1637"/>
      <c r="S66" s="1575"/>
      <c r="T66" s="1576"/>
      <c r="U66" s="1576"/>
      <c r="X66" s="1629"/>
      <c r="Y66" s="1629"/>
      <c r="Z66" s="1629"/>
    </row>
    <row r="67" spans="1:26" ht="13.5" thickBot="1">
      <c r="A67" s="1563" t="s">
        <v>1095</v>
      </c>
      <c r="B67" s="1641">
        <v>106</v>
      </c>
      <c r="C67" s="1641">
        <v>107</v>
      </c>
      <c r="D67" s="1641">
        <f t="shared" si="39"/>
        <v>107</v>
      </c>
      <c r="E67" s="1641">
        <v>105</v>
      </c>
      <c r="F67" s="1642">
        <v>102</v>
      </c>
      <c r="G67" s="3100">
        <v>2002</v>
      </c>
      <c r="H67" s="1585">
        <v>4</v>
      </c>
      <c r="I67" s="1637"/>
      <c r="J67" s="1637"/>
      <c r="K67" s="1637"/>
      <c r="L67" s="1637"/>
      <c r="N67" s="1638"/>
      <c r="O67" s="1637"/>
      <c r="P67" s="1637"/>
      <c r="Q67" s="1637"/>
      <c r="S67" s="1638"/>
      <c r="T67" s="1637"/>
      <c r="U67" s="1637"/>
      <c r="V67" s="1637"/>
      <c r="X67" s="1629"/>
      <c r="Y67" s="1629"/>
      <c r="Z67" s="1629"/>
    </row>
    <row r="68" spans="1:26">
      <c r="A68" s="1563" t="s">
        <v>1096</v>
      </c>
      <c r="B68" s="1639">
        <f t="shared" ref="B68:C70" si="77">B69+(B$67-B$71)/4</f>
        <v>105</v>
      </c>
      <c r="C68" s="1639">
        <f t="shared" si="77"/>
        <v>106</v>
      </c>
      <c r="D68" s="1639">
        <f t="shared" si="39"/>
        <v>106</v>
      </c>
      <c r="E68" s="1639">
        <f t="shared" ref="E68:F70" si="78">E69+(E$67-E$71)/4</f>
        <v>104.5</v>
      </c>
      <c r="F68" s="1639">
        <f t="shared" si="78"/>
        <v>101.5</v>
      </c>
      <c r="G68" s="3101">
        <v>2002</v>
      </c>
      <c r="H68" s="1590">
        <v>3</v>
      </c>
      <c r="I68" s="1637"/>
      <c r="J68" s="1637"/>
      <c r="K68" s="1637"/>
      <c r="L68" s="1637"/>
      <c r="X68" s="1629"/>
      <c r="Y68" s="1629"/>
      <c r="Z68" s="1629"/>
    </row>
    <row r="69" spans="1:26">
      <c r="A69" s="1563" t="s">
        <v>1097</v>
      </c>
      <c r="B69" s="1639">
        <f t="shared" si="77"/>
        <v>104</v>
      </c>
      <c r="C69" s="1639">
        <f t="shared" si="77"/>
        <v>105</v>
      </c>
      <c r="D69" s="1639">
        <f t="shared" si="39"/>
        <v>105</v>
      </c>
      <c r="E69" s="1639">
        <f t="shared" si="78"/>
        <v>104</v>
      </c>
      <c r="F69" s="1639">
        <f t="shared" si="78"/>
        <v>101</v>
      </c>
      <c r="G69" s="3101">
        <v>2002</v>
      </c>
      <c r="H69" s="1567">
        <v>2</v>
      </c>
      <c r="I69" s="1637"/>
      <c r="J69" s="1637"/>
      <c r="K69" s="1637"/>
      <c r="L69" s="1637"/>
      <c r="X69" s="1629"/>
      <c r="Y69" s="1629"/>
      <c r="Z69" s="1629"/>
    </row>
    <row r="70" spans="1:26" s="1601" customFormat="1" ht="13.5" thickBot="1">
      <c r="A70" s="1597" t="s">
        <v>1098</v>
      </c>
      <c r="B70" s="1643">
        <f t="shared" si="77"/>
        <v>103</v>
      </c>
      <c r="C70" s="1643">
        <f t="shared" si="77"/>
        <v>104</v>
      </c>
      <c r="D70" s="1643">
        <f t="shared" si="39"/>
        <v>104</v>
      </c>
      <c r="E70" s="1643">
        <f t="shared" si="78"/>
        <v>103.5</v>
      </c>
      <c r="F70" s="1643">
        <f t="shared" si="78"/>
        <v>100.5</v>
      </c>
      <c r="G70" s="3102">
        <v>2002</v>
      </c>
      <c r="H70" s="1644">
        <v>1</v>
      </c>
      <c r="I70" s="1645"/>
      <c r="J70" s="1645"/>
      <c r="K70" s="1645"/>
      <c r="L70" s="1645"/>
      <c r="N70" s="1646"/>
      <c r="S70" s="1646"/>
      <c r="X70" s="1647"/>
      <c r="Y70" s="1647"/>
      <c r="Z70" s="1647"/>
    </row>
    <row r="71" spans="1:26" ht="13.5" thickBot="1">
      <c r="B71" s="1648">
        <v>102</v>
      </c>
      <c r="C71" s="1649">
        <v>103</v>
      </c>
      <c r="D71" s="1649">
        <f t="shared" si="39"/>
        <v>103</v>
      </c>
      <c r="E71" s="1649">
        <v>103</v>
      </c>
      <c r="F71" s="1650">
        <v>100</v>
      </c>
      <c r="I71" s="1637"/>
      <c r="J71" s="1637"/>
      <c r="K71" s="1637"/>
      <c r="L71" s="1637"/>
      <c r="N71" s="1638"/>
      <c r="O71" s="1637"/>
      <c r="P71" s="1637"/>
      <c r="Q71" s="1637"/>
      <c r="S71" s="1638"/>
      <c r="T71" s="1637"/>
      <c r="U71" s="1637"/>
      <c r="V71" s="1637"/>
      <c r="X71" s="1579"/>
      <c r="Y71" s="1579"/>
      <c r="Z71" s="1579"/>
    </row>
    <row r="73" spans="1:26" s="1652" customFormat="1">
      <c r="A73" s="1651" t="s">
        <v>1099</v>
      </c>
      <c r="G73" s="1653"/>
      <c r="N73" s="1653"/>
      <c r="S73" s="1653"/>
    </row>
    <row r="74" spans="1:26" s="1652" customFormat="1">
      <c r="A74" s="1652" t="s">
        <v>1100</v>
      </c>
      <c r="G74" s="1653"/>
      <c r="N74" s="1653"/>
      <c r="S74" s="1653"/>
    </row>
    <row r="75" spans="1:26" s="1652" customFormat="1">
      <c r="A75" s="1652" t="s">
        <v>1101</v>
      </c>
      <c r="G75" s="1653"/>
      <c r="I75" s="1654"/>
      <c r="J75" s="1654"/>
      <c r="K75" s="1654"/>
      <c r="L75" s="1654"/>
      <c r="N75" s="1655"/>
      <c r="O75" s="1654"/>
      <c r="P75" s="1654"/>
      <c r="Q75" s="1654"/>
      <c r="S75" s="1655"/>
      <c r="T75" s="1654"/>
      <c r="U75" s="1654"/>
      <c r="V75" s="1654"/>
    </row>
    <row r="76" spans="1:26" s="1652" customFormat="1">
      <c r="A76" s="1652" t="s">
        <v>1102</v>
      </c>
      <c r="G76" s="1653"/>
      <c r="N76" s="1653"/>
      <c r="S76" s="1653"/>
    </row>
    <row r="83" spans="7:22" ht="13.5" thickBot="1"/>
    <row r="84" spans="7:22">
      <c r="G84" s="1574"/>
      <c r="S84" s="1656" t="s">
        <v>1103</v>
      </c>
      <c r="T84" s="1657" t="s">
        <v>1104</v>
      </c>
      <c r="U84" s="1657" t="s">
        <v>1105</v>
      </c>
      <c r="V84" s="1657" t="s">
        <v>1106</v>
      </c>
    </row>
    <row r="85" spans="7:22">
      <c r="G85" s="1574"/>
      <c r="N85" s="1578"/>
      <c r="O85" s="1579"/>
      <c r="P85" s="1579"/>
      <c r="Q85" s="1579"/>
      <c r="S85" s="1658">
        <v>2006</v>
      </c>
      <c r="T85" s="1659">
        <v>15.1</v>
      </c>
      <c r="U85" s="1659">
        <v>7.43</v>
      </c>
      <c r="V85" s="1659">
        <v>26.26</v>
      </c>
    </row>
    <row r="86" spans="7:22">
      <c r="G86" s="1574"/>
      <c r="N86" s="1578"/>
      <c r="O86" s="1579"/>
      <c r="P86" s="1579"/>
      <c r="Q86" s="1579"/>
      <c r="S86" s="1660">
        <v>2005</v>
      </c>
      <c r="T86" s="1661">
        <v>13.9</v>
      </c>
      <c r="U86" s="1661">
        <v>7.49</v>
      </c>
      <c r="V86" s="1661">
        <v>24.92</v>
      </c>
    </row>
    <row r="87" spans="7:22">
      <c r="G87" s="1574"/>
      <c r="N87" s="1578"/>
      <c r="O87" s="1579"/>
      <c r="P87" s="1579"/>
      <c r="Q87" s="1579"/>
      <c r="S87" s="1658">
        <v>2004</v>
      </c>
      <c r="T87" s="1659">
        <v>9.48</v>
      </c>
      <c r="U87" s="1659">
        <v>7.2</v>
      </c>
      <c r="V87" s="1659">
        <v>14.68</v>
      </c>
    </row>
    <row r="88" spans="7:22">
      <c r="G88" s="1574"/>
      <c r="N88" s="1578"/>
      <c r="O88" s="1579"/>
      <c r="P88" s="1579"/>
      <c r="Q88" s="1579"/>
      <c r="S88" s="1660">
        <v>2003</v>
      </c>
      <c r="T88" s="1661">
        <v>4.5</v>
      </c>
      <c r="U88" s="1661">
        <v>6.12</v>
      </c>
      <c r="V88" s="1661">
        <v>2.34</v>
      </c>
    </row>
    <row r="89" spans="7:22" ht="13.5" thickBot="1">
      <c r="G89" s="1574"/>
      <c r="N89" s="1578"/>
      <c r="O89" s="1579"/>
      <c r="P89" s="1579"/>
      <c r="Q89" s="1579"/>
      <c r="S89" s="1662">
        <v>2002</v>
      </c>
      <c r="T89" s="1663">
        <v>3.59</v>
      </c>
      <c r="U89" s="1663">
        <v>4.54</v>
      </c>
      <c r="V89" s="1663">
        <v>2.5499999999999998</v>
      </c>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43242</v>
      </c>
      <c r="D1" s="1802" t="s">
        <v>1186</v>
      </c>
      <c r="E1" s="1808">
        <f>'数据-取费表'!B23</f>
        <v>1</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2018-06-28T07:23:35Z</dcterms:modified>
</cp:coreProperties>
</file>