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收益法案例" sheetId="71" r:id="rId40"/>
    <sheet name="典型户型修正" sheetId="31" r:id="rId41"/>
    <sheet name="存贷款利率" sheetId="65" state="hidden" r:id="rId42"/>
    <sheet name="土地清单" sheetId="69" r:id="rId43"/>
    <sheet name="Sheet1" sheetId="68" r:id="rId44"/>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9" hidden="1">土地案例!$L$1:$L$180</definedName>
    <definedName name="_xlnm._FilterDatabase" localSheetId="9" hidden="1">项目基本情况!$A$48:$N$48</definedName>
    <definedName name="_xlnm.Print_Area" localSheetId="43">Sheet1!$A$28:$Q$61</definedName>
    <definedName name="_xlnm.Print_Area" localSheetId="42">土地清单!$A$1:$Q$11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0" i="69" l="1"/>
  <c r="J11" i="69" l="1"/>
  <c r="B24" i="31" l="1"/>
  <c r="C40" i="39"/>
  <c r="M27" i="71"/>
  <c r="F159" i="70"/>
  <c r="F156" i="70"/>
  <c r="F155" i="70"/>
  <c r="F154" i="70"/>
  <c r="F153" i="70"/>
  <c r="F136" i="70"/>
  <c r="F135" i="70"/>
  <c r="F134" i="70"/>
  <c r="F133" i="70"/>
  <c r="F132" i="70"/>
  <c r="F131" i="70"/>
  <c r="F130" i="70"/>
  <c r="F129" i="70"/>
  <c r="F128" i="70"/>
  <c r="F127" i="70"/>
  <c r="F113" i="70"/>
  <c r="F106" i="70"/>
  <c r="F105" i="70"/>
  <c r="F104" i="70"/>
  <c r="F103" i="70"/>
  <c r="F101" i="70"/>
  <c r="F100" i="70"/>
  <c r="F98" i="70"/>
  <c r="F77" i="70"/>
  <c r="F76" i="70"/>
  <c r="F9" i="70"/>
  <c r="F8" i="70"/>
  <c r="F5" i="70"/>
  <c r="F4" i="70"/>
  <c r="F3" i="70"/>
  <c r="F2" i="70"/>
  <c r="R4" i="69"/>
  <c r="R2" i="69"/>
  <c r="R5" i="69"/>
  <c r="R6" i="69"/>
  <c r="R7" i="69"/>
  <c r="R8" i="69"/>
  <c r="R9" i="69"/>
  <c r="R10" i="69"/>
  <c r="R3" i="69"/>
  <c r="M4" i="69"/>
  <c r="M2" i="69"/>
  <c r="M5" i="69"/>
  <c r="M6" i="69"/>
  <c r="M7" i="69"/>
  <c r="M8" i="69"/>
  <c r="M9" i="69"/>
  <c r="M3" i="69"/>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B66" i="63" s="1"/>
  <c r="A10" i="55"/>
  <c r="A9" i="55"/>
  <c r="B60" i="63" s="1"/>
  <c r="A8" i="55"/>
  <c r="A6" i="54"/>
  <c r="A8" i="54"/>
  <c r="A7" i="54"/>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59" i="63"/>
  <c r="B10" i="63"/>
  <c r="B51" i="10"/>
  <c r="B17" i="63"/>
  <c r="A15" i="51"/>
  <c r="B12" i="63" s="1"/>
  <c r="A14" i="51"/>
  <c r="B11" i="63" s="1"/>
  <c r="A4" i="55"/>
  <c r="B57" i="63" s="1"/>
  <c r="B41" i="63"/>
  <c r="G5" i="54"/>
  <c r="B34" i="63"/>
  <c r="E5" i="54"/>
  <c r="B32" i="63" s="1"/>
  <c r="R2" i="54"/>
  <c r="B24" i="63" s="1"/>
  <c r="B49" i="50"/>
  <c r="B5" i="63" s="1"/>
  <c r="B40" i="50"/>
  <c r="B3" i="63" s="1"/>
  <c r="B67" i="63"/>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Q51"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Y24" i="59" s="1"/>
  <c r="N24" i="59"/>
  <c r="X24" i="59" s="1"/>
  <c r="Q23" i="59"/>
  <c r="AB23" i="59" s="1"/>
  <c r="F24" i="59"/>
  <c r="P23" i="59"/>
  <c r="AA23" i="59" s="1"/>
  <c r="O23" i="59"/>
  <c r="Y23" i="59" s="1"/>
  <c r="Z23" i="59" s="1"/>
  <c r="C24" i="59"/>
  <c r="N23" i="59"/>
  <c r="X23" i="59" s="1"/>
  <c r="B24" i="59"/>
  <c r="B25" i="59"/>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C20" i="59"/>
  <c r="N19" i="59"/>
  <c r="X19" i="59" s="1"/>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S54" i="59"/>
  <c r="Z24" i="59"/>
  <c r="AA25" i="59"/>
  <c r="F25" i="59"/>
  <c r="F26" i="59" s="1"/>
  <c r="V26" i="59" s="1"/>
  <c r="F33" i="59"/>
  <c r="F34" i="59" s="1"/>
  <c r="V34" i="59" s="1"/>
  <c r="F45" i="59"/>
  <c r="F46" i="59" s="1"/>
  <c r="V46" i="59" s="1"/>
  <c r="C17" i="59"/>
  <c r="D16" i="59"/>
  <c r="C25" i="59"/>
  <c r="D24" i="59"/>
  <c r="C29" i="59"/>
  <c r="D28" i="59"/>
  <c r="C41" i="59"/>
  <c r="D40" i="59"/>
  <c r="C49" i="59"/>
  <c r="D48" i="59"/>
  <c r="C21" i="59"/>
  <c r="D20" i="59"/>
  <c r="E52" i="59"/>
  <c r="N53" i="59"/>
  <c r="B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O16" i="4"/>
  <c r="M16" i="4"/>
  <c r="L16" i="4" s="1"/>
  <c r="K16" i="4"/>
  <c r="P51" i="59"/>
  <c r="P52" i="59"/>
  <c r="D73" i="59"/>
  <c r="C72" i="59"/>
  <c r="D72" i="59"/>
  <c r="C64" i="59"/>
  <c r="D64" i="59" s="1"/>
  <c r="D57" i="59"/>
  <c r="O53" i="59"/>
  <c r="D69" i="59"/>
  <c r="C60" i="59"/>
  <c r="D60" i="59" s="1"/>
  <c r="N51" i="59"/>
  <c r="N52" i="59"/>
  <c r="C22" i="59"/>
  <c r="T22" i="59" s="1"/>
  <c r="D21" i="59"/>
  <c r="C50" i="59"/>
  <c r="T50" i="59" s="1"/>
  <c r="D49" i="59"/>
  <c r="C42" i="59"/>
  <c r="T42" i="59" s="1"/>
  <c r="D41" i="59"/>
  <c r="C30" i="59"/>
  <c r="T30" i="59" s="1"/>
  <c r="D29" i="59"/>
  <c r="C26" i="59"/>
  <c r="T26" i="59" s="1"/>
  <c r="D25" i="59"/>
  <c r="C18" i="59"/>
  <c r="T18" i="59" s="1"/>
  <c r="D17" i="59"/>
  <c r="N16" i="4"/>
  <c r="D18" i="59"/>
  <c r="D26" i="59"/>
  <c r="D30" i="59"/>
  <c r="D42" i="59"/>
  <c r="D50" i="59"/>
  <c r="D22"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1" i="31"/>
  <c r="S419" i="31"/>
  <c r="S417" i="31"/>
  <c r="S415" i="31"/>
  <c r="S413" i="31"/>
  <c r="S411" i="31"/>
  <c r="S409" i="31"/>
  <c r="S407"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F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J42" i="39" s="1"/>
  <c r="AC42" i="39" s="1"/>
  <c r="B106" i="39"/>
  <c r="D99" i="39"/>
  <c r="E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AA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K5" i="3" s="1"/>
  <c r="BM13" i="3"/>
  <c r="BN13" i="3"/>
  <c r="BO13" i="3"/>
  <c r="BP13" i="3"/>
  <c r="BP5" i="3" s="1"/>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J8" i="21"/>
  <c r="J9" i="21"/>
  <c r="AC9" i="21" s="1"/>
  <c r="H8" i="21"/>
  <c r="AB8" i="21" s="1"/>
  <c r="H10" i="21"/>
  <c r="U10" i="21"/>
  <c r="H39" i="21"/>
  <c r="AB39" i="21"/>
  <c r="J34" i="21"/>
  <c r="W34" i="21"/>
  <c r="H36" i="21"/>
  <c r="U36" i="21"/>
  <c r="F35" i="21"/>
  <c r="AA35" i="21"/>
  <c r="J33" i="21"/>
  <c r="W33" i="21"/>
  <c r="H33" i="21"/>
  <c r="U33" i="21"/>
  <c r="F33" i="21"/>
  <c r="J10" i="21"/>
  <c r="H26" i="21"/>
  <c r="AB26" i="21" s="1"/>
  <c r="F19" i="21"/>
  <c r="AA19" i="21"/>
  <c r="H19" i="21"/>
  <c r="AB19" i="21"/>
  <c r="J19" i="21"/>
  <c r="W19" i="21"/>
  <c r="J12" i="21"/>
  <c r="H12" i="21"/>
  <c r="U12" i="21" s="1"/>
  <c r="J26" i="21"/>
  <c r="F26" i="21"/>
  <c r="AB41" i="21"/>
  <c r="S41" i="21"/>
  <c r="AA41" i="21"/>
  <c r="W41" i="21"/>
  <c r="S10" i="39"/>
  <c r="U30" i="37"/>
  <c r="E103" i="37"/>
  <c r="F103" i="37" s="1"/>
  <c r="F39" i="37"/>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H32" i="33"/>
  <c r="AB32" i="33"/>
  <c r="H11" i="21"/>
  <c r="U11" i="21"/>
  <c r="J11" i="21"/>
  <c r="W11" i="21"/>
  <c r="F100" i="40"/>
  <c r="F86" i="40"/>
  <c r="G86" i="40" s="1"/>
  <c r="AA12" i="33"/>
  <c r="J27" i="36"/>
  <c r="W27" i="36"/>
  <c r="J34" i="36"/>
  <c r="W34" i="36"/>
  <c r="J30" i="35"/>
  <c r="W30" i="35"/>
  <c r="F22" i="35"/>
  <c r="AA22" i="35"/>
  <c r="H10" i="35"/>
  <c r="U10" i="35"/>
  <c r="AC24" i="36"/>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F114" i="34" s="1"/>
  <c r="H36" i="34"/>
  <c r="U36" i="34"/>
  <c r="F37" i="34"/>
  <c r="AA37" i="34"/>
  <c r="F33" i="34"/>
  <c r="S33" i="34"/>
  <c r="AA28" i="34"/>
  <c r="F19" i="34"/>
  <c r="J10" i="34"/>
  <c r="AC10" i="34" s="1"/>
  <c r="U9" i="34"/>
  <c r="J28" i="34"/>
  <c r="W28" i="34" s="1"/>
  <c r="S38" i="33"/>
  <c r="E113" i="33"/>
  <c r="F36" i="33"/>
  <c r="S36" i="33" s="1"/>
  <c r="F19" i="33"/>
  <c r="J19" i="33"/>
  <c r="AC19" i="33" s="1"/>
  <c r="S10" i="21"/>
  <c r="W40" i="33"/>
  <c r="F125" i="21"/>
  <c r="G125" i="21"/>
  <c r="AB30" i="36"/>
  <c r="AC34" i="36"/>
  <c r="S22" i="35"/>
  <c r="H29" i="35"/>
  <c r="U34" i="37"/>
  <c r="S34" i="37"/>
  <c r="AA34" i="37"/>
  <c r="AC43" i="34"/>
  <c r="AB42" i="34"/>
  <c r="AB40" i="34"/>
  <c r="W36" i="34"/>
  <c r="J19" i="34"/>
  <c r="AC19" i="34"/>
  <c r="F113" i="33"/>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H14" i="21"/>
  <c r="H28" i="21"/>
  <c r="F28" i="21"/>
  <c r="S28" i="21" s="1"/>
  <c r="J28" i="21"/>
  <c r="AC28" i="21"/>
  <c r="H30" i="21"/>
  <c r="U30" i="21"/>
  <c r="F30" i="21"/>
  <c r="S30" i="21"/>
  <c r="J30" i="21"/>
  <c r="J44" i="21"/>
  <c r="H44" i="21"/>
  <c r="U44" i="21" s="1"/>
  <c r="F44" i="2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F28" i="36"/>
  <c r="F27" i="36"/>
  <c r="H13" i="21"/>
  <c r="J13" i="21"/>
  <c r="AC13" i="21" s="1"/>
  <c r="F13" i="21"/>
  <c r="H27" i="21"/>
  <c r="J27" i="21"/>
  <c r="F27" i="21"/>
  <c r="J29" i="21"/>
  <c r="AC29" i="21" s="1"/>
  <c r="H29" i="21"/>
  <c r="F29" i="21"/>
  <c r="S29" i="21" s="1"/>
  <c r="J31" i="21"/>
  <c r="AC31" i="21" s="1"/>
  <c r="H31" i="21"/>
  <c r="U31" i="21" s="1"/>
  <c r="F31" i="21"/>
  <c r="J45" i="21"/>
  <c r="F45" i="21"/>
  <c r="H45" i="21"/>
  <c r="U45" i="21" s="1"/>
  <c r="J27" i="33"/>
  <c r="AC27" i="33" s="1"/>
  <c r="F27" i="33"/>
  <c r="F13" i="33"/>
  <c r="J29" i="33"/>
  <c r="W29" i="33" s="1"/>
  <c r="J31" i="33"/>
  <c r="H31" i="33"/>
  <c r="U31" i="33" s="1"/>
  <c r="S31" i="33"/>
  <c r="J45" i="33"/>
  <c r="W45" i="33"/>
  <c r="F45" i="33"/>
  <c r="S45" i="33"/>
  <c r="F11" i="35"/>
  <c r="S11" i="35"/>
  <c r="H28" i="36"/>
  <c r="U28" i="36"/>
  <c r="H32" i="36"/>
  <c r="AB32" i="36"/>
  <c r="J32" i="36"/>
  <c r="J11" i="36"/>
  <c r="W11" i="36" s="1"/>
  <c r="H13" i="36"/>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H40" i="37"/>
  <c r="J40" i="37"/>
  <c r="W40" i="37" s="1"/>
  <c r="F40" i="37"/>
  <c r="AA40" i="37"/>
  <c r="H14" i="33"/>
  <c r="U14" i="33"/>
  <c r="F14" i="33"/>
  <c r="AA14" i="33"/>
  <c r="J14" i="33"/>
  <c r="AC14" i="33"/>
  <c r="H30" i="33"/>
  <c r="AB30" i="33"/>
  <c r="F30" i="33"/>
  <c r="S30" i="33"/>
  <c r="J30" i="33"/>
  <c r="H44" i="33"/>
  <c r="J44" i="33"/>
  <c r="AC44" i="33" s="1"/>
  <c r="F44" i="33"/>
  <c r="J46" i="33"/>
  <c r="F46" i="33"/>
  <c r="AA46" i="33" s="1"/>
  <c r="H46" i="33"/>
  <c r="H13" i="34"/>
  <c r="J13" i="34"/>
  <c r="W13" i="34" s="1"/>
  <c r="F13" i="34"/>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H13" i="35"/>
  <c r="U13" i="35" s="1"/>
  <c r="J25" i="35"/>
  <c r="AC25" i="35" s="1"/>
  <c r="F25" i="35"/>
  <c r="H25" i="35"/>
  <c r="J35" i="35"/>
  <c r="F35" i="35"/>
  <c r="H35" i="35"/>
  <c r="U35" i="35" s="1"/>
  <c r="J25" i="36"/>
  <c r="F25" i="36"/>
  <c r="H25" i="36"/>
  <c r="AB25" i="36" s="1"/>
  <c r="H13" i="37"/>
  <c r="AB13" i="37" s="1"/>
  <c r="F13" i="37"/>
  <c r="S13" i="37" s="1"/>
  <c r="J13" i="37"/>
  <c r="F28" i="37"/>
  <c r="AA28" i="37" s="1"/>
  <c r="J28" i="37"/>
  <c r="AC28" i="37" s="1"/>
  <c r="H28" i="37"/>
  <c r="H38" i="37"/>
  <c r="AB38" i="37" s="1"/>
  <c r="J38" i="37"/>
  <c r="AC38" i="37" s="1"/>
  <c r="F38" i="37"/>
  <c r="S38" i="37" s="1"/>
  <c r="F14" i="37"/>
  <c r="F27" i="37"/>
  <c r="AA27" i="37" s="1"/>
  <c r="J14" i="37"/>
  <c r="J27" i="37"/>
  <c r="W27" i="37" s="1"/>
  <c r="AA38" i="37"/>
  <c r="AB13" i="35"/>
  <c r="U30" i="33"/>
  <c r="J36" i="37"/>
  <c r="G105" i="37"/>
  <c r="AB28" i="36"/>
  <c r="AB31" i="21"/>
  <c r="S46" i="21"/>
  <c r="AC30" i="21"/>
  <c r="W30" i="21"/>
  <c r="AB30" i="21"/>
  <c r="AA28" i="21"/>
  <c r="W14" i="21"/>
  <c r="AC14" i="21"/>
  <c r="W42" i="21"/>
  <c r="S46" i="33"/>
  <c r="U36" i="37"/>
  <c r="AC13" i="36"/>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BQ538" i="3"/>
  <c r="BL538" i="3" s="1"/>
  <c r="BQ536" i="3"/>
  <c r="BL536" i="3" s="1"/>
  <c r="BQ534" i="3"/>
  <c r="BL534" i="3"/>
  <c r="BQ532" i="3"/>
  <c r="BL532" i="3"/>
  <c r="BQ530" i="3"/>
  <c r="BQ528" i="3"/>
  <c r="BL528" i="3" s="1"/>
  <c r="BQ526" i="3"/>
  <c r="BL526" i="3"/>
  <c r="BQ524" i="3"/>
  <c r="BL524" i="3"/>
  <c r="AZ524" i="3" s="1"/>
  <c r="BQ522" i="3"/>
  <c r="BQ520" i="3"/>
  <c r="BL520" i="3" s="1"/>
  <c r="BQ518" i="3"/>
  <c r="BL518" i="3" s="1"/>
  <c r="BQ516" i="3"/>
  <c r="BL516" i="3"/>
  <c r="BQ514" i="3"/>
  <c r="BL514" i="3"/>
  <c r="BQ512" i="3"/>
  <c r="BQ510" i="3"/>
  <c r="BL510" i="3" s="1"/>
  <c r="BQ508" i="3"/>
  <c r="BL508" i="3" s="1"/>
  <c r="AC506" i="3"/>
  <c r="G506" i="3" s="1"/>
  <c r="BQ506" i="3"/>
  <c r="BL506" i="3" s="1"/>
  <c r="G502" i="3"/>
  <c r="G498" i="3"/>
  <c r="BQ504" i="3"/>
  <c r="BQ502" i="3"/>
  <c r="BL502" i="3" s="1"/>
  <c r="AZ502" i="3" s="1"/>
  <c r="BQ500" i="3"/>
  <c r="BL500" i="3" s="1"/>
  <c r="BQ498" i="3"/>
  <c r="BL498" i="3" s="1"/>
  <c r="BQ496" i="3"/>
  <c r="AC494" i="3"/>
  <c r="G494" i="3" s="1"/>
  <c r="BQ494" i="3"/>
  <c r="BL493" i="3"/>
  <c r="G492" i="3"/>
  <c r="G488" i="3"/>
  <c r="G484" i="3"/>
  <c r="G20" i="3"/>
  <c r="BQ492" i="3"/>
  <c r="BL492" i="3"/>
  <c r="BQ490" i="3"/>
  <c r="BQ488" i="3"/>
  <c r="BL488" i="3" s="1"/>
  <c r="BQ486" i="3"/>
  <c r="BQ484" i="3"/>
  <c r="BL484" i="3"/>
  <c r="AZ484" i="3" s="1"/>
  <c r="BQ482" i="3"/>
  <c r="BL482" i="3"/>
  <c r="BQ20" i="3"/>
  <c r="BL20" i="3"/>
  <c r="AZ20" i="3" s="1"/>
  <c r="BQ18" i="3"/>
  <c r="BL18" i="3" s="1"/>
  <c r="AZ501" i="3"/>
  <c r="S505" i="31"/>
  <c r="S503" i="31"/>
  <c r="S501" i="31"/>
  <c r="S499" i="31"/>
  <c r="O27" i="31"/>
  <c r="O28" i="31"/>
  <c r="O26" i="31"/>
  <c r="M27" i="31"/>
  <c r="M28" i="31"/>
  <c r="M26" i="31"/>
  <c r="I26" i="31"/>
  <c r="I25" i="31"/>
  <c r="Q26" i="31"/>
  <c r="K26" i="31"/>
  <c r="I27" i="31"/>
  <c r="Q27" i="31"/>
  <c r="K27" i="31"/>
  <c r="I28" i="31"/>
  <c r="Q28" i="31"/>
  <c r="K28" i="31"/>
  <c r="AC28" i="34"/>
  <c r="S12" i="21"/>
  <c r="H25" i="21"/>
  <c r="U25" i="21"/>
  <c r="F25" i="21"/>
  <c r="S25" i="21"/>
  <c r="J25" i="21"/>
  <c r="AC25" i="21"/>
  <c r="E125" i="33"/>
  <c r="F125" i="33"/>
  <c r="G125" i="33" s="1"/>
  <c r="H43" i="33"/>
  <c r="U43" i="33" s="1"/>
  <c r="H17" i="37"/>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D3" i="21"/>
  <c r="AC33" i="36"/>
  <c r="AC12" i="35"/>
  <c r="W23" i="35"/>
  <c r="S27" i="37"/>
  <c r="AC8" i="37"/>
  <c r="S25" i="37"/>
  <c r="AC36" i="34"/>
  <c r="AB8" i="34"/>
  <c r="AC37" i="33"/>
  <c r="AC45" i="33"/>
  <c r="U19" i="21"/>
  <c r="AC33" i="21"/>
  <c r="S39" i="33"/>
  <c r="F43" i="33"/>
  <c r="AA43" i="33"/>
  <c r="S10" i="35"/>
  <c r="G107" i="37"/>
  <c r="H107" i="37" s="1"/>
  <c r="I107" i="37"/>
  <c r="J107" i="37" s="1"/>
  <c r="K107" i="37" s="1"/>
  <c r="L107" i="37" s="1"/>
  <c r="M107" i="37" s="1"/>
  <c r="F37" i="21"/>
  <c r="J37" i="21"/>
  <c r="H19" i="34"/>
  <c r="J10" i="37"/>
  <c r="W10" i="37" s="1"/>
  <c r="F36" i="35"/>
  <c r="J9" i="37"/>
  <c r="W9" i="37" s="1"/>
  <c r="H9" i="37"/>
  <c r="U9" i="37" s="1"/>
  <c r="F9" i="37"/>
  <c r="S9" i="37" s="1"/>
  <c r="F11" i="37"/>
  <c r="J12" i="37"/>
  <c r="H12" i="37"/>
  <c r="F12" i="37"/>
  <c r="H15" i="37"/>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U40" i="39"/>
  <c r="J21" i="40"/>
  <c r="AC21" i="40" s="1"/>
  <c r="G90" i="40"/>
  <c r="AZ540" i="3"/>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U42" i="21"/>
  <c r="AC26" i="36"/>
  <c r="W25" i="35"/>
  <c r="H13" i="39"/>
  <c r="AB13" i="39" s="1"/>
  <c r="F13" i="39"/>
  <c r="J13" i="39"/>
  <c r="AC13" i="39" s="1"/>
  <c r="H11" i="37"/>
  <c r="W37" i="37"/>
  <c r="AA30" i="33"/>
  <c r="AA36" i="37"/>
  <c r="S42" i="33"/>
  <c r="U32" i="33"/>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F119" i="21"/>
  <c r="G119" i="21" s="1"/>
  <c r="H119" i="21"/>
  <c r="I119" i="21" s="1"/>
  <c r="J119" i="21" s="1"/>
  <c r="K119" i="21" s="1"/>
  <c r="L119" i="21" s="1"/>
  <c r="M119" i="21" s="1"/>
  <c r="AA8" i="33"/>
  <c r="AC8" i="33"/>
  <c r="H66" i="33"/>
  <c r="F10" i="33"/>
  <c r="F11" i="33"/>
  <c r="J15" i="33"/>
  <c r="W15" i="33" s="1"/>
  <c r="H19" i="33"/>
  <c r="F32" i="33"/>
  <c r="J32" i="33"/>
  <c r="AC32" i="33" s="1"/>
  <c r="F35" i="33"/>
  <c r="AB39" i="34"/>
  <c r="F11" i="34"/>
  <c r="S11" i="34"/>
  <c r="E80" i="34"/>
  <c r="F80" i="34"/>
  <c r="H17" i="34"/>
  <c r="AB17" i="34"/>
  <c r="AC27" i="34"/>
  <c r="W27" i="34"/>
  <c r="S12" i="35"/>
  <c r="AB28" i="35"/>
  <c r="U28" i="35"/>
  <c r="J13" i="33"/>
  <c r="H13" i="33"/>
  <c r="H29" i="33"/>
  <c r="AB29" i="33" s="1"/>
  <c r="F29" i="33"/>
  <c r="AA29" i="33" s="1"/>
  <c r="J12" i="34"/>
  <c r="H12" i="34"/>
  <c r="AB12" i="34" s="1"/>
  <c r="F12" i="34"/>
  <c r="S12" i="34" s="1"/>
  <c r="J14" i="34"/>
  <c r="F14" i="34"/>
  <c r="S14" i="34" s="1"/>
  <c r="H14" i="34"/>
  <c r="AB14" i="34" s="1"/>
  <c r="H30" i="34"/>
  <c r="F30" i="34"/>
  <c r="S30" i="34" s="1"/>
  <c r="J30" i="34"/>
  <c r="H32" i="34"/>
  <c r="F32" i="34"/>
  <c r="AA32" i="34" s="1"/>
  <c r="J32" i="34"/>
  <c r="H46" i="34"/>
  <c r="AB46" i="34" s="1"/>
  <c r="F46" i="34"/>
  <c r="AA46" i="34" s="1"/>
  <c r="J46" i="34"/>
  <c r="H11" i="35"/>
  <c r="AB11" i="35" s="1"/>
  <c r="J11" i="35"/>
  <c r="AC11" i="35"/>
  <c r="F96" i="37"/>
  <c r="H32" i="37"/>
  <c r="F43" i="39"/>
  <c r="AA43" i="39" s="1"/>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H11" i="36"/>
  <c r="F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H29" i="39"/>
  <c r="U29" i="39" s="1"/>
  <c r="F39" i="39"/>
  <c r="H39" i="39"/>
  <c r="J39" i="39"/>
  <c r="J29" i="35"/>
  <c r="AC29" i="35" s="1"/>
  <c r="F29" i="35"/>
  <c r="S29" i="35" s="1"/>
  <c r="W30" i="36"/>
  <c r="AC30" i="36"/>
  <c r="F37" i="39"/>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AZ536" i="3"/>
  <c r="BA535" i="3"/>
  <c r="AZ535" i="3"/>
  <c r="BA534" i="3"/>
  <c r="AZ534" i="3"/>
  <c r="BA533" i="3"/>
  <c r="AZ533" i="3"/>
  <c r="BL531" i="3"/>
  <c r="AZ531" i="3"/>
  <c r="BL530" i="3"/>
  <c r="BA530" i="3"/>
  <c r="BL529" i="3"/>
  <c r="BA529" i="3"/>
  <c r="AZ529" i="3" s="1"/>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A481" i="3"/>
  <c r="BB5" i="3"/>
  <c r="BL19" i="3"/>
  <c r="AZ19" i="3"/>
  <c r="BA18" i="3"/>
  <c r="F36" i="44"/>
  <c r="G114" i="34"/>
  <c r="H114" i="34" s="1"/>
  <c r="I114" i="34"/>
  <c r="J114" i="34" s="1"/>
  <c r="K114" i="34" s="1"/>
  <c r="L114" i="34" s="1"/>
  <c r="M114" i="34" s="1"/>
  <c r="H38" i="34"/>
  <c r="U38" i="34"/>
  <c r="H30" i="40"/>
  <c r="AB30" i="40"/>
  <c r="G100" i="40"/>
  <c r="J30" i="40"/>
  <c r="AC30" i="40" s="1"/>
  <c r="F38" i="40"/>
  <c r="AA36" i="34"/>
  <c r="AC12" i="21"/>
  <c r="W12" i="21"/>
  <c r="AB33" i="21"/>
  <c r="S35" i="21"/>
  <c r="AB10" i="21"/>
  <c r="U8" i="21"/>
  <c r="S34"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AA15" i="34" s="1"/>
  <c r="AC28" i="35"/>
  <c r="W28" i="35"/>
  <c r="J20" i="35"/>
  <c r="AC20" i="35"/>
  <c r="E72" i="35"/>
  <c r="F72" i="35"/>
  <c r="G72" i="35" s="1"/>
  <c r="H22" i="35"/>
  <c r="H23" i="35"/>
  <c r="AB23" i="35" s="1"/>
  <c r="F23" i="35"/>
  <c r="AA23" i="35"/>
  <c r="U36" i="35"/>
  <c r="W12" i="36"/>
  <c r="AC12" i="36"/>
  <c r="U31" i="36"/>
  <c r="S8" i="37"/>
  <c r="AA8" i="37"/>
  <c r="F14" i="39"/>
  <c r="AA14" i="39" s="1"/>
  <c r="H14" i="39"/>
  <c r="AB14" i="39" s="1"/>
  <c r="J14" i="39"/>
  <c r="F16" i="39"/>
  <c r="AA16" i="39" s="1"/>
  <c r="H16" i="39"/>
  <c r="U16" i="39" s="1"/>
  <c r="J16" i="39"/>
  <c r="AC16" i="39" s="1"/>
  <c r="F23" i="39"/>
  <c r="AA23" i="39" s="1"/>
  <c r="E97" i="39"/>
  <c r="F27" i="39"/>
  <c r="AA27" i="39" s="1"/>
  <c r="F15" i="40"/>
  <c r="AA15" i="40"/>
  <c r="J15" i="40"/>
  <c r="H15" i="40"/>
  <c r="E92" i="40"/>
  <c r="F92" i="40" s="1"/>
  <c r="H23" i="40"/>
  <c r="U23" i="40" s="1"/>
  <c r="H41" i="40"/>
  <c r="F41" i="40"/>
  <c r="J41" i="40"/>
  <c r="AC41" i="40" s="1"/>
  <c r="H36" i="33"/>
  <c r="AB36" i="33"/>
  <c r="H37" i="34"/>
  <c r="F15" i="39"/>
  <c r="AA15" i="39" s="1"/>
  <c r="H15" i="39"/>
  <c r="U15" i="39" s="1"/>
  <c r="J15" i="39"/>
  <c r="AC15" i="39" s="1"/>
  <c r="F45" i="39"/>
  <c r="AA45" i="39" s="1"/>
  <c r="H45" i="39"/>
  <c r="U45" i="39" s="1"/>
  <c r="J45" i="39"/>
  <c r="AC45" i="39" s="1"/>
  <c r="F47" i="39"/>
  <c r="AA47" i="39" s="1"/>
  <c r="H47" i="39"/>
  <c r="J47" i="39"/>
  <c r="E94" i="40"/>
  <c r="F94" i="40" s="1"/>
  <c r="J25" i="40"/>
  <c r="AC25" i="40"/>
  <c r="J32" i="40"/>
  <c r="AC32" i="40"/>
  <c r="H32" i="40"/>
  <c r="U32" i="40"/>
  <c r="H33" i="40"/>
  <c r="AB33" i="40"/>
  <c r="F33" i="40"/>
  <c r="AA33" i="40"/>
  <c r="J33" i="40"/>
  <c r="AC33" i="40"/>
  <c r="H35" i="40"/>
  <c r="AB35" i="40"/>
  <c r="F35" i="40"/>
  <c r="AA35" i="40"/>
  <c r="J35" i="40"/>
  <c r="AC35" i="40"/>
  <c r="J38" i="39"/>
  <c r="W38" i="39"/>
  <c r="H38" i="39"/>
  <c r="U38" i="39" s="1"/>
  <c r="J16" i="40"/>
  <c r="J14" i="40"/>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W35" i="40"/>
  <c r="S33" i="40"/>
  <c r="AB32" i="40"/>
  <c r="S47" i="39"/>
  <c r="U37" i="34"/>
  <c r="AB37" i="34"/>
  <c r="W41" i="40"/>
  <c r="J23" i="40"/>
  <c r="G92" i="40"/>
  <c r="F23" i="40"/>
  <c r="S23" i="40"/>
  <c r="AC15" i="40"/>
  <c r="W15" i="40"/>
  <c r="U23" i="35"/>
  <c r="H20" i="35"/>
  <c r="U20" i="35" s="1"/>
  <c r="F20" i="35"/>
  <c r="S20" i="35"/>
  <c r="H15" i="34"/>
  <c r="AB15" i="34"/>
  <c r="F78" i="34"/>
  <c r="G78" i="34"/>
  <c r="J15" i="34"/>
  <c r="H41" i="33"/>
  <c r="F121" i="33"/>
  <c r="G121" i="33" s="1"/>
  <c r="H121" i="33"/>
  <c r="I121" i="33" s="1"/>
  <c r="J121" i="33" s="1"/>
  <c r="K121" i="33" s="1"/>
  <c r="L121" i="33" s="1"/>
  <c r="M121" i="33" s="1"/>
  <c r="F30" i="40"/>
  <c r="AA30" i="40" s="1"/>
  <c r="H100" i="40"/>
  <c r="I100" i="40" s="1"/>
  <c r="J100" i="40" s="1"/>
  <c r="K100" i="40" s="1"/>
  <c r="L100" i="40" s="1"/>
  <c r="M100" i="40" s="1"/>
  <c r="AB38" i="34"/>
  <c r="AZ497" i="3"/>
  <c r="AZ530" i="3"/>
  <c r="AZ547" i="3"/>
  <c r="AZ549" i="3"/>
  <c r="AA29" i="35"/>
  <c r="J29" i="39"/>
  <c r="AC29" i="39" s="1"/>
  <c r="AB17" i="39"/>
  <c r="AB33" i="36"/>
  <c r="AA14" i="35"/>
  <c r="S14" i="35"/>
  <c r="G99" i="37"/>
  <c r="H99" i="37" s="1"/>
  <c r="F33" i="37"/>
  <c r="U46" i="34"/>
  <c r="AA14" i="34"/>
  <c r="U29" i="33"/>
  <c r="U17" i="34"/>
  <c r="AA11" i="34"/>
  <c r="W32" i="33"/>
  <c r="H15" i="33"/>
  <c r="U15" i="33"/>
  <c r="AA40" i="21"/>
  <c r="U17" i="21"/>
  <c r="S13" i="39"/>
  <c r="AA13" i="39"/>
  <c r="U16" i="40"/>
  <c r="W34" i="40"/>
  <c r="AB34" i="40"/>
  <c r="U42" i="40"/>
  <c r="W32" i="40"/>
  <c r="H25" i="40"/>
  <c r="AB25" i="40"/>
  <c r="G94" i="40"/>
  <c r="W15" i="39"/>
  <c r="J37" i="34"/>
  <c r="AC37" i="34"/>
  <c r="J36" i="33"/>
  <c r="W36" i="33"/>
  <c r="AB23" i="40"/>
  <c r="H23" i="39"/>
  <c r="AB23" i="39" s="1"/>
  <c r="J23" i="39"/>
  <c r="AC23" i="39" s="1"/>
  <c r="F97" i="39"/>
  <c r="G97" i="39"/>
  <c r="S16" i="39"/>
  <c r="S15" i="34"/>
  <c r="AA34" i="33"/>
  <c r="J34" i="33"/>
  <c r="AC34" i="33" s="1"/>
  <c r="U30" i="40"/>
  <c r="AC39" i="39"/>
  <c r="W39" i="39"/>
  <c r="AA39" i="39"/>
  <c r="S39" i="39"/>
  <c r="AB46" i="39"/>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c r="K96" i="37" s="1"/>
  <c r="L96" i="37" s="1"/>
  <c r="M96" i="37" s="1"/>
  <c r="F32" i="37"/>
  <c r="S32" i="37" s="1"/>
  <c r="S46" i="34"/>
  <c r="U12" i="34"/>
  <c r="G80" i="34"/>
  <c r="F17" i="34"/>
  <c r="AA17" i="34"/>
  <c r="J17" i="34"/>
  <c r="AC17" i="34"/>
  <c r="H11" i="34"/>
  <c r="AB11" i="34"/>
  <c r="J35" i="33"/>
  <c r="W35" i="33"/>
  <c r="AC15" i="33"/>
  <c r="H11" i="33"/>
  <c r="U11" i="33"/>
  <c r="H10" i="33"/>
  <c r="U10" i="33"/>
  <c r="I66" i="33"/>
  <c r="J10" i="33"/>
  <c r="U40" i="21"/>
  <c r="U13" i="39"/>
  <c r="AC13" i="40"/>
  <c r="J11" i="34"/>
  <c r="W11" i="34"/>
  <c r="S17" i="34"/>
  <c r="AC36" i="33"/>
  <c r="F25" i="40"/>
  <c r="AA25" i="40"/>
  <c r="J11" i="33"/>
  <c r="W11" i="33"/>
  <c r="H33" i="37"/>
  <c r="AB33" i="37"/>
  <c r="W15" i="34"/>
  <c r="AC15" i="34"/>
  <c r="AB20" i="35"/>
  <c r="D73" i="9"/>
  <c r="N73" i="9" s="1"/>
  <c r="AP11" i="1"/>
  <c r="B11" i="1"/>
  <c r="E11" i="1"/>
  <c r="K11" i="1"/>
  <c r="M11" i="1" s="1"/>
  <c r="B9" i="1"/>
  <c r="E9" i="1" s="1"/>
  <c r="K9" i="1"/>
  <c r="M9" i="1" s="1"/>
  <c r="B7" i="1"/>
  <c r="E7" i="1"/>
  <c r="K7" i="1"/>
  <c r="M7" i="1" s="1"/>
  <c r="C20" i="43"/>
  <c r="F6" i="1"/>
  <c r="AP6" i="1" s="1"/>
  <c r="G11" i="1"/>
  <c r="M22" i="44"/>
  <c r="F70" i="9"/>
  <c r="F30" i="44"/>
  <c r="S23" i="36"/>
  <c r="S8" i="36"/>
  <c r="AA26" i="36"/>
  <c r="U25" i="36"/>
  <c r="H20" i="36"/>
  <c r="U20" i="36"/>
  <c r="F68" i="36"/>
  <c r="G68" i="36"/>
  <c r="J20" i="36"/>
  <c r="AC20" i="36"/>
  <c r="F20" i="36"/>
  <c r="S20" i="36"/>
  <c r="F62" i="36"/>
  <c r="G62" i="36"/>
  <c r="J14" i="36"/>
  <c r="H14" i="36"/>
  <c r="AB14" i="36" s="1"/>
  <c r="F14" i="36"/>
  <c r="AA14" i="36"/>
  <c r="W20" i="36"/>
  <c r="U27" i="36"/>
  <c r="U32" i="36"/>
  <c r="AB12" i="36"/>
  <c r="S33" i="36"/>
  <c r="S16" i="36"/>
  <c r="S29" i="36"/>
  <c r="AC33" i="35"/>
  <c r="AA13" i="35"/>
  <c r="AC9" i="35"/>
  <c r="S8" i="35"/>
  <c r="U33" i="35"/>
  <c r="AA20" i="35"/>
  <c r="W20" i="35"/>
  <c r="S23" i="35"/>
  <c r="S16" i="35"/>
  <c r="AC10" i="35"/>
  <c r="U9" i="35"/>
  <c r="AC18" i="35"/>
  <c r="W18" i="35"/>
  <c r="U18" i="35"/>
  <c r="AB18" i="35"/>
  <c r="S30" i="35"/>
  <c r="AB30" i="35"/>
  <c r="S27" i="35"/>
  <c r="S28" i="35"/>
  <c r="J26" i="35"/>
  <c r="F26" i="35"/>
  <c r="H26" i="35"/>
  <c r="AB9" i="37"/>
  <c r="AA9" i="37"/>
  <c r="W28" i="37"/>
  <c r="AA31" i="37"/>
  <c r="S33" i="37"/>
  <c r="AA33" i="37"/>
  <c r="J33" i="37"/>
  <c r="W33"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S10" i="37"/>
  <c r="AC45" i="34"/>
  <c r="AA40" i="34"/>
  <c r="W33" i="34"/>
  <c r="S32" i="34"/>
  <c r="AB33" i="34"/>
  <c r="AA12" i="34"/>
  <c r="AC35" i="34"/>
  <c r="AA30"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AB41" i="34"/>
  <c r="AA41" i="34"/>
  <c r="S9" i="34"/>
  <c r="S10" i="34"/>
  <c r="U39" i="33"/>
  <c r="U37" i="33"/>
  <c r="W34" i="33"/>
  <c r="AC12" i="33"/>
  <c r="AB11" i="33"/>
  <c r="U36" i="33"/>
  <c r="AC35" i="33"/>
  <c r="S29" i="33"/>
  <c r="W43" i="33"/>
  <c r="W39" i="33"/>
  <c r="U35" i="33"/>
  <c r="AB34" i="33"/>
  <c r="AB26" i="33"/>
  <c r="H25" i="33"/>
  <c r="AB25" i="33"/>
  <c r="J25" i="33"/>
  <c r="W25" i="33"/>
  <c r="F87" i="33"/>
  <c r="G87" i="33"/>
  <c r="H87" i="33" s="1"/>
  <c r="I87" i="33" s="1"/>
  <c r="J87" i="33" s="1"/>
  <c r="K87" i="33" s="1"/>
  <c r="L87" i="33" s="1"/>
  <c r="M87" i="33" s="1"/>
  <c r="F25" i="33"/>
  <c r="F85" i="33"/>
  <c r="G85" i="33" s="1"/>
  <c r="J23" i="33"/>
  <c r="AC23" i="33" s="1"/>
  <c r="F23" i="33"/>
  <c r="H23" i="33"/>
  <c r="AB23" i="33" s="1"/>
  <c r="F79" i="33"/>
  <c r="G79" i="33" s="1"/>
  <c r="F17" i="33"/>
  <c r="S17" i="33" s="1"/>
  <c r="H17" i="33"/>
  <c r="J17" i="33"/>
  <c r="AC17" i="33" s="1"/>
  <c r="AB15" i="33"/>
  <c r="AC11" i="33"/>
  <c r="S14" i="33"/>
  <c r="AC21" i="33"/>
  <c r="W21" i="33"/>
  <c r="W14" i="33"/>
  <c r="AB10" i="33"/>
  <c r="U25" i="33"/>
  <c r="AB21" i="33"/>
  <c r="U21" i="33"/>
  <c r="AA21" i="33"/>
  <c r="S21" i="33"/>
  <c r="AA36" i="33"/>
  <c r="W39" i="21"/>
  <c r="AC34" i="21"/>
  <c r="W32" i="21"/>
  <c r="W43" i="21"/>
  <c r="S42" i="21"/>
  <c r="AB37" i="21"/>
  <c r="AB32" i="21"/>
  <c r="W28" i="21"/>
  <c r="AC46" i="21"/>
  <c r="F85" i="21"/>
  <c r="G85" i="21" s="1"/>
  <c r="J23" i="21"/>
  <c r="W23" i="21" s="1"/>
  <c r="F23" i="21"/>
  <c r="H23" i="21"/>
  <c r="AA17" i="21"/>
  <c r="W17" i="21"/>
  <c r="F15" i="21"/>
  <c r="S15" i="21" s="1"/>
  <c r="F77" i="21"/>
  <c r="G77" i="21" s="1"/>
  <c r="J15" i="21"/>
  <c r="H15" i="21"/>
  <c r="AC11" i="21"/>
  <c r="AB11" i="21"/>
  <c r="W13" i="21"/>
  <c r="AA11" i="21"/>
  <c r="AC21" i="21"/>
  <c r="W21" i="21"/>
  <c r="AC19" i="21"/>
  <c r="AC38" i="21"/>
  <c r="AB21" i="21"/>
  <c r="U21" i="21"/>
  <c r="AA30" i="21"/>
  <c r="W33" i="40"/>
  <c r="U33" i="40"/>
  <c r="S35" i="40"/>
  <c r="S14" i="40"/>
  <c r="S15" i="40"/>
  <c r="AB13" i="40"/>
  <c r="S16" i="40"/>
  <c r="W11" i="40"/>
  <c r="AA21" i="40"/>
  <c r="U21" i="40"/>
  <c r="W25" i="40"/>
  <c r="U25" i="40"/>
  <c r="W42" i="40"/>
  <c r="U35" i="40"/>
  <c r="F37" i="40"/>
  <c r="J37" i="40"/>
  <c r="AC37" i="40" s="1"/>
  <c r="H37" i="40"/>
  <c r="G113" i="40"/>
  <c r="H113" i="40"/>
  <c r="I113" i="40" s="1"/>
  <c r="J113" i="40"/>
  <c r="K113" i="40" s="1"/>
  <c r="L113" i="40" s="1"/>
  <c r="M113" i="40" s="1"/>
  <c r="F39" i="40"/>
  <c r="S39" i="40" s="1"/>
  <c r="H39" i="40"/>
  <c r="J39" i="40"/>
  <c r="W38" i="40"/>
  <c r="F29" i="40"/>
  <c r="H29" i="40"/>
  <c r="J29" i="40"/>
  <c r="F98" i="40"/>
  <c r="G98" i="40" s="1"/>
  <c r="H98" i="40"/>
  <c r="I98" i="40" s="1"/>
  <c r="J98" i="40" s="1"/>
  <c r="K98" i="40" s="1"/>
  <c r="L98" i="40" s="1"/>
  <c r="M98" i="40" s="1"/>
  <c r="S30" i="40"/>
  <c r="S25" i="40"/>
  <c r="AA23" i="40"/>
  <c r="G88" i="40"/>
  <c r="F19" i="40"/>
  <c r="H19" i="40"/>
  <c r="U19" i="40" s="1"/>
  <c r="J19" i="40"/>
  <c r="W17" i="40"/>
  <c r="AC17" i="40"/>
  <c r="F17" i="40"/>
  <c r="AA17" i="40" s="1"/>
  <c r="H17" i="40"/>
  <c r="AB17" i="40" s="1"/>
  <c r="W21" i="40"/>
  <c r="AB40" i="40"/>
  <c r="U10" i="40"/>
  <c r="U27" i="40"/>
  <c r="AB27" i="40"/>
  <c r="W13" i="39"/>
  <c r="S11" i="39"/>
  <c r="AB45" i="39"/>
  <c r="AA21" i="39"/>
  <c r="AC38" i="39"/>
  <c r="AC21" i="39"/>
  <c r="S14" i="39"/>
  <c r="U11" i="39"/>
  <c r="U23" i="39"/>
  <c r="AB38" i="39"/>
  <c r="U31" i="39"/>
  <c r="AB31" i="39"/>
  <c r="S38" i="39"/>
  <c r="M20" i="15"/>
  <c r="D96" i="9"/>
  <c r="BA16" i="3"/>
  <c r="BA17" i="3"/>
  <c r="AZ17" i="3" s="1"/>
  <c r="F3" i="35"/>
  <c r="K1" i="43"/>
  <c r="K1" i="12"/>
  <c r="G1" i="44"/>
  <c r="I4" i="6"/>
  <c r="G3" i="46" s="1"/>
  <c r="BO5" i="3"/>
  <c r="F29" i="6" s="1"/>
  <c r="BN5" i="3"/>
  <c r="AZ18" i="3"/>
  <c r="E8" i="6"/>
  <c r="BR5" i="3"/>
  <c r="G28" i="6" s="1"/>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U13" i="37"/>
  <c r="C24" i="9"/>
  <c r="C25" i="9"/>
  <c r="G9" i="1"/>
  <c r="G8" i="1"/>
  <c r="I20" i="46"/>
  <c r="B46" i="50"/>
  <c r="B4" i="63"/>
  <c r="C46" i="36"/>
  <c r="C59" i="34"/>
  <c r="C48" i="35"/>
  <c r="D48" i="35" s="1"/>
  <c r="C52" i="37"/>
  <c r="D52" i="37"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AA34" i="36"/>
  <c r="U23" i="36"/>
  <c r="AC27" i="36"/>
  <c r="W28" i="36"/>
  <c r="AA32" i="36"/>
  <c r="AA22" i="36"/>
  <c r="AA13" i="36"/>
  <c r="W29" i="36"/>
  <c r="W9" i="36"/>
  <c r="W8" i="36"/>
  <c r="AC30" i="35"/>
  <c r="U24" i="35"/>
  <c r="S24" i="35"/>
  <c r="AA33" i="35"/>
  <c r="U32" i="35"/>
  <c r="W22" i="35"/>
  <c r="W34" i="35"/>
  <c r="S32" i="35"/>
  <c r="W35" i="37"/>
  <c r="AC33" i="37"/>
  <c r="U33" i="37"/>
  <c r="AC15" i="37"/>
  <c r="AA13" i="37"/>
  <c r="W38" i="37"/>
  <c r="U26" i="37"/>
  <c r="S28" i="37"/>
  <c r="U38" i="37"/>
  <c r="S26" i="37"/>
  <c r="AA31" i="34"/>
  <c r="AB35" i="34"/>
  <c r="W47" i="34"/>
  <c r="AB47" i="34"/>
  <c r="AC13" i="34"/>
  <c r="AA29" i="34"/>
  <c r="S8" i="34"/>
  <c r="AC25" i="33"/>
  <c r="S43" i="33"/>
  <c r="AB42" i="33"/>
  <c r="AB14" i="33"/>
  <c r="AB12" i="33"/>
  <c r="S15" i="33"/>
  <c r="S39" i="21"/>
  <c r="AB25" i="21"/>
  <c r="AB45" i="21"/>
  <c r="W25" i="21"/>
  <c r="AA25" i="21"/>
  <c r="AA29" i="21"/>
  <c r="W31" i="21"/>
  <c r="AA15" i="21"/>
  <c r="W29" i="21"/>
  <c r="G96" i="40"/>
  <c r="J27" i="40"/>
  <c r="W27" i="40" s="1"/>
  <c r="S17" i="40"/>
  <c r="W30" i="40"/>
  <c r="S34" i="40"/>
  <c r="U17" i="40"/>
  <c r="U38" i="40"/>
  <c r="S40" i="40"/>
  <c r="S42" i="40"/>
  <c r="J31" i="39"/>
  <c r="AC31" i="39" s="1"/>
  <c r="AC46" i="39"/>
  <c r="W42" i="39"/>
  <c r="W36" i="39"/>
  <c r="AC37" i="39"/>
  <c r="W16" i="39"/>
  <c r="AA44" i="39"/>
  <c r="AA46" i="39"/>
  <c r="W10" i="39"/>
  <c r="W11" i="39"/>
  <c r="W40" i="39"/>
  <c r="S32" i="40"/>
  <c r="C27" i="39"/>
  <c r="C17" i="40"/>
  <c r="C19" i="40"/>
  <c r="C17" i="39"/>
  <c r="C19" i="39"/>
  <c r="C21" i="39"/>
  <c r="C23" i="40"/>
  <c r="B48" i="46"/>
  <c r="B51" i="46"/>
  <c r="B55" i="46"/>
  <c r="B59" i="46"/>
  <c r="B62" i="46"/>
  <c r="B66" i="46"/>
  <c r="B53" i="46"/>
  <c r="B64" i="46"/>
  <c r="D24" i="15"/>
  <c r="S14" i="36"/>
  <c r="AB20" i="36"/>
  <c r="AA20" i="36"/>
  <c r="AC14" i="36"/>
  <c r="W14" i="36"/>
  <c r="U14" i="36"/>
  <c r="U18" i="36"/>
  <c r="AB18" i="36"/>
  <c r="AA26" i="35"/>
  <c r="S26" i="35"/>
  <c r="U26" i="35"/>
  <c r="AB26" i="35"/>
  <c r="W26" i="35"/>
  <c r="AC26" i="35"/>
  <c r="S19" i="37"/>
  <c r="AB19" i="37"/>
  <c r="U19" i="37"/>
  <c r="AC17" i="37"/>
  <c r="W17" i="37"/>
  <c r="U25" i="34"/>
  <c r="AB25" i="34"/>
  <c r="AA25" i="34"/>
  <c r="S25" i="34"/>
  <c r="W25" i="34"/>
  <c r="AC25" i="34"/>
  <c r="U23" i="34"/>
  <c r="AB23" i="34"/>
  <c r="AA23" i="34"/>
  <c r="S23" i="34"/>
  <c r="AC23" i="34"/>
  <c r="W23" i="34"/>
  <c r="AA25" i="33"/>
  <c r="S25" i="33"/>
  <c r="U23" i="33"/>
  <c r="W23" i="33"/>
  <c r="S23" i="33"/>
  <c r="AA23" i="33"/>
  <c r="W17" i="33"/>
  <c r="AA17" i="33"/>
  <c r="U17" i="33"/>
  <c r="AB17" i="33"/>
  <c r="U23" i="21"/>
  <c r="AB23" i="21"/>
  <c r="AA23" i="21"/>
  <c r="S23" i="21"/>
  <c r="U15" i="21"/>
  <c r="AB15" i="21"/>
  <c r="W15" i="21"/>
  <c r="AC15" i="21"/>
  <c r="AB39" i="40"/>
  <c r="U39" i="40"/>
  <c r="AC39" i="40"/>
  <c r="W39" i="40"/>
  <c r="AA39" i="40"/>
  <c r="U37" i="40"/>
  <c r="AB37" i="40"/>
  <c r="AA37" i="40"/>
  <c r="S37" i="40"/>
  <c r="U29" i="40"/>
  <c r="AB29" i="40"/>
  <c r="AC29" i="40"/>
  <c r="W29" i="40"/>
  <c r="AA29" i="40"/>
  <c r="S29" i="40"/>
  <c r="W19" i="40"/>
  <c r="AC19" i="40"/>
  <c r="AA19" i="40"/>
  <c r="S19" i="40"/>
  <c r="AB19" i="40"/>
  <c r="AC27" i="40"/>
  <c r="E58" i="39"/>
  <c r="E53" i="40"/>
  <c r="F27" i="6"/>
  <c r="E5" i="6"/>
  <c r="D12" i="11" s="1"/>
  <c r="C12" i="11" s="1"/>
  <c r="AT6" i="3"/>
  <c r="G29" i="6"/>
  <c r="AZ16" i="3"/>
  <c r="H16" i="1"/>
  <c r="A9" i="64"/>
  <c r="A9" i="51"/>
  <c r="B9" i="63" s="1"/>
  <c r="D72" i="39"/>
  <c r="D67" i="40"/>
  <c r="E4" i="4"/>
  <c r="C4" i="4"/>
  <c r="G66" i="36"/>
  <c r="J18" i="36"/>
  <c r="AE8" i="1"/>
  <c r="AE7" i="1"/>
  <c r="W18" i="36"/>
  <c r="AC18" i="36"/>
  <c r="AG6" i="1"/>
  <c r="L20" i="6"/>
  <c r="L19" i="6"/>
  <c r="B21" i="55"/>
  <c r="B72" i="63" s="1"/>
  <c r="B20" i="55"/>
  <c r="B70" i="63" s="1"/>
  <c r="F7" i="21"/>
  <c r="AA7" i="21" s="1"/>
  <c r="R48" i="21" s="1"/>
  <c r="J7" i="21"/>
  <c r="AC7" i="21" s="1"/>
  <c r="V48" i="21" s="1"/>
  <c r="I48" i="21" s="1"/>
  <c r="H7" i="21"/>
  <c r="AB7" i="21" s="1"/>
  <c r="T48" i="21" s="1"/>
  <c r="G48" i="21" s="1"/>
  <c r="E67" i="40"/>
  <c r="F65" i="40"/>
  <c r="F67" i="40" s="1"/>
  <c r="E72" i="39"/>
  <c r="F70" i="39"/>
  <c r="F72" i="39" s="1"/>
  <c r="S7" i="1"/>
  <c r="S8" i="1"/>
  <c r="S9" i="1"/>
  <c r="G70" i="39"/>
  <c r="H70" i="39" s="1"/>
  <c r="R9" i="1"/>
  <c r="R7" i="1"/>
  <c r="R8" i="1"/>
  <c r="N76" i="9"/>
  <c r="F8" i="15"/>
  <c r="B8" i="67"/>
  <c r="F7" i="15"/>
  <c r="F12" i="67"/>
  <c r="F38" i="15"/>
  <c r="M24" i="44"/>
  <c r="M25" i="44"/>
  <c r="B12" i="67"/>
  <c r="M27" i="15"/>
  <c r="E8" i="67"/>
  <c r="B9" i="67"/>
  <c r="M11" i="44"/>
  <c r="M28" i="44"/>
  <c r="N3" i="65"/>
  <c r="F8" i="44"/>
  <c r="F43" i="44"/>
  <c r="M6" i="15"/>
  <c r="F42" i="15"/>
  <c r="F40" i="15"/>
  <c r="F38" i="44"/>
  <c r="M23" i="44"/>
  <c r="F28" i="44"/>
  <c r="N4" i="65"/>
  <c r="M8" i="15"/>
  <c r="B10" i="67"/>
  <c r="B14" i="67"/>
  <c r="L48" i="15"/>
  <c r="F39" i="44"/>
  <c r="J17" i="44"/>
  <c r="E10" i="67"/>
  <c r="M26" i="44"/>
  <c r="F9" i="15"/>
  <c r="J15" i="15"/>
  <c r="M9" i="15"/>
  <c r="F13" i="15"/>
  <c r="L47" i="15"/>
  <c r="F13" i="67"/>
  <c r="M26" i="15"/>
  <c r="J36" i="15"/>
  <c r="F6" i="15"/>
  <c r="M28" i="15"/>
  <c r="E12" i="67"/>
  <c r="M29" i="15"/>
  <c r="F40" i="44"/>
  <c r="M31" i="44"/>
  <c r="F37" i="44"/>
  <c r="F9" i="67"/>
  <c r="F9" i="44"/>
  <c r="M8" i="44"/>
  <c r="M30" i="44"/>
  <c r="M10" i="44"/>
  <c r="N6" i="65"/>
  <c r="F14" i="67"/>
  <c r="B11" i="67"/>
  <c r="F16" i="15"/>
  <c r="N5" i="65"/>
  <c r="F18" i="44"/>
  <c r="F46" i="44"/>
  <c r="C19" i="44"/>
  <c r="L49" i="44"/>
  <c r="F15" i="44"/>
  <c r="F26" i="15"/>
  <c r="L48" i="44"/>
  <c r="E14" i="67"/>
  <c r="M24" i="15"/>
  <c r="F36" i="15"/>
  <c r="N7" i="65"/>
  <c r="F10" i="67"/>
  <c r="F11" i="44"/>
  <c r="B13" i="67"/>
  <c r="F43" i="15"/>
  <c r="F11" i="67"/>
  <c r="M22" i="15"/>
  <c r="M29" i="44"/>
  <c r="M23" i="15"/>
  <c r="E13" i="67"/>
  <c r="F10" i="44"/>
  <c r="F8" i="67"/>
  <c r="F37" i="15"/>
  <c r="F45" i="44"/>
  <c r="E11" i="67"/>
  <c r="E9" i="67"/>
  <c r="AC44" i="39" l="1"/>
  <c r="AB43" i="39"/>
  <c r="G5" i="3"/>
  <c r="B3" i="3" s="1"/>
  <c r="E572" i="3" s="1"/>
  <c r="AC10" i="33"/>
  <c r="W10" i="33"/>
  <c r="U41" i="33"/>
  <c r="AB41" i="33"/>
  <c r="F34" i="44"/>
  <c r="F27" i="43"/>
  <c r="F29" i="12"/>
  <c r="D86" i="9"/>
  <c r="F31" i="43"/>
  <c r="F28" i="15"/>
  <c r="W16" i="40"/>
  <c r="AC16" i="40"/>
  <c r="AB47" i="39"/>
  <c r="U47" i="39"/>
  <c r="AA41" i="40"/>
  <c r="S41" i="40"/>
  <c r="AB15" i="40"/>
  <c r="U15" i="40"/>
  <c r="AC14" i="39"/>
  <c r="W14" i="39"/>
  <c r="AB22" i="35"/>
  <c r="U22" i="35"/>
  <c r="S37" i="39"/>
  <c r="AA37" i="39"/>
  <c r="AB39" i="39"/>
  <c r="U39" i="39"/>
  <c r="AB11" i="36"/>
  <c r="U11" i="36"/>
  <c r="AB32" i="37"/>
  <c r="U32" i="37"/>
  <c r="W32" i="34"/>
  <c r="AC32" i="34"/>
  <c r="AB32" i="34"/>
  <c r="U32" i="34"/>
  <c r="W14" i="34"/>
  <c r="AC14" i="34"/>
  <c r="U13" i="33"/>
  <c r="AB13" i="33"/>
  <c r="AA35" i="33"/>
  <c r="S35" i="33"/>
  <c r="AA32" i="33"/>
  <c r="S32" i="33"/>
  <c r="AA10" i="33"/>
  <c r="S10" i="33"/>
  <c r="AA12" i="37"/>
  <c r="S12" i="37"/>
  <c r="AC12" i="37"/>
  <c r="W12" i="37"/>
  <c r="W37" i="21"/>
  <c r="AC37" i="21"/>
  <c r="AA17" i="37"/>
  <c r="S17" i="37"/>
  <c r="S23" i="37"/>
  <c r="AA23" i="37"/>
  <c r="AZ492" i="3"/>
  <c r="AZ508" i="3"/>
  <c r="AZ493" i="3"/>
  <c r="AZ505" i="3"/>
  <c r="AC36" i="37"/>
  <c r="W36" i="37"/>
  <c r="AC13" i="37"/>
  <c r="W13" i="37"/>
  <c r="AA25" i="36"/>
  <c r="S25" i="36"/>
  <c r="AC35" i="35"/>
  <c r="W35" i="35"/>
  <c r="AA25" i="35"/>
  <c r="S25" i="35"/>
  <c r="AA47" i="34"/>
  <c r="S47" i="34"/>
  <c r="AB31" i="34"/>
  <c r="U31" i="34"/>
  <c r="U29" i="34"/>
  <c r="AB29" i="34"/>
  <c r="AB46" i="33"/>
  <c r="U46" i="33"/>
  <c r="AC46" i="33"/>
  <c r="W46" i="33"/>
  <c r="U40" i="37"/>
  <c r="AB40" i="37"/>
  <c r="AC31" i="33"/>
  <c r="W31" i="33"/>
  <c r="S13" i="33"/>
  <c r="AA13" i="33"/>
  <c r="AA45" i="21"/>
  <c r="S45" i="21"/>
  <c r="S31" i="21"/>
  <c r="AA31" i="21"/>
  <c r="U29" i="21"/>
  <c r="AB29" i="21"/>
  <c r="AA27" i="21"/>
  <c r="S27" i="21"/>
  <c r="AB27" i="21"/>
  <c r="U27" i="21"/>
  <c r="S27" i="36"/>
  <c r="AA27" i="36"/>
  <c r="AB10" i="36"/>
  <c r="U10" i="36"/>
  <c r="AB46" i="21"/>
  <c r="U46" i="21"/>
  <c r="AB28" i="21"/>
  <c r="U28" i="21"/>
  <c r="AA14" i="21"/>
  <c r="S14" i="21"/>
  <c r="S19" i="33"/>
  <c r="AA19" i="33"/>
  <c r="AB39" i="37"/>
  <c r="U39" i="37"/>
  <c r="S39" i="37"/>
  <c r="AA39" i="37"/>
  <c r="AA26" i="21"/>
  <c r="S26" i="21"/>
  <c r="AC8" i="21"/>
  <c r="W8" i="21"/>
  <c r="W40" i="21"/>
  <c r="AC40" i="21"/>
  <c r="S36" i="21"/>
  <c r="AA36" i="21"/>
  <c r="BA570" i="3"/>
  <c r="AZ570" i="3" s="1"/>
  <c r="BC5" i="3"/>
  <c r="BL13" i="3"/>
  <c r="BA13" i="3"/>
  <c r="BA5" i="3" s="1"/>
  <c r="E27" i="6" s="1"/>
  <c r="W36" i="21"/>
  <c r="AC36" i="21"/>
  <c r="B73" i="46"/>
  <c r="C29" i="39"/>
  <c r="J26" i="33"/>
  <c r="F26" i="33"/>
  <c r="AC8" i="34"/>
  <c r="W8" i="34"/>
  <c r="U45" i="33"/>
  <c r="AB45" i="33"/>
  <c r="E29" i="6"/>
  <c r="K15" i="1" s="1"/>
  <c r="G72" i="39"/>
  <c r="S7" i="21"/>
  <c r="L27" i="6"/>
  <c r="W19" i="37"/>
  <c r="W37" i="40"/>
  <c r="M18" i="15"/>
  <c r="AC23" i="21"/>
  <c r="AA32" i="37"/>
  <c r="AB14" i="35"/>
  <c r="M20" i="44"/>
  <c r="F32" i="15"/>
  <c r="F59" i="15" s="1"/>
  <c r="U14" i="34"/>
  <c r="U11" i="35"/>
  <c r="AB44" i="39"/>
  <c r="W29" i="35"/>
  <c r="AA41" i="33"/>
  <c r="AC23" i="40"/>
  <c r="W23" i="40"/>
  <c r="F71" i="9"/>
  <c r="W14" i="40"/>
  <c r="AC14" i="40"/>
  <c r="W47" i="39"/>
  <c r="AC47" i="39"/>
  <c r="AB41" i="40"/>
  <c r="U41" i="40"/>
  <c r="AA38" i="40"/>
  <c r="S38" i="40"/>
  <c r="AZ481" i="3"/>
  <c r="U37" i="39"/>
  <c r="AB37" i="39"/>
  <c r="F29" i="39"/>
  <c r="AA29" i="39" s="1"/>
  <c r="F103" i="39"/>
  <c r="G103" i="39" s="1"/>
  <c r="S11" i="36"/>
  <c r="AA11" i="36"/>
  <c r="AC32" i="35"/>
  <c r="W32" i="35"/>
  <c r="AC46" i="34"/>
  <c r="W46" i="34"/>
  <c r="W30" i="34"/>
  <c r="AC30" i="34"/>
  <c r="AB30" i="34"/>
  <c r="U30" i="34"/>
  <c r="AC12" i="34"/>
  <c r="W12" i="34"/>
  <c r="W13" i="33"/>
  <c r="AC13" i="33"/>
  <c r="AB19" i="33"/>
  <c r="U19" i="33"/>
  <c r="S11" i="33"/>
  <c r="AA11" i="33"/>
  <c r="AB11" i="37"/>
  <c r="U11" i="37"/>
  <c r="W16" i="35"/>
  <c r="AC16" i="35"/>
  <c r="AZ370" i="3"/>
  <c r="AZ356" i="3"/>
  <c r="AZ324" i="3"/>
  <c r="AZ381" i="3"/>
  <c r="AZ358" i="3"/>
  <c r="AZ355" i="3"/>
  <c r="AZ15" i="3"/>
  <c r="U15" i="37"/>
  <c r="AB15" i="37"/>
  <c r="AB12" i="37"/>
  <c r="U12" i="37"/>
  <c r="S11" i="37"/>
  <c r="AA11" i="37"/>
  <c r="S36" i="35"/>
  <c r="AA36" i="35"/>
  <c r="AB19" i="34"/>
  <c r="U19" i="34"/>
  <c r="S37" i="21"/>
  <c r="AA37" i="21"/>
  <c r="AB43" i="33"/>
  <c r="W23" i="37"/>
  <c r="AC23" i="37"/>
  <c r="U17" i="37"/>
  <c r="AB17" i="37"/>
  <c r="AZ520" i="3"/>
  <c r="AZ544" i="3"/>
  <c r="AZ554" i="3"/>
  <c r="AZ558" i="3"/>
  <c r="AZ562" i="3"/>
  <c r="AZ487" i="3"/>
  <c r="W14" i="37"/>
  <c r="AC14" i="37"/>
  <c r="AA14" i="37"/>
  <c r="S14" i="37"/>
  <c r="U28" i="37"/>
  <c r="AB28" i="37"/>
  <c r="W25" i="36"/>
  <c r="AC25" i="36"/>
  <c r="S35" i="35"/>
  <c r="AA35" i="35"/>
  <c r="AB25" i="35"/>
  <c r="U25" i="35"/>
  <c r="AC13" i="35"/>
  <c r="W13" i="35"/>
  <c r="AC31" i="34"/>
  <c r="W31" i="34"/>
  <c r="AA13" i="34"/>
  <c r="S13" i="34"/>
  <c r="U13" i="34"/>
  <c r="AB13" i="34"/>
  <c r="S44" i="33"/>
  <c r="AA44" i="33"/>
  <c r="U44" i="33"/>
  <c r="AB44" i="33"/>
  <c r="U37" i="37"/>
  <c r="AB37" i="37"/>
  <c r="AB13" i="36"/>
  <c r="U13" i="36"/>
  <c r="S27" i="33"/>
  <c r="AA27" i="33"/>
  <c r="W45" i="21"/>
  <c r="AC45" i="21"/>
  <c r="W27" i="21"/>
  <c r="AC27" i="21"/>
  <c r="AA13" i="21"/>
  <c r="S13" i="21"/>
  <c r="U13" i="21"/>
  <c r="AB13" i="21"/>
  <c r="S28" i="36"/>
  <c r="AA28" i="36"/>
  <c r="AA44" i="21"/>
  <c r="S44" i="21"/>
  <c r="AC44" i="21"/>
  <c r="W44" i="21"/>
  <c r="U14" i="21"/>
  <c r="AB14" i="21"/>
  <c r="AA19" i="34"/>
  <c r="S19" i="34"/>
  <c r="W26" i="21"/>
  <c r="AC26" i="21"/>
  <c r="AC10" i="21"/>
  <c r="W10" i="21"/>
  <c r="AB35" i="21"/>
  <c r="U35" i="21"/>
  <c r="BL572" i="3"/>
  <c r="AZ572" i="3" s="1"/>
  <c r="BL571" i="3"/>
  <c r="AZ571" i="3" s="1"/>
  <c r="BS5" i="3"/>
  <c r="F28" i="6" s="1"/>
  <c r="BJ5" i="3"/>
  <c r="BD5" i="3"/>
  <c r="F9" i="21"/>
  <c r="H9" i="21"/>
  <c r="D58" i="33"/>
  <c r="E58" i="33" s="1"/>
  <c r="F58" i="33" s="1"/>
  <c r="G58" i="33" s="1"/>
  <c r="H58" i="33" s="1"/>
  <c r="I58" i="33" s="1"/>
  <c r="J58" i="33" s="1"/>
  <c r="K58" i="33" s="1"/>
  <c r="L58" i="33" s="1"/>
  <c r="M58" i="33" s="1"/>
  <c r="N58" i="33" s="1"/>
  <c r="O58" i="33" s="1"/>
  <c r="F28" i="33"/>
  <c r="J28" i="33"/>
  <c r="H5" i="3"/>
  <c r="BF5" i="3"/>
  <c r="J9" i="33"/>
  <c r="H9" i="33"/>
  <c r="F9" i="33"/>
  <c r="F9" i="36"/>
  <c r="H9" i="36"/>
  <c r="H24" i="36"/>
  <c r="E124" i="39"/>
  <c r="F124" i="39" s="1"/>
  <c r="G124" i="39" s="1"/>
  <c r="H124" i="39" s="1"/>
  <c r="I124" i="39" s="1"/>
  <c r="J124" i="39" s="1"/>
  <c r="K124" i="39" s="1"/>
  <c r="L124" i="39" s="1"/>
  <c r="M124" i="39" s="1"/>
  <c r="AZ396" i="3"/>
  <c r="AZ412" i="3"/>
  <c r="AZ419" i="3"/>
  <c r="AZ429" i="3"/>
  <c r="AZ445" i="3"/>
  <c r="AZ448" i="3"/>
  <c r="AZ472" i="3"/>
  <c r="AZ210" i="3"/>
  <c r="AZ226" i="3"/>
  <c r="AZ238" i="3"/>
  <c r="AZ242" i="3"/>
  <c r="AZ254" i="3"/>
  <c r="H42" i="39"/>
  <c r="F42" i="39"/>
  <c r="AZ389" i="3"/>
  <c r="AZ400" i="3"/>
  <c r="AZ404" i="3"/>
  <c r="AZ435" i="3"/>
  <c r="AZ440" i="3"/>
  <c r="AZ480" i="3"/>
  <c r="AZ368" i="3"/>
  <c r="AZ384" i="3"/>
  <c r="AZ386" i="3"/>
  <c r="AZ214" i="3"/>
  <c r="AZ218" i="3"/>
  <c r="AZ234" i="3"/>
  <c r="AZ156" i="3"/>
  <c r="AZ159" i="3"/>
  <c r="AZ172" i="3"/>
  <c r="AZ175" i="3"/>
  <c r="AZ259" i="3"/>
  <c r="AZ264" i="3"/>
  <c r="AZ271" i="3"/>
  <c r="AZ275" i="3"/>
  <c r="AZ287" i="3"/>
  <c r="AZ291" i="3"/>
  <c r="AZ113" i="3"/>
  <c r="AZ202" i="3"/>
  <c r="AZ21" i="3"/>
  <c r="AZ28" i="3"/>
  <c r="AZ34" i="3"/>
  <c r="AZ37" i="3"/>
  <c r="AZ44" i="3"/>
  <c r="AZ50" i="3"/>
  <c r="AZ53" i="3"/>
  <c r="AZ60" i="3"/>
  <c r="AZ72" i="3"/>
  <c r="AZ77" i="3"/>
  <c r="AZ96" i="3"/>
  <c r="AZ100" i="3"/>
  <c r="AZ103" i="3"/>
  <c r="AZ105" i="3"/>
  <c r="AZ109" i="3"/>
  <c r="D1" i="57"/>
  <c r="E10" i="57" s="1"/>
  <c r="I21" i="57"/>
  <c r="D36" i="59"/>
  <c r="C37" i="59"/>
  <c r="D52" i="59"/>
  <c r="O52" i="59"/>
  <c r="O51" i="59"/>
  <c r="C33" i="59"/>
  <c r="D33" i="59" s="1"/>
  <c r="D32" i="59"/>
  <c r="D44" i="59"/>
  <c r="C45" i="59"/>
  <c r="D53" i="59"/>
  <c r="F16" i="59"/>
  <c r="F17" i="59" s="1"/>
  <c r="F18" i="59" s="1"/>
  <c r="V18" i="59" s="1"/>
  <c r="E24" i="59"/>
  <c r="E25" i="59" s="1"/>
  <c r="E26" i="59" s="1"/>
  <c r="U26" i="59" s="1"/>
  <c r="Y9" i="59"/>
  <c r="Z9" i="59" s="1"/>
  <c r="AB9" i="59"/>
  <c r="F5" i="59"/>
  <c r="V6" i="59"/>
  <c r="AA9" i="59"/>
  <c r="Y8" i="59"/>
  <c r="Z8" i="59" s="1"/>
  <c r="AB8" i="59"/>
  <c r="Y7" i="59"/>
  <c r="Z7" i="59" s="1"/>
  <c r="AB7" i="59"/>
  <c r="B74" i="46"/>
  <c r="C31" i="39"/>
  <c r="S27" i="40"/>
  <c r="S21" i="34"/>
  <c r="E20" i="59"/>
  <c r="E21" i="59" s="1"/>
  <c r="E22" i="59" s="1"/>
  <c r="U22" i="59" s="1"/>
  <c r="F20" i="59"/>
  <c r="F21" i="59" s="1"/>
  <c r="F22" i="59" s="1"/>
  <c r="V22" i="59" s="1"/>
  <c r="S14" i="59"/>
  <c r="B13" i="59"/>
  <c r="B12" i="59" s="1"/>
  <c r="U14" i="59"/>
  <c r="E13" i="59"/>
  <c r="E12" i="59" s="1"/>
  <c r="N4" i="63"/>
  <c r="B21" i="63"/>
  <c r="C8" i="59"/>
  <c r="D8" i="59" s="1"/>
  <c r="D9" i="59"/>
  <c r="E5" i="59"/>
  <c r="U6" i="59"/>
  <c r="X9" i="59"/>
  <c r="AA8" i="59"/>
  <c r="X7" i="59"/>
  <c r="AA7" i="59"/>
  <c r="AB5" i="59"/>
  <c r="A28" i="64"/>
  <c r="V10" i="59"/>
  <c r="K76" i="9"/>
  <c r="K77" i="9" s="1"/>
  <c r="K79" i="9" s="1"/>
  <c r="K81" i="9" s="1"/>
  <c r="C14" i="59"/>
  <c r="AA10" i="59"/>
  <c r="X10" i="59"/>
  <c r="J51" i="15"/>
  <c r="X8" i="59"/>
  <c r="X6" i="59"/>
  <c r="AA6" i="59"/>
  <c r="AA5" i="59"/>
  <c r="F14" i="59"/>
  <c r="Y10" i="59"/>
  <c r="Z10" i="59" s="1"/>
  <c r="AB10" i="59"/>
  <c r="Y6" i="59"/>
  <c r="Z6" i="59" s="1"/>
  <c r="AB6" i="59"/>
  <c r="X5" i="59"/>
  <c r="Y5" i="59"/>
  <c r="Z5" i="59" s="1"/>
  <c r="S45" i="39"/>
  <c r="W45" i="39"/>
  <c r="C18" i="9"/>
  <c r="D18" i="9" s="1"/>
  <c r="M44" i="9" s="1"/>
  <c r="E26" i="31"/>
  <c r="G6" i="31"/>
  <c r="E25" i="31"/>
  <c r="J34" i="39"/>
  <c r="AC34" i="39" s="1"/>
  <c r="G109" i="39"/>
  <c r="H34" i="39"/>
  <c r="F107" i="39"/>
  <c r="G107" i="39" s="1"/>
  <c r="H107" i="39" s="1"/>
  <c r="I107" i="39" s="1"/>
  <c r="J107" i="39" s="1"/>
  <c r="K107" i="39" s="1"/>
  <c r="L107" i="39" s="1"/>
  <c r="M107" i="39" s="1"/>
  <c r="H33" i="39"/>
  <c r="U33" i="39" s="1"/>
  <c r="F33" i="39"/>
  <c r="J33" i="39"/>
  <c r="AC43" i="39"/>
  <c r="S43" i="39"/>
  <c r="F41" i="39"/>
  <c r="AA41" i="39" s="1"/>
  <c r="J41" i="39"/>
  <c r="AC41" i="39" s="1"/>
  <c r="F122" i="39"/>
  <c r="G122" i="39" s="1"/>
  <c r="H122" i="39" s="1"/>
  <c r="I122" i="39" s="1"/>
  <c r="J122" i="39" s="1"/>
  <c r="K122" i="39" s="1"/>
  <c r="L122" i="39" s="1"/>
  <c r="M122" i="39" s="1"/>
  <c r="H41" i="39"/>
  <c r="AB41" i="39" s="1"/>
  <c r="F101" i="39"/>
  <c r="G101" i="39" s="1"/>
  <c r="H27" i="39"/>
  <c r="J27" i="39"/>
  <c r="AC27" i="39" s="1"/>
  <c r="J25" i="39"/>
  <c r="AC25" i="39" s="1"/>
  <c r="F99" i="39"/>
  <c r="G99" i="39" s="1"/>
  <c r="H25" i="39"/>
  <c r="U25" i="39" s="1"/>
  <c r="F25" i="39"/>
  <c r="AA25" i="39" s="1"/>
  <c r="AB21" i="39"/>
  <c r="F93" i="39"/>
  <c r="J19" i="39"/>
  <c r="W19" i="39" s="1"/>
  <c r="H19" i="39"/>
  <c r="W41" i="39"/>
  <c r="S31" i="39"/>
  <c r="S29" i="39"/>
  <c r="W29" i="39"/>
  <c r="AB29" i="39"/>
  <c r="W31" i="39"/>
  <c r="S27" i="39"/>
  <c r="W27" i="39"/>
  <c r="AB25" i="39"/>
  <c r="W23" i="39"/>
  <c r="S23" i="39"/>
  <c r="AC17" i="39"/>
  <c r="S17" i="39"/>
  <c r="S15" i="39"/>
  <c r="U14" i="39"/>
  <c r="AB15" i="39"/>
  <c r="AB16" i="39"/>
  <c r="A30" i="64"/>
  <c r="A30" i="51"/>
  <c r="B22" i="63" s="1"/>
  <c r="P75" i="15"/>
  <c r="F72" i="9"/>
  <c r="F66" i="9"/>
  <c r="P72" i="9" s="1"/>
  <c r="D23" i="15"/>
  <c r="BL5" i="3"/>
  <c r="AZ13" i="3"/>
  <c r="F30" i="6"/>
  <c r="A18" i="51"/>
  <c r="B14" i="63" s="1"/>
  <c r="K5" i="54"/>
  <c r="A18" i="64"/>
  <c r="B74" i="63" s="1"/>
  <c r="C53" i="10"/>
  <c r="L5" i="54"/>
  <c r="B39" i="63" s="1"/>
  <c r="T41" i="4"/>
  <c r="A17" i="64" s="1"/>
  <c r="A2" i="55"/>
  <c r="B55" i="63" s="1"/>
  <c r="K17" i="4"/>
  <c r="A22" i="51" s="1"/>
  <c r="B16" i="63" s="1"/>
  <c r="R49" i="21"/>
  <c r="E48" i="21"/>
  <c r="E53" i="21" s="1"/>
  <c r="F53" i="21" s="1"/>
  <c r="U7" i="2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H73" i="46"/>
  <c r="H50" i="46"/>
  <c r="H48" i="46"/>
  <c r="F35" i="46"/>
  <c r="I17" i="46"/>
  <c r="H63" i="46"/>
  <c r="I101" i="46"/>
  <c r="I102" i="46" s="1"/>
  <c r="M101" i="46"/>
  <c r="M107" i="46" s="1"/>
  <c r="N101" i="46"/>
  <c r="N105" i="46" s="1"/>
  <c r="AC11" i="46"/>
  <c r="AC13" i="46" s="1"/>
  <c r="AD11" i="46"/>
  <c r="AJ11" i="46"/>
  <c r="H64" i="46"/>
  <c r="H66" i="46"/>
  <c r="D100" i="46"/>
  <c r="F109" i="46"/>
  <c r="M103" i="46"/>
  <c r="H62" i="46"/>
  <c r="AF12" i="46"/>
  <c r="K100" i="46"/>
  <c r="M109" i="46"/>
  <c r="AB12" i="46"/>
  <c r="AJ12" i="46"/>
  <c r="F102"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F31" i="15"/>
  <c r="M19" i="44"/>
  <c r="M17" i="15"/>
  <c r="C15" i="12"/>
  <c r="F33" i="12"/>
  <c r="D21" i="12"/>
  <c r="J3" i="65"/>
  <c r="J7" i="65"/>
  <c r="J5" i="65"/>
  <c r="C16" i="15"/>
  <c r="C18" i="44"/>
  <c r="I3" i="65"/>
  <c r="I4" i="65"/>
  <c r="I6" i="65"/>
  <c r="J4" i="65"/>
  <c r="J6" i="65"/>
  <c r="I5" i="65"/>
  <c r="I7" i="65"/>
  <c r="AC19" i="39" l="1"/>
  <c r="AH13" i="46"/>
  <c r="I106" i="46"/>
  <c r="F105" i="46"/>
  <c r="F104" i="46"/>
  <c r="F107" i="46"/>
  <c r="G17" i="46"/>
  <c r="C16" i="46" s="1"/>
  <c r="W25" i="39"/>
  <c r="F13" i="59"/>
  <c r="F12" i="59" s="1"/>
  <c r="V14" i="59"/>
  <c r="D14" i="59"/>
  <c r="T14" i="59"/>
  <c r="C13" i="59"/>
  <c r="C38" i="59"/>
  <c r="D37" i="59"/>
  <c r="AB42" i="39"/>
  <c r="U42" i="39"/>
  <c r="AB24" i="36"/>
  <c r="U24" i="36"/>
  <c r="AA9" i="36"/>
  <c r="S9" i="36"/>
  <c r="AB9" i="33"/>
  <c r="U9" i="33"/>
  <c r="AC28" i="33"/>
  <c r="W28" i="33"/>
  <c r="J7" i="33"/>
  <c r="AB9" i="21"/>
  <c r="U9" i="21"/>
  <c r="AC26" i="33"/>
  <c r="W26" i="33"/>
  <c r="AZ5" i="3"/>
  <c r="D45" i="59"/>
  <c r="C46" i="59"/>
  <c r="AA42" i="39"/>
  <c r="S42" i="39"/>
  <c r="AB9" i="36"/>
  <c r="U9" i="36"/>
  <c r="S9" i="33"/>
  <c r="AA9" i="33"/>
  <c r="W9" i="33"/>
  <c r="AC9" i="33"/>
  <c r="AA28" i="33"/>
  <c r="S28" i="33"/>
  <c r="S9" i="21"/>
  <c r="AA9" i="21"/>
  <c r="S26" i="33"/>
  <c r="AA26" i="33"/>
  <c r="E297"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s="1"/>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M43" i="9"/>
  <c r="H6" i="31"/>
  <c r="I6" i="31" s="1"/>
  <c r="J6" i="31" s="1"/>
  <c r="K6" i="31" s="1"/>
  <c r="L6" i="31" s="1"/>
  <c r="M6" i="31" s="1"/>
  <c r="N6" i="31" s="1"/>
  <c r="O6" i="31" s="1"/>
  <c r="P6" i="31" s="1"/>
  <c r="Q6" i="31" s="1"/>
  <c r="R6" i="31" s="1"/>
  <c r="S6" i="31" s="1"/>
  <c r="E27" i="31"/>
  <c r="U41" i="39"/>
  <c r="S41" i="39"/>
  <c r="AB33" i="39"/>
  <c r="W34" i="39"/>
  <c r="H109" i="39"/>
  <c r="I109" i="39" s="1"/>
  <c r="J109" i="39" s="1"/>
  <c r="K109" i="39" s="1"/>
  <c r="L109" i="39" s="1"/>
  <c r="M109" i="39" s="1"/>
  <c r="F34" i="39"/>
  <c r="AB34" i="39"/>
  <c r="U34" i="39"/>
  <c r="W33" i="39"/>
  <c r="AC33" i="39"/>
  <c r="S33" i="39"/>
  <c r="AA33" i="39"/>
  <c r="AB27" i="39"/>
  <c r="U27" i="39"/>
  <c r="S25" i="39"/>
  <c r="U19" i="39"/>
  <c r="AB19" i="39"/>
  <c r="F19" i="39"/>
  <c r="G93" i="39"/>
  <c r="C34" i="12"/>
  <c r="D33" i="12" s="1"/>
  <c r="C21" i="12"/>
  <c r="H103" i="46"/>
  <c r="A17" i="51"/>
  <c r="B13" i="63" s="1"/>
  <c r="B38" i="63"/>
  <c r="A3" i="55"/>
  <c r="B56" i="63" s="1"/>
  <c r="A25" i="64"/>
  <c r="A25" i="51"/>
  <c r="B18" i="63" s="1"/>
  <c r="C49" i="21"/>
  <c r="B3" i="21" s="1"/>
  <c r="B2" i="21" s="1"/>
  <c r="C48" i="2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D16" i="12"/>
  <c r="E2" i="65"/>
  <c r="AE6" i="1"/>
  <c r="C17" i="15"/>
  <c r="E3" i="65"/>
  <c r="O28" i="46" l="1"/>
  <c r="G20" i="46" s="1"/>
  <c r="AC6" i="3"/>
  <c r="E6" i="3" s="1"/>
  <c r="AC7" i="33"/>
  <c r="V48" i="33" s="1"/>
  <c r="I48" i="33" s="1"/>
  <c r="I52" i="33" s="1"/>
  <c r="J52" i="33" s="1"/>
  <c r="W7" i="33"/>
  <c r="D38" i="59"/>
  <c r="T38" i="59"/>
  <c r="S16" i="1"/>
  <c r="D46" i="59"/>
  <c r="T46" i="59"/>
  <c r="E3" i="6"/>
  <c r="AY6" i="3"/>
  <c r="D13" i="59"/>
  <c r="C12" i="59"/>
  <c r="D12" i="59" s="1"/>
  <c r="AA34" i="39"/>
  <c r="S34" i="39"/>
  <c r="S19" i="39"/>
  <c r="AA19" i="39"/>
  <c r="D19" i="12"/>
  <c r="C19" i="12" s="1"/>
  <c r="C16" i="12"/>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K70" i="39"/>
  <c r="J72" i="39"/>
  <c r="G52" i="37"/>
  <c r="H7" i="34"/>
  <c r="J7" i="34"/>
  <c r="AA12" i="40"/>
  <c r="S12" i="40"/>
  <c r="S12" i="39"/>
  <c r="AA12" i="39"/>
  <c r="W12" i="40"/>
  <c r="AC12" i="40"/>
  <c r="R49" i="33"/>
  <c r="E48" i="33"/>
  <c r="G48" i="35"/>
  <c r="G52" i="33"/>
  <c r="H52"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D22" i="12"/>
  <c r="L52" i="44"/>
  <c r="F41" i="15"/>
  <c r="D3" i="6" l="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F7" i="36"/>
  <c r="G53" i="33"/>
  <c r="H53" i="33" s="1"/>
  <c r="D10" i="11"/>
  <c r="C21" i="4"/>
  <c r="O5" i="54" s="1"/>
  <c r="B45" i="63" s="1"/>
  <c r="L38" i="9"/>
  <c r="B14" i="66" s="1"/>
  <c r="B1" i="66" s="1"/>
  <c r="D16" i="43"/>
  <c r="C16" i="43" s="1"/>
  <c r="E6" i="6"/>
  <c r="D13" i="11" s="1"/>
  <c r="C13" i="11" s="1"/>
  <c r="M20" i="46"/>
  <c r="C19" i="46" s="1"/>
  <c r="T7" i="46" s="1"/>
  <c r="V7" i="46" s="1"/>
  <c r="F68" i="15"/>
  <c r="J29" i="15"/>
  <c r="C22" i="12"/>
  <c r="C20" i="12" s="1"/>
  <c r="F21" i="43"/>
  <c r="C23" i="43" s="1"/>
  <c r="D21" i="43" s="1"/>
  <c r="F26" i="12"/>
  <c r="C27" i="12" s="1"/>
  <c r="D26" i="12" s="1"/>
  <c r="C32" i="12" s="1"/>
  <c r="D30" i="12" s="1"/>
  <c r="F26" i="44"/>
  <c r="C26" i="44" s="1"/>
  <c r="T6" i="46"/>
  <c r="V6" i="46" s="1"/>
  <c r="T3" i="46"/>
  <c r="V3" i="46" s="1"/>
  <c r="T5" i="46"/>
  <c r="V5" i="46" s="1"/>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Q69" i="44"/>
  <c r="L58" i="44"/>
  <c r="L61" i="44" s="1"/>
  <c r="L47" i="44" s="1"/>
  <c r="C32" i="15"/>
  <c r="C38" i="15"/>
  <c r="B5" i="11"/>
  <c r="B3" i="11"/>
  <c r="B4" i="11"/>
  <c r="C59" i="15"/>
  <c r="C65" i="15"/>
  <c r="Q49" i="44"/>
  <c r="Q55" i="44" s="1"/>
  <c r="Q67" i="44"/>
  <c r="Q58" i="44"/>
  <c r="C16" i="44"/>
  <c r="C14" i="15"/>
  <c r="C39" i="46" l="1"/>
  <c r="C34" i="46"/>
  <c r="C37" i="46"/>
  <c r="C33" i="46"/>
  <c r="C36" i="46"/>
  <c r="E63" i="40"/>
  <c r="D19" i="6"/>
  <c r="D25" i="6"/>
  <c r="D13" i="6"/>
  <c r="H24" i="6"/>
  <c r="D23" i="6"/>
  <c r="D28" i="6"/>
  <c r="D8" i="6"/>
  <c r="K38" i="9"/>
  <c r="C14" i="66" s="1"/>
  <c r="B2" i="66" s="1"/>
  <c r="D26" i="6"/>
  <c r="D11" i="6"/>
  <c r="H20" i="6"/>
  <c r="D9" i="6"/>
  <c r="D29" i="6"/>
  <c r="D15" i="6"/>
  <c r="C22" i="4"/>
  <c r="D21" i="6"/>
  <c r="D10" i="6"/>
  <c r="H21" i="6"/>
  <c r="D6" i="6"/>
  <c r="D14" i="6"/>
  <c r="D20" i="6"/>
  <c r="R20" i="6" s="1"/>
  <c r="H23" i="6"/>
  <c r="D24" i="6"/>
  <c r="R24" i="6" s="1"/>
  <c r="D22" i="6"/>
  <c r="D12" i="6"/>
  <c r="H25" i="6"/>
  <c r="D5" i="6"/>
  <c r="H22" i="6"/>
  <c r="H26" i="6"/>
  <c r="T2" i="46"/>
  <c r="V2" i="46" s="1"/>
  <c r="T4" i="46"/>
  <c r="V4" i="46" s="1"/>
  <c r="P14" i="1"/>
  <c r="P16" i="1"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R22" i="6" l="1"/>
  <c r="A6" i="51"/>
  <c r="B7" i="63" s="1"/>
  <c r="A20" i="64"/>
  <c r="N5" i="54"/>
  <c r="B43" i="63" s="1"/>
  <c r="A6" i="64"/>
  <c r="A20" i="51"/>
  <c r="B15" i="63" s="1"/>
  <c r="R26" i="6"/>
  <c r="D16" i="6"/>
  <c r="R23" i="6"/>
  <c r="D27" i="6"/>
  <c r="D31" i="6" s="1"/>
  <c r="I6" i="6" s="1"/>
  <c r="E33" i="46"/>
  <c r="G33" i="46"/>
  <c r="I33" i="46" s="1"/>
  <c r="C27" i="46" s="1"/>
  <c r="E34" i="46"/>
  <c r="G34" i="46"/>
  <c r="I34" i="46" s="1"/>
  <c r="R21" i="6"/>
  <c r="D30" i="6"/>
  <c r="R25" i="6"/>
  <c r="E36" i="46"/>
  <c r="G36" i="46"/>
  <c r="I36" i="46" s="1"/>
  <c r="G37" i="46"/>
  <c r="I37" i="46" s="1"/>
  <c r="E37" i="46"/>
  <c r="G39" i="46"/>
  <c r="I39" i="46" s="1"/>
  <c r="E39" i="46"/>
  <c r="C14" i="12"/>
  <c r="C17" i="12"/>
  <c r="C26"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E7" i="67"/>
  <c r="E4" i="67" l="1"/>
  <c r="I5" i="6"/>
  <c r="C18" i="12"/>
  <c r="C23" i="12" s="1"/>
  <c r="R27" i="6"/>
  <c r="R6" i="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M21" i="15"/>
  <c r="B7" i="67"/>
  <c r="F35" i="15"/>
  <c r="J20" i="15" l="1"/>
  <c r="C34" i="15"/>
  <c r="F62" i="15"/>
  <c r="C61" i="15" s="1"/>
  <c r="R16" i="1"/>
  <c r="B4" i="46"/>
  <c r="B2" i="67"/>
  <c r="B4" i="67" s="1"/>
  <c r="J59" i="15"/>
  <c r="J60" i="15" s="1"/>
  <c r="Q49" i="15" s="1"/>
  <c r="C13" i="15"/>
  <c r="J35" i="15" s="1"/>
  <c r="C33" i="15"/>
  <c r="C56" i="15"/>
  <c r="C60" i="15" s="1"/>
  <c r="Q50" i="15"/>
  <c r="J19" i="15"/>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J17" i="15" l="1"/>
  <c r="C58" i="15"/>
  <c r="C31" i="15"/>
  <c r="R50" i="39"/>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C57" i="15" l="1"/>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68" i="15" l="1"/>
  <c r="F68" i="39"/>
  <c r="B2" i="39" s="1"/>
  <c r="B5" i="39" s="1"/>
  <c r="C46" i="15"/>
  <c r="Q63" i="15"/>
  <c r="Q67" i="15"/>
  <c r="L46" i="15"/>
  <c r="B2" i="15" s="1"/>
  <c r="Q76" i="15"/>
  <c r="B3" i="44"/>
  <c r="B5" i="44"/>
  <c r="B4" i="44"/>
  <c r="AA7" i="37"/>
  <c r="R42" i="37" s="1"/>
  <c r="S7" i="37"/>
  <c r="I48" i="40"/>
  <c r="J48" i="40" s="1"/>
  <c r="G48" i="40"/>
  <c r="H48" i="40" s="1"/>
  <c r="G49" i="40"/>
  <c r="H49" i="40" s="1"/>
  <c r="E44" i="40"/>
  <c r="I49" i="40" s="1"/>
  <c r="J49" i="40" s="1"/>
  <c r="R45" i="40"/>
  <c r="B3" i="39"/>
  <c r="E43" i="35"/>
  <c r="F43" i="35" s="1"/>
  <c r="E42" i="35"/>
  <c r="F42" i="35" s="1"/>
  <c r="I43" i="35"/>
  <c r="J43" i="35" s="1"/>
  <c r="C39" i="35"/>
  <c r="B3" i="35" s="1"/>
  <c r="B2" i="35" s="1"/>
  <c r="C38" i="35"/>
  <c r="H7" i="37"/>
  <c r="J7" i="37"/>
  <c r="C19" i="9"/>
  <c r="C20" i="9"/>
  <c r="B4" i="39" l="1"/>
  <c r="L43" i="9"/>
  <c r="B3" i="15"/>
  <c r="C8" i="12" s="1"/>
  <c r="C10" i="12"/>
  <c r="C6" i="12" s="1"/>
  <c r="W7" i="37"/>
  <c r="AC7" i="37"/>
  <c r="V42" i="37" s="1"/>
  <c r="I42" i="37" s="1"/>
  <c r="C45" i="40"/>
  <c r="C44" i="40"/>
  <c r="AB7" i="37"/>
  <c r="T42" i="37" s="1"/>
  <c r="G42" i="37" s="1"/>
  <c r="U7" i="37"/>
  <c r="E48" i="40"/>
  <c r="F48" i="40" s="1"/>
  <c r="E49" i="40"/>
  <c r="F49" i="40" s="1"/>
  <c r="E42" i="37"/>
  <c r="R43" i="37"/>
  <c r="C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8" i="12" l="1"/>
  <c r="C26" i="12" s="1"/>
  <c r="C31" i="12" s="1"/>
  <c r="C30" i="12" s="1"/>
  <c r="C35" i="12"/>
  <c r="C33" i="12" s="1"/>
  <c r="B5" i="40"/>
  <c r="B4" i="40"/>
  <c r="B3" i="40"/>
  <c r="C36" i="12" l="1"/>
  <c r="B2" i="12" s="1"/>
  <c r="B4" i="12" s="1"/>
  <c r="D19" i="9"/>
  <c r="G19" i="9" l="1"/>
  <c r="D22" i="9"/>
  <c r="L44" i="9"/>
  <c r="B3" i="12"/>
  <c r="B5" i="12"/>
  <c r="D21" i="9"/>
  <c r="G21" i="9" l="1"/>
  <c r="S24" i="31" s="1"/>
  <c r="Q2" i="69" s="1"/>
  <c r="O2" i="69" s="1"/>
  <c r="P2" i="69" s="1"/>
  <c r="C32" i="9"/>
  <c r="G22" i="9"/>
  <c r="N43" i="9"/>
  <c r="D20" i="9"/>
  <c r="O38" i="9" l="1"/>
  <c r="K26" i="9" s="1"/>
  <c r="C45" i="9"/>
  <c r="C42" i="9"/>
  <c r="C44" i="9" s="1"/>
  <c r="R26" i="31"/>
  <c r="S26" i="31" s="1"/>
  <c r="Q4" i="69" s="1"/>
  <c r="O4" i="69" s="1"/>
  <c r="P4" i="69" s="1"/>
  <c r="R25" i="31"/>
  <c r="S25" i="31" s="1"/>
  <c r="Q3" i="69" s="1"/>
  <c r="O3" i="69" s="1"/>
  <c r="P3" i="69" s="1"/>
  <c r="R27" i="31"/>
  <c r="S27" i="31" s="1"/>
  <c r="Q5" i="69" s="1"/>
  <c r="O5" i="69" s="1"/>
  <c r="P5" i="69" s="1"/>
  <c r="R29" i="31"/>
  <c r="S29" i="31" s="1"/>
  <c r="Q7" i="69" s="1"/>
  <c r="O7" i="69" s="1"/>
  <c r="P7" i="69" s="1"/>
  <c r="R30" i="31"/>
  <c r="S30" i="31" s="1"/>
  <c r="Q8" i="69" s="1"/>
  <c r="O8" i="69" s="1"/>
  <c r="P8" i="69" s="1"/>
  <c r="R31" i="31"/>
  <c r="S31" i="31" s="1"/>
  <c r="Q9" i="69" s="1"/>
  <c r="O9" i="69" s="1"/>
  <c r="P9" i="69" s="1"/>
  <c r="R28" i="31"/>
  <c r="S28" i="31" s="1"/>
  <c r="Q6" i="69" s="1"/>
  <c r="O6" i="69" s="1"/>
  <c r="P6" i="69" s="1"/>
  <c r="R32" i="31"/>
  <c r="S32" i="31" s="1"/>
  <c r="Q10" i="69" s="1"/>
  <c r="O10" i="69" s="1"/>
  <c r="P10" i="69" s="1"/>
  <c r="G20" i="9"/>
  <c r="O43" i="9"/>
  <c r="C33" i="9"/>
  <c r="N38" i="9" s="1"/>
  <c r="K28" i="9" s="1"/>
  <c r="C34" i="9"/>
  <c r="M38" i="9" s="1"/>
  <c r="K27" i="9" s="1"/>
  <c r="C35" i="9"/>
  <c r="F42" i="9" s="1"/>
  <c r="E42" i="9"/>
  <c r="P5" i="54" s="1"/>
  <c r="B46" i="63" s="1"/>
  <c r="K25" i="9"/>
  <c r="D63" i="9"/>
  <c r="R5" i="54" l="1"/>
  <c r="B48" i="63" s="1"/>
  <c r="N68" i="9"/>
  <c r="D14" i="66"/>
  <c r="G14" i="66"/>
  <c r="B6" i="66" s="1"/>
  <c r="N69" i="9"/>
  <c r="O39" i="9"/>
  <c r="D44" i="9"/>
  <c r="F44" i="9"/>
  <c r="E44" i="9"/>
  <c r="H14" i="66"/>
  <c r="B7" i="66" s="1"/>
  <c r="O40" i="9"/>
  <c r="D45" i="9"/>
  <c r="E45" i="9"/>
  <c r="F45" i="9"/>
  <c r="Q11" i="69"/>
  <c r="S22" i="31"/>
  <c r="B20" i="31" s="1"/>
  <c r="D42" i="9"/>
  <c r="Q5" i="54" s="1"/>
  <c r="B47" i="63" s="1"/>
  <c r="B5" i="66"/>
  <c r="E14" i="66"/>
  <c r="F14" i="66"/>
  <c r="C111" i="9"/>
  <c r="C104" i="9" s="1"/>
  <c r="C82" i="9"/>
  <c r="C81" i="9" s="1"/>
  <c r="C85" i="9" s="1"/>
  <c r="C86" i="9" s="1"/>
  <c r="D72" i="9" s="1"/>
  <c r="C103" i="9"/>
  <c r="C96" i="9"/>
  <c r="C91" i="9" s="1"/>
  <c r="D71" i="9"/>
  <c r="D66" i="9" s="1"/>
  <c r="N72" i="9" s="1"/>
  <c r="D70" i="9"/>
  <c r="D77" i="9"/>
  <c r="N75" i="9" s="1"/>
  <c r="C90" i="9"/>
  <c r="C97" i="9" s="1"/>
  <c r="M86" i="9" l="1"/>
  <c r="N86" i="9" s="1"/>
  <c r="M83" i="9"/>
  <c r="N83" i="9" s="1"/>
  <c r="M87" i="9"/>
  <c r="N87" i="9" s="1"/>
  <c r="M84" i="9"/>
  <c r="N84" i="9" s="1"/>
  <c r="M85" i="9"/>
  <c r="N85" i="9" s="1"/>
  <c r="M88" i="9"/>
  <c r="N88" i="9" s="1"/>
  <c r="R6" i="54"/>
  <c r="B50" i="63" s="1"/>
  <c r="K29" i="9"/>
  <c r="K30" i="9" s="1"/>
  <c r="C6" i="66"/>
  <c r="D6" i="66"/>
  <c r="K31" i="9"/>
  <c r="K32" i="9" s="1"/>
  <c r="R7" i="54"/>
  <c r="B52" i="63" s="1"/>
  <c r="C7" i="66"/>
  <c r="D7" i="66"/>
  <c r="R22" i="31"/>
  <c r="B21" i="31" s="1"/>
  <c r="C113" i="9"/>
  <c r="C114" i="9" s="1"/>
  <c r="E114" i="9" s="1"/>
  <c r="E115" i="9" s="1"/>
  <c r="C98" i="9"/>
  <c r="E98" i="9" s="1"/>
  <c r="E99" i="9" s="1"/>
  <c r="D5" i="66"/>
  <c r="C5" i="66"/>
  <c r="N89" i="9" l="1"/>
  <c r="O89" i="9" s="1"/>
  <c r="C99" i="9"/>
  <c r="C115" i="9"/>
  <c r="D76" i="9" s="1"/>
  <c r="D74" i="9" s="1"/>
  <c r="N74" i="9" s="1"/>
  <c r="O77" i="9" s="1"/>
  <c r="Q77" i="9" s="1"/>
  <c r="O78" i="9" l="1"/>
  <c r="O79" i="9"/>
  <c r="O80" i="9" l="1"/>
  <c r="C46" i="9"/>
  <c r="O81" i="9"/>
  <c r="O41" i="9" l="1"/>
  <c r="R8" i="54" s="1"/>
  <c r="B54" i="63" s="1"/>
  <c r="K33" i="9"/>
  <c r="K34" i="9" s="1"/>
  <c r="I14" i="66"/>
  <c r="B8" i="66" s="1"/>
  <c r="D46" i="9"/>
  <c r="E46" i="9"/>
  <c r="F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<sst xmlns="http://schemas.openxmlformats.org/spreadsheetml/2006/main" count="8667" uniqueCount="3385">
  <si>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</si>
  <si>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</si>
  <si>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</si>
  <si>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</si>
  <si>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</si>
  <si>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</si>
  <si>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</si>
  <si>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</si>
  <si>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</si>
  <si>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</si>
  <si>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</si>
  <si>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</si>
  <si>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</si>
  <si>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</si>
  <si>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</si>
  <si>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</si>
  <si>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</si>
  <si>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</si>
  <si>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</si>
  <si>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</si>
  <si>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</si>
  <si>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</si>
  <si>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</si>
  <si>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</si>
  <si>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</si>
  <si>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</si>
  <si>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</si>
  <si>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</si>
  <si>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</si>
  <si>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</si>
  <si>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</si>
  <si>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</si>
  <si>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</si>
  <si>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</si>
  <si>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</si>
  <si>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</si>
  <si>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</si>
  <si>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</si>
  <si>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</si>
  <si>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</si>
  <si>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</si>
  <si>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</si>
  <si>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</si>
  <si>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</si>
  <si>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</si>
  <si>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</si>
  <si>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</si>
  <si>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</si>
  <si>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</si>
  <si>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</si>
  <si>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</si>
  <si>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</si>
  <si>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</si>
  <si>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</si>
  <si>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</si>
  <si>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</si>
  <si>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</si>
  <si>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</si>
  <si>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</si>
  <si>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</si>
  <si>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</si>
  <si>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</si>
  <si>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</si>
  <si>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</si>
  <si>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</si>
  <si>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</si>
  <si>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</si>
  <si>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</si>
  <si>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</si>
  <si>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</si>
  <si>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</si>
  <si>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</si>
  <si>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</si>
  <si>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</si>
  <si>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</si>
  <si>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</si>
  <si>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</si>
  <si>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</si>
  <si>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</si>
  <si>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</si>
  <si>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</si>
  <si>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</si>
  <si>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</si>
  <si>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</si>
  <si>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</si>
  <si>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</si>
  <si>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</si>
  <si>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</si>
  <si>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</si>
  <si>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</si>
  <si>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</si>
  <si>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</si>
  <si>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</si>
  <si>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</si>
  <si>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</si>
  <si>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</si>
  <si>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</si>
  <si>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</si>
  <si>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</si>
  <si>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</si>
  <si>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</si>
  <si>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</si>
  <si>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</si>
  <si>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</si>
  <si>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</si>
  <si>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</si>
  <si>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</si>
  <si>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</si>
  <si>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</si>
  <si>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</si>
  <si>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</si>
  <si>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</si>
  <si>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</si>
  <si>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</si>
  <si>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</si>
  <si>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</si>
  <si>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</si>
  <si>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</si>
  <si>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</si>
  <si>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</si>
  <si>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</si>
  <si>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</si>
  <si>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</si>
  <si>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</si>
  <si>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</si>
  <si>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</si>
  <si>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</si>
  <si>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</si>
  <si>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</si>
  <si>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</si>
  <si>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</si>
  <si>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</si>
  <si>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</si>
  <si>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</si>
  <si>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</si>
  <si>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</si>
  <si>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</si>
  <si>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</si>
  <si>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</si>
  <si>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</si>
  <si>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</si>
  <si>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</si>
  <si>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</si>
  <si>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</si>
  <si>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</si>
  <si>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</si>
  <si>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</si>
  <si>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</si>
  <si>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</si>
  <si>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</si>
  <si>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</si>
  <si>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</si>
  <si>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</si>
  <si>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</si>
  <si>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</si>
  <si>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</si>
  <si>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</si>
  <si>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</si>
  <si>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</si>
  <si>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</si>
  <si>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</si>
  <si>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</si>
  <si>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</si>
  <si>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</si>
  <si>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</si>
  <si>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</si>
  <si>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</si>
  <si>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</si>
  <si>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</si>
  <si>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</si>
  <si>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</si>
  <si>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</si>
  <si>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</si>
  <si>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</si>
  <si>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</si>
  <si>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</si>
  <si>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</si>
  <si>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</si>
  <si>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</si>
  <si>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</si>
  <si>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</si>
  <si>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</si>
  <si>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</si>
  <si>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</si>
  <si>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</si>
  <si>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</si>
  <si>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</si>
  <si>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</si>
  <si>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</si>
  <si>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</si>
  <si>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</si>
  <si>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</si>
  <si>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</si>
  <si>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</si>
  <si>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</si>
  <si>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</si>
  <si>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</si>
  <si>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</si>
  <si>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</si>
  <si>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</si>
  <si>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</si>
  <si>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</si>
  <si>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</si>
  <si>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</si>
  <si>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</si>
  <si>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</si>
  <si>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</si>
  <si>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</si>
  <si>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</si>
  <si>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</si>
  <si>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</si>
  <si>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</si>
  <si>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</si>
  <si>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</si>
  <si>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</si>
  <si>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</si>
  <si>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</si>
  <si>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</si>
  <si>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</si>
  <si>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</si>
  <si>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</si>
  <si>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</si>
  <si>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</si>
  <si>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</si>
  <si>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</si>
  <si>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</si>
  <si>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</si>
  <si>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</si>
  <si>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</si>
  <si>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</si>
  <si>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</si>
  <si>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</si>
  <si>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</si>
  <si>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</si>
  <si>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</si>
  <si>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</si>
  <si>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</si>
  <si>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</si>
  <si>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</si>
  <si>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</si>
  <si>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</si>
  <si>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</si>
  <si>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</si>
  <si>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</si>
  <si>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</si>
  <si>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</si>
  <si>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</si>
  <si>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</si>
  <si>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</si>
  <si>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</si>
  <si>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</si>
  <si>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</si>
  <si>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</si>
  <si>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</si>
  <si>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</si>
  <si>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</si>
  <si>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</si>
  <si>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</si>
  <si>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</si>
  <si>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</si>
  <si>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</si>
  <si>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</si>
  <si>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</si>
  <si>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</si>
  <si>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</si>
  <si>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</si>
  <si>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</si>
  <si>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</si>
  <si>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</si>
  <si>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</si>
  <si>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</si>
  <si>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</si>
  <si>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</si>
  <si>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</si>
  <si>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</si>
  <si>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</si>
  <si>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</si>
  <si>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</si>
  <si>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</si>
  <si>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</si>
  <si>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</si>
  <si>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</si>
  <si>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</si>
  <si>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</si>
  <si>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</si>
  <si>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</si>
  <si>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</si>
  <si>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</si>
  <si>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</si>
  <si>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</si>
  <si>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</si>
  <si>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</si>
  <si>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</si>
  <si>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</si>
  <si>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</si>
  <si>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</si>
  <si>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</si>
  <si>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</si>
  <si>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</si>
  <si>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</si>
  <si>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</si>
  <si>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</si>
  <si>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</si>
  <si>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</si>
  <si>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</si>
  <si>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</si>
  <si>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</si>
  <si>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</si>
  <si>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</si>
  <si>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</si>
  <si>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</si>
  <si>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</si>
  <si>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</si>
  <si>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</si>
  <si>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</si>
  <si>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</si>
  <si>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</si>
  <si>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</si>
  <si>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</si>
  <si>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</si>
  <si>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</si>
  <si>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</si>
  <si>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</si>
  <si>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</si>
  <si>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</si>
  <si>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</si>
  <si>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</si>
  <si>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</si>
  <si>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</si>
  <si>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</si>
  <si>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</si>
  <si>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</si>
  <si>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</si>
  <si>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</si>
  <si>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</si>
  <si>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</si>
  <si>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</si>
  <si>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</si>
  <si>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</si>
  <si>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</si>
  <si>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</si>
  <si>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</si>
  <si>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</si>
  <si>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</si>
  <si>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</si>
  <si>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</si>
  <si>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</si>
  <si>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</si>
  <si>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</si>
  <si>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</si>
  <si>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</si>
  <si>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</si>
  <si>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</si>
  <si>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</si>
  <si>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</si>
  <si>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</si>
  <si>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</si>
  <si>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</si>
  <si>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</si>
  <si>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</si>
  <si>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</si>
  <si>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</si>
  <si>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</si>
  <si>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</si>
  <si>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</si>
  <si>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</si>
  <si>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</si>
  <si>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</si>
  <si>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</si>
  <si>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</si>
  <si>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</si>
  <si>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</si>
  <si>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</si>
  <si>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</si>
  <si>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</si>
  <si>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</si>
  <si>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</si>
  <si>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</si>
  <si>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</si>
  <si>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</si>
  <si>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</si>
  <si>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</si>
  <si>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</si>
  <si>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</si>
  <si>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</si>
  <si>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</si>
  <si>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</si>
  <si>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</si>
  <si>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</si>
  <si>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</si>
  <si>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</si>
  <si>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</si>
  <si>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</si>
  <si>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</si>
  <si>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</si>
  <si>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</si>
  <si>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</si>
  <si>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</si>
  <si>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</si>
  <si>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</si>
  <si>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</si>
  <si>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</si>
  <si>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</si>
  <si>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</si>
  <si>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</si>
  <si>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</si>
  <si>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</si>
  <si>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</si>
  <si>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</si>
  <si>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</si>
  <si>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</si>
  <si>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</si>
  <si>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</si>
  <si>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</si>
  <si>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</si>
  <si>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</si>
  <si>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</si>
  <si>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</si>
  <si>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</si>
  <si>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</si>
  <si>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</si>
  <si>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</si>
  <si>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</si>
  <si>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</si>
  <si>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</si>
  <si>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</si>
  <si>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</si>
  <si>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</si>
  <si>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</si>
  <si>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</si>
  <si>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</si>
  <si>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</si>
  <si>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</si>
  <si>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</si>
  <si>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</si>
  <si>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</si>
  <si>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</si>
  <si>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</si>
  <si>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</si>
  <si>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</si>
  <si>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</si>
  <si>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</si>
  <si>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</si>
  <si>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</si>
  <si>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</si>
  <si>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</si>
  <si>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</si>
  <si>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</si>
  <si>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</si>
  <si>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</si>
  <si>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</si>
  <si>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</si>
  <si>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</si>
  <si>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</si>
  <si>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</si>
  <si>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</si>
  <si>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</si>
  <si>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</si>
  <si>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</si>
  <si>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</si>
  <si>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</si>
  <si>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</si>
  <si>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</si>
  <si>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</si>
  <si>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</si>
  <si>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</si>
  <si>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</si>
  <si>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</si>
  <si>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</si>
  <si>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</si>
  <si>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</si>
  <si>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</si>
  <si>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</si>
  <si>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</si>
  <si>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</si>
  <si>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</si>
  <si>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</si>
  <si>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</si>
  <si>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</si>
  <si>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</si>
  <si>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</si>
  <si>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</si>
  <si>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</si>
  <si>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</si>
  <si>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</si>
  <si>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</si>
  <si>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</si>
  <si>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</si>
  <si>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</si>
  <si>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</si>
  <si>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</si>
  <si>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</si>
  <si>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</si>
  <si>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</si>
  <si>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</si>
  <si>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</si>
  <si>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</si>
  <si>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</si>
  <si>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</si>
  <si>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</si>
  <si>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</si>
  <si>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</si>
  <si>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</si>
  <si>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</si>
  <si>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</si>
  <si>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</si>
  <si>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</si>
  <si>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</si>
  <si>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</si>
  <si>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</si>
  <si>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</si>
  <si>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</si>
  <si>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</si>
  <si>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</si>
  <si>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</si>
  <si>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</si>
  <si>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</si>
  <si>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</si>
  <si>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</si>
  <si>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</si>
  <si>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</si>
  <si>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</si>
  <si>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</si>
  <si>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</si>
  <si>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</si>
  <si>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</si>
  <si>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</si>
  <si>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</si>
  <si>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</si>
  <si>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</si>
  <si>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</si>
  <si>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</si>
  <si>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</si>
  <si>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</si>
  <si>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</si>
  <si>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</si>
  <si>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</si>
  <si>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</si>
  <si>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</si>
  <si>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</si>
  <si>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</si>
  <si>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</si>
  <si>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</si>
  <si>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</si>
  <si>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</si>
  <si>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</si>
  <si>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</si>
  <si>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</si>
  <si>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</si>
  <si>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</si>
  <si>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</si>
  <si>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</si>
  <si>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</si>
  <si>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</si>
  <si>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</si>
  <si>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</si>
  <si>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</si>
  <si>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</si>
  <si>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</si>
  <si>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</si>
  <si>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</si>
  <si>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</si>
  <si>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</si>
  <si>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</si>
  <si>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</si>
  <si>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</si>
  <si>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</si>
  <si>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</si>
  <si>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</si>
  <si>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</si>
  <si>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</si>
  <si>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</si>
  <si>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</si>
  <si>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</si>
  <si>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</si>
  <si>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</si>
  <si>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</si>
  <si>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</si>
  <si>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</si>
  <si>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</si>
  <si>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</si>
  <si>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</si>
  <si>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</si>
  <si>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</si>
  <si>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</si>
  <si>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</si>
  <si>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</si>
  <si>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</si>
  <si>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</si>
  <si>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</si>
  <si>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</si>
  <si>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</si>
  <si>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</si>
  <si>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</si>
  <si>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</si>
  <si>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</si>
  <si>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</si>
  <si>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</si>
  <si>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</si>
  <si>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</si>
  <si>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</si>
  <si>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</si>
  <si>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</si>
  <si>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</si>
  <si>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</si>
  <si>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</si>
  <si>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</si>
  <si>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</si>
  <si>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</si>
  <si>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</si>
  <si>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</si>
  <si>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</si>
  <si>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</si>
  <si>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</si>
  <si>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</si>
  <si>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</si>
  <si>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</si>
  <si>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</si>
  <si>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</si>
  <si>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</si>
  <si>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</si>
  <si>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</si>
  <si>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</si>
  <si>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</si>
  <si>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</si>
  <si>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</si>
  <si>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</si>
  <si>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</si>
  <si>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</si>
  <si>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</si>
  <si>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</si>
  <si>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</si>
  <si>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</si>
  <si>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</si>
  <si>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</si>
  <si>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</si>
  <si>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</si>
  <si>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</si>
  <si>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</si>
  <si>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</si>
  <si>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</si>
  <si>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</si>
  <si>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</si>
  <si>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</si>
  <si>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</si>
  <si>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</si>
  <si>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</si>
  <si>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</si>
  <si>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</si>
  <si>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</si>
  <si>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</si>
  <si>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</si>
  <si>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</si>
  <si>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</si>
  <si>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</si>
  <si>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</si>
  <si>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</si>
  <si>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</si>
  <si>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</si>
  <si>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</si>
  <si>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</si>
  <si>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</si>
  <si>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</si>
  <si>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</si>
  <si>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</si>
  <si>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</si>
  <si>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</si>
  <si>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</si>
  <si>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</si>
  <si>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</si>
  <si>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</si>
  <si>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</si>
  <si>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</si>
  <si>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</si>
  <si>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</si>
  <si>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</si>
  <si>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</si>
  <si>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</si>
  <si>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</si>
  <si>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</si>
  <si>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</si>
  <si>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</si>
  <si>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</si>
  <si>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</si>
  <si>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</si>
  <si>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</si>
  <si>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</si>
  <si>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</si>
  <si>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</si>
  <si>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</si>
  <si>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</si>
  <si>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</si>
  <si>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</si>
  <si>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</si>
  <si>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</si>
  <si>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</si>
  <si>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</si>
  <si>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</si>
  <si>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</si>
  <si>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</si>
  <si>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</si>
  <si>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</si>
  <si>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</si>
  <si>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</si>
  <si>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</si>
  <si>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</si>
  <si>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</si>
  <si>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</si>
  <si>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</si>
  <si>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</si>
  <si>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</si>
  <si>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</si>
  <si>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</si>
  <si>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</si>
  <si>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</si>
  <si>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</si>
  <si>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</si>
  <si>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</si>
  <si>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</si>
  <si>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</si>
  <si>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</si>
  <si>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</si>
  <si>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</si>
  <si>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</si>
  <si>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</si>
  <si>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</si>
  <si>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</si>
  <si>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</si>
  <si>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</si>
  <si>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</si>
  <si>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</si>
  <si>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</si>
  <si>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</si>
  <si>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</si>
  <si>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</si>
  <si>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</si>
  <si>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</si>
  <si>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</si>
  <si>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</si>
  <si>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</si>
  <si>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</si>
  <si>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</si>
  <si>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</si>
  <si>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</si>
  <si>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</si>
  <si>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</si>
  <si>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</si>
  <si>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</si>
  <si>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</si>
  <si>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</si>
  <si>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</si>
  <si>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</si>
  <si>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</si>
  <si>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</si>
  <si>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</si>
  <si>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</si>
  <si>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</si>
  <si>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</si>
  <si>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</si>
  <si>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</si>
  <si>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</si>
  <si>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</si>
  <si>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</si>
  <si>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</si>
  <si>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</si>
  <si>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</si>
  <si>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</si>
  <si>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</si>
  <si>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</si>
  <si>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</si>
  <si>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</si>
  <si>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</si>
  <si>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</si>
  <si>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</si>
  <si>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</si>
  <si>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</si>
  <si>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</si>
  <si>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</si>
  <si>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</si>
  <si>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</si>
  <si>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</si>
  <si>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</si>
  <si>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</si>
  <si>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</si>
  <si>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</si>
  <si>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</si>
  <si>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</si>
  <si>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</si>
  <si>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</si>
  <si>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</si>
  <si>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</si>
  <si>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</si>
  <si>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</si>
  <si>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</si>
  <si>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</si>
  <si>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</si>
  <si>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</si>
  <si>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</si>
  <si>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</si>
  <si>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</si>
  <si>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</si>
  <si>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</si>
  <si>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</si>
  <si>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</si>
  <si>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</si>
  <si>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</si>
  <si>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</si>
  <si>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</si>
  <si>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</si>
  <si>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</si>
  <si>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</si>
  <si>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</si>
  <si>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</si>
  <si>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</si>
  <si>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</si>
  <si>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</si>
  <si>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</si>
  <si>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</si>
  <si>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</si>
  <si>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</si>
  <si>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</si>
  <si>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</si>
  <si>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</si>
  <si>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</si>
  <si>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</si>
  <si>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</si>
  <si>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</si>
  <si>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</si>
  <si>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</si>
  <si>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</si>
  <si>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</si>
  <si>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</si>
  <si>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</si>
  <si>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</si>
  <si>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</si>
  <si>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</si>
  <si>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</si>
  <si>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</si>
  <si>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</si>
  <si>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</si>
  <si>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</si>
  <si>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</si>
  <si>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</si>
  <si>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</si>
  <si>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</si>
  <si>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</si>
  <si>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</si>
  <si>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</si>
  <si>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</si>
  <si>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</si>
  <si>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</si>
  <si>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</si>
  <si>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</si>
  <si>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</si>
  <si>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</si>
  <si>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</si>
  <si>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</si>
  <si>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</si>
  <si>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</si>
  <si>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</si>
  <si>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</si>
  <si>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</si>
  <si>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</si>
  <si>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</si>
  <si>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</si>
  <si>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</si>
  <si>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</si>
  <si>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</si>
  <si>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</si>
  <si>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</si>
  <si>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</si>
  <si>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</si>
  <si>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</si>
  <si>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</si>
  <si>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</si>
  <si>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</si>
  <si>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</si>
  <si>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</si>
  <si>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</si>
  <si>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</si>
  <si>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</si>
  <si>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</si>
  <si>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</si>
  <si>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</si>
  <si>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</si>
  <si>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</si>
  <si>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</si>
  <si>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</si>
  <si>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</si>
  <si>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</si>
  <si>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</si>
  <si>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</si>
  <si>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</si>
  <si>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</si>
  <si>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</si>
  <si>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</si>
  <si>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</si>
  <si>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</si>
  <si>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</si>
  <si>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</si>
  <si>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</si>
  <si>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</si>
  <si>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</si>
  <si>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</si>
  <si>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</si>
  <si>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</si>
  <si>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</si>
  <si>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</si>
  <si>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</si>
  <si>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</si>
  <si>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</si>
  <si>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</si>
  <si>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</si>
  <si>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</si>
  <si>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</si>
  <si>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</si>
  <si>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</si>
  <si>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</si>
  <si>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</si>
  <si>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</si>
  <si>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</si>
  <si>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</si>
  <si>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</si>
  <si>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</si>
  <si>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</si>
  <si>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</si>
  <si>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</si>
  <si>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</si>
  <si>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</si>
  <si>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</si>
  <si>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</si>
  <si>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</si>
  <si>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</si>
  <si>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</si>
  <si>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</si>
  <si>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</si>
  <si>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</si>
  <si>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</si>
  <si>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</si>
  <si>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</si>
  <si>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</si>
  <si>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</si>
  <si>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</si>
  <si>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</si>
  <si>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</si>
  <si>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</si>
  <si>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</si>
  <si>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</si>
  <si>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</si>
  <si>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</si>
  <si>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</si>
  <si>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</si>
  <si>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</si>
  <si>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</si>
  <si>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</si>
  <si>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</si>
  <si>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</si>
  <si>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</si>
  <si>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</si>
  <si>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</si>
  <si>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</si>
  <si>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</si>
  <si>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</si>
  <si>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</si>
  <si>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</si>
  <si>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</si>
  <si>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</si>
  <si>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</si>
  <si>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</si>
  <si>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</si>
  <si>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</si>
  <si>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</si>
  <si>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</si>
  <si>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</si>
  <si>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</si>
  <si>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</si>
  <si>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</si>
  <si>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</si>
  <si>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</si>
  <si>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</si>
  <si>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</si>
  <si>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</si>
  <si>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</si>
  <si>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</si>
  <si>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</si>
  <si>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</si>
  <si>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</si>
  <si>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</si>
  <si>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</si>
  <si>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</si>
  <si>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</si>
  <si>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</si>
  <si>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</si>
  <si>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</si>
  <si>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</si>
  <si>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</si>
  <si>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</si>
  <si>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</si>
  <si>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</si>
  <si>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</si>
  <si>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</si>
  <si>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</si>
  <si>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</si>
  <si>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</si>
  <si>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</si>
  <si>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</si>
  <si>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</si>
  <si>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</si>
  <si>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</si>
  <si>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</si>
  <si>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</si>
  <si>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</si>
  <si>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</si>
  <si>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</si>
  <si>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</si>
  <si>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</si>
  <si>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</si>
  <si>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</si>
  <si>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</si>
  <si>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</si>
  <si>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</si>
  <si>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</si>
  <si>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</si>
  <si>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</si>
  <si>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</si>
  <si>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</si>
  <si>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</si>
  <si>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</si>
  <si>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</si>
  <si>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</si>
  <si>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</si>
  <si>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</si>
  <si>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</si>
  <si>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</si>
  <si>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</si>
  <si>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</si>
  <si>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</si>
  <si>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</si>
  <si>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</si>
  <si>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</si>
  <si>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</si>
  <si>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</si>
  <si>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</si>
  <si>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</si>
  <si>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</si>
  <si>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</si>
  <si>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</si>
  <si>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</si>
  <si>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</si>
  <si>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</si>
  <si>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</si>
  <si>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</si>
  <si>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</si>
  <si>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</si>
  <si>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</si>
  <si>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</si>
  <si>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</si>
  <si>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</si>
  <si>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</si>
  <si>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</si>
  <si>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</si>
  <si>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</si>
  <si>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</si>
  <si>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</si>
  <si>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</si>
  <si>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</si>
  <si>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</si>
  <si>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</si>
  <si>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</si>
  <si>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</si>
  <si>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</si>
  <si>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</si>
  <si>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</si>
  <si>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</si>
  <si>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</si>
  <si>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</si>
  <si>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</si>
  <si>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</si>
  <si>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</si>
  <si>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</si>
  <si>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</si>
  <si>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</si>
  <si>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</si>
  <si>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</si>
  <si>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</si>
  <si>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</si>
  <si>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</si>
  <si>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</si>
  <si>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</si>
  <si>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</si>
  <si>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</si>
  <si>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</si>
  <si>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</si>
  <si>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</si>
  <si>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</si>
  <si>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</si>
  <si>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</si>
  <si>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</si>
  <si>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</si>
  <si>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</si>
  <si>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</si>
  <si>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</si>
  <si>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</si>
  <si>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</si>
  <si>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</si>
  <si>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</si>
  <si>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</si>
  <si>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</si>
  <si>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</si>
  <si>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</si>
  <si>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</si>
  <si>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</si>
  <si>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</si>
  <si>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</si>
  <si>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</si>
  <si>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</si>
  <si>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</si>
  <si>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</si>
  <si>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</si>
  <si>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</si>
  <si>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</si>
  <si>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</si>
  <si>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</si>
  <si>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</si>
  <si>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</si>
  <si>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</si>
  <si>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</si>
  <si>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</si>
  <si>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</si>
  <si>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</si>
  <si>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</si>
  <si>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</si>
  <si>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</si>
  <si>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</si>
  <si>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</si>
  <si>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</si>
  <si>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</si>
  <si>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</si>
  <si>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</si>
  <si>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</si>
  <si>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</si>
  <si>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</si>
  <si>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</si>
  <si>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</si>
  <si>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</si>
  <si>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</si>
  <si>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</si>
  <si>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</si>
  <si>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</si>
  <si>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</si>
  <si>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</si>
  <si>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</si>
  <si>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</si>
  <si>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</si>
  <si>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</si>
  <si>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</si>
  <si>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</si>
  <si>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</si>
  <si>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</si>
  <si>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</si>
  <si>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</si>
  <si>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</si>
  <si>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</si>
  <si>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</si>
  <si>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</si>
  <si>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</si>
  <si>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</si>
  <si>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</si>
  <si>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</si>
  <si>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</si>
  <si>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</si>
  <si>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</si>
  <si>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</si>
  <si>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</si>
  <si>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</si>
  <si>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</si>
  <si>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</si>
  <si>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</si>
  <si>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</si>
  <si>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</si>
  <si>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</si>
  <si>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</si>
  <si>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</si>
  <si>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</si>
  <si>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</si>
  <si>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</si>
  <si>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</si>
  <si>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</si>
  <si>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</si>
  <si>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</si>
  <si>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</si>
  <si>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</si>
  <si>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</si>
  <si>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</si>
  <si>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</si>
  <si>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</si>
  <si>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</si>
  <si>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</si>
  <si>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</si>
  <si>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</si>
  <si>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</si>
  <si>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</si>
  <si>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</si>
  <si>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</si>
  <si>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</si>
  <si>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</si>
  <si>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</si>
  <si>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</si>
  <si>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</si>
  <si>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</si>
  <si>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</si>
  <si>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</si>
  <si>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</si>
  <si>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</si>
  <si>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</si>
  <si>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</si>
  <si>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</si>
  <si>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</si>
  <si>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</si>
  <si>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</si>
  <si>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</si>
  <si>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</si>
  <si>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</si>
  <si>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</si>
  <si>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</si>
  <si>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</si>
  <si>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</si>
  <si>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</si>
  <si>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</si>
  <si>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</si>
  <si>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</si>
  <si>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</si>
  <si>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</si>
  <si>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</si>
  <si>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</si>
  <si>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</si>
  <si>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</si>
  <si>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</si>
  <si>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</si>
  <si>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</si>
  <si>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</si>
  <si>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</si>
  <si>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</si>
  <si>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</si>
  <si>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</si>
  <si>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</si>
  <si>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</si>
  <si>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</si>
  <si>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</si>
  <si>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</si>
  <si>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</si>
  <si>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</si>
  <si>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</si>
  <si>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</si>
  <si>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</si>
  <si>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</si>
  <si>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</si>
  <si>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</si>
  <si>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</si>
  <si>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</si>
  <si>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</si>
  <si>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</si>
  <si>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</si>
  <si>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</si>
  <si>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</si>
  <si>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</si>
  <si>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</si>
  <si>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</si>
  <si>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</si>
  <si>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</si>
  <si>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</si>
  <si>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</si>
  <si>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</si>
  <si>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</si>
  <si>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</si>
  <si>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</si>
  <si>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</si>
  <si>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</si>
  <si>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</si>
  <si>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</si>
  <si>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</si>
  <si>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</si>
  <si>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</si>
  <si>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</si>
  <si>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</si>
  <si>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</si>
  <si>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</si>
  <si>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</si>
  <si>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</si>
  <si>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</si>
  <si>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</si>
  <si>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</si>
  <si>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</si>
  <si>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</si>
  <si>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</si>
  <si>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</si>
  <si>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</si>
  <si>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</si>
  <si>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</si>
  <si>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</si>
  <si>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</si>
  <si>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</si>
  <si>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</si>
  <si>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</si>
  <si>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</si>
  <si>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</si>
  <si>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</si>
  <si>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</si>
  <si>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</si>
  <si>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</si>
  <si>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</si>
  <si>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</si>
  <si>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</si>
  <si>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</si>
  <si>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</si>
  <si>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</si>
  <si>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</si>
  <si>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</si>
  <si>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</si>
  <si>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</si>
  <si>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</si>
  <si>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</si>
  <si>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</si>
  <si>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</si>
  <si>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</si>
  <si>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</si>
  <si>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</si>
  <si>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</si>
  <si>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</si>
  <si>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</si>
  <si>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</si>
  <si>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</si>
  <si>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</si>
  <si>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</si>
  <si>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</si>
  <si>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</si>
  <si>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</si>
  <si>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</si>
  <si>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</si>
  <si>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</si>
  <si>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</si>
  <si>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</si>
  <si>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</si>
  <si>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</si>
  <si>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</si>
  <si>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</si>
  <si>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</si>
  <si>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</si>
  <si>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</si>
  <si>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</si>
  <si>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</si>
  <si>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</si>
  <si>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</si>
  <si>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</si>
  <si>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</si>
  <si>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</si>
  <si>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</si>
  <si>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</si>
  <si>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</si>
  <si>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</si>
  <si>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</si>
  <si>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</si>
  <si>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</si>
  <si>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</si>
  <si>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</si>
  <si>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</si>
  <si>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</si>
  <si>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</si>
  <si>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</si>
  <si>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</si>
  <si>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</si>
  <si>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</si>
  <si>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</si>
  <si>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</si>
  <si>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</si>
  <si>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</si>
  <si>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</si>
  <si>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</si>
  <si>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</si>
  <si>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</si>
  <si>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</si>
  <si>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</si>
  <si>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</si>
  <si>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</si>
  <si>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</si>
  <si>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</si>
  <si>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</si>
  <si>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</si>
  <si>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</si>
  <si>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</si>
  <si>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</si>
  <si>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</si>
  <si>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</si>
  <si>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</si>
  <si>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</si>
  <si>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</si>
  <si>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</si>
  <si>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</si>
  <si>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</si>
  <si>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</si>
  <si>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</si>
  <si>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</si>
  <si>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</si>
  <si>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</si>
  <si>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</si>
  <si>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</si>
  <si>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</si>
  <si>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</si>
  <si>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</si>
  <si>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</si>
  <si>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</si>
  <si>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</si>
  <si>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</si>
  <si>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</si>
  <si>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</si>
  <si>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</si>
  <si>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</si>
  <si>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</si>
  <si>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</si>
  <si>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</si>
  <si>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</si>
  <si>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</si>
  <si>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</si>
  <si>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</si>
  <si>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</si>
  <si>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</si>
  <si>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</si>
  <si>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</si>
  <si>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</si>
  <si>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</si>
  <si>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</si>
  <si>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</si>
  <si>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</si>
  <si>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</si>
  <si>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</si>
  <si>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</si>
  <si>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</si>
  <si>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</si>
  <si>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</si>
  <si>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</si>
  <si>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</si>
  <si>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</si>
  <si>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</si>
  <si>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</si>
  <si>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</si>
  <si>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</si>
  <si>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</si>
  <si>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</si>
  <si>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</si>
  <si>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</si>
  <si>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</si>
  <si>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</si>
  <si>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</si>
  <si>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</si>
  <si>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</si>
  <si>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</si>
  <si>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</si>
  <si>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</si>
  <si>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</si>
  <si>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</si>
  <si>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</si>
  <si>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</si>
  <si>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</si>
  <si>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</si>
  <si>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</si>
  <si>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</si>
  <si>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</si>
  <si>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</si>
  <si>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</si>
  <si>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</si>
  <si>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</si>
  <si>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</si>
  <si>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</si>
  <si>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</si>
  <si>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</si>
  <si>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</si>
  <si>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</si>
  <si>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</si>
  <si>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</si>
  <si>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</si>
  <si>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</si>
  <si>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</si>
  <si>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</si>
  <si>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</si>
  <si>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</si>
  <si>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</si>
  <si>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</si>
  <si>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</si>
  <si>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</si>
  <si>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</si>
  <si>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</si>
  <si>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</si>
  <si>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</si>
  <si>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</si>
  <si>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</si>
  <si>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</si>
  <si>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</si>
  <si>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</si>
  <si>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</si>
  <si>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</si>
  <si>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</si>
  <si>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</si>
  <si>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</si>
  <si>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</si>
  <si>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</si>
  <si>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</si>
  <si>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</si>
  <si>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</si>
  <si>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</si>
  <si>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</si>
  <si>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</si>
  <si>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</si>
  <si>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</si>
  <si>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</si>
  <si>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</si>
  <si>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</si>
  <si>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</si>
  <si>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</si>
  <si>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</si>
  <si>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</si>
  <si>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</si>
  <si>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</si>
  <si>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</si>
  <si>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</si>
  <si>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</si>
  <si>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</si>
  <si>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</si>
  <si>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</si>
  <si>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</si>
  <si>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</si>
  <si>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</si>
  <si>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</si>
  <si>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</si>
  <si>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</si>
  <si>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</si>
  <si>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</si>
  <si>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</si>
  <si>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</si>
  <si>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</si>
  <si>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</si>
  <si>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</si>
  <si>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</si>
  <si>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</si>
  <si>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</si>
  <si>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</si>
  <si>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</si>
  <si>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</si>
  <si>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</si>
  <si>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</si>
  <si>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</si>
  <si>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</si>
  <si>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</si>
  <si>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</si>
  <si>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</si>
  <si>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</si>
  <si>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</si>
  <si>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</si>
  <si>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</si>
  <si>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</si>
  <si>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</si>
  <si>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</si>
  <si>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</si>
  <si>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</si>
  <si>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</si>
  <si>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</si>
  <si>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</si>
  <si>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</si>
  <si>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</si>
  <si>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</si>
  <si>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</si>
  <si>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</si>
  <si>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</si>
  <si>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</si>
  <si>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</si>
  <si>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</si>
  <si>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</si>
  <si>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</si>
  <si>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</si>
  <si>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</si>
  <si>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</si>
  <si>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</si>
  <si>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</si>
  <si>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</si>
  <si>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</si>
  <si>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</si>
  <si>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</si>
  <si>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</si>
  <si>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</si>
  <si>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</si>
  <si>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</si>
  <si>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</si>
  <si>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</si>
  <si>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</si>
  <si>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</si>
  <si>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</si>
  <si>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</si>
  <si>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</si>
  <si>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</si>
  <si>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</si>
  <si>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</si>
  <si>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</si>
  <si>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</si>
  <si>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</si>
  <si>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</si>
  <si>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</si>
  <si>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</si>
  <si>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</si>
  <si>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</si>
  <si>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</si>
  <si>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</si>
  <si>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</si>
  <si>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</si>
  <si>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</si>
  <si>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</si>
  <si>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</si>
  <si>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</si>
  <si>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</si>
  <si>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</si>
  <si>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</si>
  <si>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</si>
  <si>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</si>
  <si>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</si>
  <si>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</si>
  <si>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</si>
  <si>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</si>
  <si>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</si>
  <si>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</si>
  <si>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</si>
  <si>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</si>
  <si>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</si>
  <si>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</si>
  <si>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</si>
  <si>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</si>
  <si>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</si>
  <si>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</si>
  <si>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</si>
  <si>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</si>
  <si>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</si>
  <si>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</si>
  <si>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</si>
  <si>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</si>
  <si>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</si>
  <si>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</si>
  <si>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</si>
  <si>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</si>
  <si>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</si>
  <si>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</si>
  <si>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</si>
  <si>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</si>
  <si>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</si>
  <si>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</si>
  <si>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</si>
  <si>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</si>
  <si>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</si>
  <si>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</si>
  <si>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</si>
  <si>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</si>
  <si>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</si>
  <si>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</si>
  <si>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</si>
  <si>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</si>
  <si>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</si>
  <si>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</si>
  <si>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</si>
  <si>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</si>
  <si>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</si>
  <si>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</si>
  <si>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</si>
  <si>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</si>
  <si>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</si>
  <si>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</si>
  <si>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</si>
  <si>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</si>
  <si>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</si>
  <si>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</si>
  <si>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</si>
  <si>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</si>
  <si>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</si>
  <si>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</si>
  <si>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</si>
  <si>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</si>
  <si>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</si>
  <si>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</si>
  <si>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</si>
  <si>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</si>
  <si>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</si>
  <si>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</si>
  <si>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</si>
  <si>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</si>
  <si>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</si>
  <si>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</si>
  <si>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</si>
  <si>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</si>
  <si>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</si>
  <si>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</si>
  <si>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</si>
  <si>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</si>
  <si>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</si>
  <si>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</si>
  <si>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</si>
  <si>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</si>
  <si>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</si>
  <si>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</si>
  <si>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</si>
  <si>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</si>
  <si>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</si>
  <si>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</si>
  <si>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</si>
  <si>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</si>
  <si>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</si>
  <si>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</si>
  <si>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</si>
  <si>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</si>
  <si>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</si>
  <si>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</si>
  <si>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</si>
  <si>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</si>
  <si>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</si>
  <si>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</si>
  <si>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</si>
  <si>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</si>
  <si>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</si>
  <si>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</si>
  <si>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</si>
  <si>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</si>
  <si>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</si>
  <si>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</si>
  <si>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</si>
  <si>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</si>
  <si>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</si>
  <si>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</si>
  <si>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</si>
  <si>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</si>
  <si>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</si>
  <si>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</si>
  <si>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</si>
  <si>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</si>
  <si>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</si>
  <si>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</si>
  <si>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</si>
  <si>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</si>
  <si>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</si>
  <si>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</si>
  <si>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</si>
  <si>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</si>
  <si>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</si>
  <si>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</si>
  <si>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</si>
  <si>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</si>
  <si>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</si>
  <si>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</si>
  <si>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</si>
  <si>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</si>
  <si>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</si>
  <si>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</si>
  <si>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</si>
  <si>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</si>
  <si>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</si>
  <si>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</si>
  <si>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</si>
  <si>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</si>
  <si>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</si>
  <si>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</si>
  <si>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</si>
  <si>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</si>
  <si>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</si>
  <si>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</si>
  <si>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</si>
  <si>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</si>
  <si>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</si>
  <si>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</si>
  <si>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</si>
  <si>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</si>
  <si>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</si>
  <si>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</si>
  <si>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</si>
  <si>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</si>
  <si>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</si>
  <si>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</si>
  <si>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</si>
  <si>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</si>
  <si>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</si>
  <si>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</si>
  <si>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</si>
  <si>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</si>
  <si>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</si>
  <si>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</si>
  <si>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</si>
  <si>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</si>
  <si>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</si>
  <si>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</si>
  <si>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</si>
  <si>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</si>
  <si>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</si>
  <si>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</si>
  <si>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</si>
  <si>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</si>
  <si>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</si>
  <si>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</si>
  <si>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</si>
  <si>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</si>
  <si>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</si>
  <si>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</si>
  <si>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</si>
  <si>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</si>
  <si>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</si>
  <si>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</si>
  <si>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</si>
  <si>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</si>
  <si>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</si>
  <si>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</si>
  <si>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</si>
  <si>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</si>
  <si>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</si>
  <si>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</si>
  <si>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</si>
  <si>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</si>
  <si>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</si>
  <si>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</si>
  <si>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</si>
  <si>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</si>
  <si>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</si>
  <si>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</si>
  <si>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</si>
  <si>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</si>
  <si>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</si>
  <si>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</si>
  <si>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</si>
  <si>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</si>
  <si>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</si>
  <si>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</si>
  <si>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</si>
  <si>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</si>
  <si>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</si>
  <si>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</si>
  <si>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</si>
  <si>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</si>
  <si>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</si>
  <si>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</si>
  <si>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</si>
  <si>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</si>
  <si>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</si>
  <si>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</si>
  <si>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</si>
  <si>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</si>
  <si>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</si>
  <si>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</si>
  <si>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</si>
  <si>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</si>
  <si>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</si>
  <si>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</si>
  <si>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</si>
  <si>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</si>
  <si>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</si>
  <si>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</si>
  <si>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</si>
  <si>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</si>
  <si>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</si>
  <si>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</si>
  <si>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</si>
  <si>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</si>
  <si>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</si>
  <si>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</si>
  <si>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</si>
  <si>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</si>
  <si>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</si>
  <si>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</si>
  <si>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</si>
  <si>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</si>
  <si>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</si>
  <si>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</si>
  <si>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</si>
  <si>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</si>
  <si>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</si>
  <si>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</si>
  <si>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</si>
  <si>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</si>
  <si>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</si>
  <si>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</si>
  <si>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</si>
  <si>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</si>
  <si>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</si>
  <si>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</si>
  <si>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</si>
  <si>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</si>
  <si>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</si>
  <si>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</si>
  <si>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</si>
  <si>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</si>
  <si>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</si>
  <si>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</si>
  <si>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</si>
  <si>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</si>
  <si>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</si>
  <si>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</si>
  <si>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</si>
  <si>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</si>
  <si>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</si>
  <si>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</si>
  <si>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</si>
  <si>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</si>
  <si>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</si>
  <si>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</si>
  <si>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</si>
  <si>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</si>
  <si>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</si>
  <si>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</si>
  <si>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</si>
  <si>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</si>
  <si>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</si>
  <si>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</si>
  <si>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</si>
  <si>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</si>
  <si>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</si>
  <si>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</si>
  <si>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</si>
  <si>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</si>
  <si>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</si>
  <si>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</si>
  <si>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</si>
  <si>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</si>
  <si>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</si>
  <si>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</si>
  <si>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</si>
  <si>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</si>
  <si>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</si>
  <si>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</si>
  <si>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</si>
  <si>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</si>
  <si>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</si>
  <si>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</si>
  <si>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</si>
  <si>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</si>
  <si>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</si>
  <si>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</si>
  <si>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</si>
  <si>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</si>
  <si>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</si>
  <si>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</si>
  <si>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</si>
  <si>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</si>
  <si>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</si>
  <si>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</si>
  <si>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</si>
  <si>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</si>
  <si>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</si>
  <si>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</si>
  <si>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</si>
  <si>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</si>
  <si>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</si>
  <si>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</si>
  <si>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</si>
  <si>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</si>
  <si>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</si>
  <si>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</si>
  <si>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</si>
  <si>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</si>
  <si>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</si>
  <si>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</si>
  <si>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</si>
  <si>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</si>
  <si>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</si>
  <si>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</si>
  <si>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</si>
  <si>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</si>
  <si>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</si>
  <si>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</si>
  <si>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</si>
  <si>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</si>
  <si>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</si>
  <si>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</si>
  <si>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</si>
  <si>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</si>
  <si>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</si>
  <si>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</si>
  <si>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</si>
  <si>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</si>
  <si>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</si>
  <si>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</si>
  <si>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</si>
  <si>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</si>
  <si>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</si>
  <si>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</si>
  <si>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</si>
  <si>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</si>
  <si>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</si>
  <si>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</si>
  <si>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</si>
  <si>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</si>
  <si>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</si>
  <si>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</si>
  <si>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</si>
  <si>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</si>
  <si>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</si>
  <si>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</si>
  <si>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</si>
  <si>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</si>
  <si>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</si>
  <si>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</si>
  <si>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</si>
  <si>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</si>
  <si>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</si>
  <si>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</si>
  <si>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</si>
  <si>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</si>
  <si>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</si>
  <si>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</si>
  <si>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</si>
  <si>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</si>
  <si>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</si>
  <si>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</si>
  <si>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</si>
  <si>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</si>
  <si>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</si>
  <si>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</si>
  <si>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</si>
  <si>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</si>
  <si>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</si>
  <si>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</si>
  <si>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</si>
  <si>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</si>
  <si>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</si>
  <si>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</si>
  <si>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</si>
  <si>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</si>
  <si>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</si>
  <si>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</si>
  <si>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</si>
  <si>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</si>
  <si>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</si>
  <si>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</si>
  <si>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</si>
  <si>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</si>
  <si>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</si>
  <si>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</si>
  <si>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</si>
  <si>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</si>
  <si>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</si>
  <si>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</si>
  <si>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</si>
  <si>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</si>
  <si>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</si>
  <si>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</si>
  <si>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</si>
  <si>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</si>
  <si>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</si>
  <si>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</si>
  <si>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</si>
  <si>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</si>
  <si>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</si>
  <si>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</si>
  <si>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</si>
  <si>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</si>
  <si>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</si>
  <si>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</si>
  <si>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</si>
  <si>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</si>
  <si>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</si>
  <si>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</si>
  <si>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</si>
  <si>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</si>
  <si>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</si>
  <si>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</si>
  <si>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</si>
  <si>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</si>
  <si>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</si>
  <si>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</si>
  <si>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</si>
  <si>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</si>
  <si>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</si>
  <si>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</si>
  <si>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</si>
  <si>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</si>
  <si>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</si>
  <si>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</si>
  <si>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</si>
  <si>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</si>
  <si>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</si>
  <si>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</si>
  <si>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</si>
  <si>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</si>
  <si>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</si>
  <si>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</si>
  <si>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</si>
  <si>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</si>
  <si>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</si>
  <si>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</si>
  <si>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</si>
  <si>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</si>
  <si>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</si>
  <si>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</si>
  <si>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</si>
  <si>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</si>
  <si>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</si>
  <si>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</si>
  <si>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</si>
  <si>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</si>
  <si>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</si>
  <si>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</si>
  <si>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</si>
  <si>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</si>
  <si>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</si>
  <si>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</si>
  <si>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</si>
  <si>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</si>
  <si>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</si>
  <si>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</si>
  <si>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</si>
  <si>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</si>
  <si>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</si>
  <si>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</si>
  <si>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</si>
  <si>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</si>
  <si>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</si>
  <si>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</si>
  <si>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</si>
  <si>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</si>
  <si>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</si>
  <si>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</si>
  <si>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</si>
  <si>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</si>
  <si>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</si>
  <si>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</si>
  <si>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</si>
  <si>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</si>
  <si>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</si>
  <si>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</si>
  <si>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</si>
  <si>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</si>
  <si>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</si>
  <si>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</si>
  <si>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</si>
  <si>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</si>
  <si>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</si>
  <si>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</si>
  <si>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</si>
  <si>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</si>
  <si>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</si>
  <si>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</si>
  <si>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</si>
  <si>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</si>
  <si>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</si>
  <si>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</si>
  <si>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</si>
  <si>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</si>
  <si>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</si>
  <si>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</si>
  <si>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</si>
  <si>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</si>
  <si>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</si>
  <si>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</si>
  <si>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</si>
  <si>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</si>
  <si>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</si>
  <si>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</si>
  <si>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</si>
  <si>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</si>
  <si>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</si>
  <si>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</si>
  <si>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</si>
  <si>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</si>
  <si>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</si>
  <si>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</si>
  <si>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</si>
  <si>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</si>
  <si>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</si>
  <si>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</si>
  <si>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</si>
  <si>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</si>
  <si>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</si>
  <si>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</si>
  <si>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</si>
  <si>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</si>
  <si>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</si>
  <si>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</si>
  <si>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</si>
  <si>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</si>
  <si>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</si>
  <si>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</si>
  <si>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</si>
  <si>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</si>
  <si>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</si>
  <si>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</si>
  <si>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</si>
  <si>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</si>
  <si>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</si>
  <si>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</si>
  <si>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</si>
  <si>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</si>
  <si>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</si>
  <si>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</si>
  <si>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</si>
  <si>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</si>
  <si>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</si>
  <si>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</si>
  <si>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</si>
  <si>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</si>
  <si>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</si>
  <si>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</si>
  <si>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</si>
  <si>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</si>
  <si>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</si>
  <si>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</si>
  <si>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</si>
  <si>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</si>
  <si>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</si>
  <si>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</si>
  <si>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</si>
  <si>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</si>
  <si>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</si>
  <si>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</si>
  <si>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</si>
  <si>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</si>
  <si>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</si>
  <si>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</si>
  <si>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</si>
  <si>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</si>
  <si>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</si>
  <si>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</si>
  <si>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</si>
  <si>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</si>
  <si>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</si>
  <si>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</si>
  <si>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</si>
  <si>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</si>
  <si>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</si>
  <si>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</si>
  <si>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</si>
  <si>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</si>
  <si>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</si>
  <si>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</si>
  <si>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</si>
  <si>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</si>
  <si>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</si>
  <si>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</si>
  <si>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</si>
  <si>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</si>
  <si>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</si>
  <si>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</si>
  <si>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</si>
  <si>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</si>
  <si>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</si>
  <si>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</si>
  <si>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</si>
  <si>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</si>
  <si>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</si>
  <si>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</si>
  <si>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</si>
  <si>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</si>
  <si>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</si>
  <si>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</si>
  <si>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</si>
  <si>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</si>
  <si>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</si>
  <si>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</si>
  <si>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</si>
  <si>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</si>
  <si>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</si>
  <si>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</si>
  <si>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</si>
  <si>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</si>
  <si>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</si>
  <si>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</si>
  <si>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</si>
  <si>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</si>
  <si>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</si>
  <si>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</si>
  <si>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</si>
  <si>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</si>
  <si>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</si>
  <si>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</si>
  <si>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</si>
  <si>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</si>
  <si>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</si>
  <si>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</si>
  <si>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</si>
  <si>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</si>
  <si>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</si>
  <si>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</si>
  <si>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</si>
  <si>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</si>
  <si>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</si>
  <si>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</si>
  <si>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</si>
  <si>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</si>
  <si>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</si>
  <si>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</si>
  <si>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</si>
  <si>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</si>
  <si>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</si>
  <si>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</si>
  <si>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</si>
  <si>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</si>
  <si>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</si>
  <si>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</si>
  <si>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</si>
  <si>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</si>
  <si>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</si>
  <si>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</si>
  <si>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</si>
  <si>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</si>
  <si>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</si>
  <si>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</si>
  <si>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</si>
  <si>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</si>
  <si>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</si>
  <si>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</si>
  <si>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</si>
  <si>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</si>
  <si>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</si>
  <si>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</si>
  <si>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</si>
  <si>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</si>
  <si>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</si>
  <si>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</si>
  <si>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</si>
  <si>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</si>
  <si>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</si>
  <si>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</si>
  <si>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</si>
  <si>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</si>
  <si>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</si>
  <si>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</si>
  <si>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</si>
  <si>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</si>
  <si>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</si>
  <si>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</si>
  <si>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</si>
  <si>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</si>
  <si>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</si>
  <si>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</si>
  <si>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</si>
  <si>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</si>
  <si>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</si>
  <si>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</si>
  <si>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</si>
  <si>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</si>
  <si>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</si>
  <si>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</si>
  <si>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</si>
  <si>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</si>
  <si>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</si>
  <si>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</si>
  <si>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</si>
  <si>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</si>
  <si>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</si>
  <si>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</si>
  <si>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</si>
  <si>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</si>
  <si>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</si>
  <si>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</si>
  <si>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</si>
  <si>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</si>
  <si>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</si>
  <si>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</si>
  <si>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</si>
  <si>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</si>
  <si>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</si>
  <si>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</si>
  <si>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</si>
  <si>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</si>
  <si>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</si>
  <si>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</si>
  <si>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</si>
  <si>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</si>
  <si>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</si>
  <si>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</si>
  <si>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</si>
  <si>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</si>
  <si>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</si>
  <si>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</si>
  <si>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</si>
  <si>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</si>
  <si>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</si>
  <si>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</si>
  <si>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</si>
  <si>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</si>
  <si>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</si>
  <si>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</si>
  <si>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</si>
  <si>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</si>
  <si>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</si>
  <si>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</si>
  <si>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</si>
  <si>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</si>
  <si>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</si>
  <si>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</si>
  <si>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</si>
  <si>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</si>
  <si>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</si>
  <si>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</si>
  <si>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</si>
  <si>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</si>
  <si>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</si>
  <si>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</si>
  <si>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</si>
  <si>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</si>
  <si>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</si>
  <si>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</si>
  <si>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</si>
  <si>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</si>
  <si>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</si>
  <si>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</si>
  <si>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</si>
  <si>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</si>
  <si>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</si>
  <si>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</si>
  <si>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</si>
  <si>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</si>
  <si>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</si>
  <si>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</si>
  <si>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</si>
  <si>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</si>
  <si>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</si>
  <si>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</si>
  <si>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</si>
  <si>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</si>
  <si>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</si>
  <si>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</si>
  <si>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</si>
  <si>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</si>
  <si>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</si>
  <si>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</si>
  <si>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</si>
  <si>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</si>
  <si>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</si>
  <si>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</si>
  <si>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</si>
  <si>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</si>
  <si>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</si>
  <si>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</si>
  <si>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</si>
  <si>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</si>
  <si>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</si>
  <si>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</si>
  <si>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</si>
  <si>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</si>
  <si>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</si>
  <si>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</si>
  <si>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</si>
  <si>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</si>
  <si>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</si>
  <si>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</si>
  <si>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</si>
  <si>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</si>
  <si>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</si>
  <si>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</si>
  <si>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</si>
  <si>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</si>
  <si>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</si>
  <si>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</si>
  <si>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</si>
  <si>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</si>
  <si>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</si>
  <si>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</si>
  <si>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</si>
  <si>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</si>
  <si>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</si>
  <si>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</si>
  <si>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</si>
  <si>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</si>
  <si>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</si>
  <si>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</si>
  <si>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</si>
  <si>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</si>
  <si>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</si>
  <si>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</si>
  <si>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</si>
  <si>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</si>
  <si>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</si>
  <si>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</si>
  <si>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</si>
  <si>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</si>
  <si>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</si>
  <si>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</si>
  <si>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</si>
  <si>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</si>
  <si>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</si>
  <si>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</si>
  <si>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</si>
  <si>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</si>
  <si>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</si>
  <si>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</si>
  <si>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</si>
  <si>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</si>
  <si>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</si>
  <si>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</si>
  <si>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</si>
  <si>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</si>
  <si>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</si>
  <si>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</si>
  <si>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</si>
  <si>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</si>
  <si>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</si>
  <si>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</si>
  <si>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</si>
  <si>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</si>
  <si>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</si>
  <si>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</si>
  <si>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</si>
  <si>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</si>
  <si>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</si>
  <si>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</si>
  <si>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</si>
  <si>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</si>
  <si>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</si>
  <si>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</si>
  <si>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</si>
  <si>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</si>
  <si>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</si>
  <si>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</si>
  <si>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</si>
  <si>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</si>
  <si>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</si>
  <si>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</si>
  <si>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</si>
  <si>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</si>
  <si>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</si>
  <si>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</si>
  <si>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</si>
  <si>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</si>
  <si>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</si>
  <si>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</si>
  <si>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</si>
  <si>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</si>
  <si>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</si>
  <si>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</si>
  <si>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</si>
  <si>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</si>
  <si>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</si>
  <si>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</si>
  <si>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</si>
  <si>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</si>
  <si>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</si>
  <si>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</si>
  <si>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</si>
  <si>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</si>
  <si>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</si>
  <si>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</si>
  <si>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</si>
  <si>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</si>
  <si>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</si>
  <si>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</si>
  <si>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</si>
  <si>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</si>
  <si>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</si>
  <si>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</si>
  <si>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</si>
  <si>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</si>
  <si>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</si>
  <si>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</si>
  <si>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</si>
  <si>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</si>
  <si>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</si>
  <si>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</si>
  <si>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</si>
  <si>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</si>
  <si>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</si>
  <si>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</si>
  <si>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</si>
  <si>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</si>
  <si>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</si>
  <si>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</si>
  <si>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</si>
  <si>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</si>
  <si>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</si>
  <si>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</si>
  <si>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</si>
  <si>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</si>
  <si>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</si>
  <si>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</si>
  <si>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</si>
  <si>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</si>
  <si>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</si>
  <si>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</si>
  <si>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</si>
  <si>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</si>
  <si>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</si>
  <si>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</si>
  <si>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</si>
  <si>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</si>
  <si>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</si>
  <si>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</si>
  <si>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</si>
  <si>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</si>
  <si>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</si>
  <si>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</si>
  <si>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</si>
  <si>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</si>
  <si>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</si>
  <si>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</si>
  <si>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</si>
  <si>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</si>
  <si>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</si>
  <si>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</si>
  <si>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</si>
  <si>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</si>
  <si>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</si>
  <si>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</si>
  <si>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</si>
  <si>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</si>
  <si>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</si>
  <si>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</si>
  <si>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</si>
  <si>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</si>
  <si>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</si>
  <si>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</si>
  <si>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</si>
  <si>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</si>
  <si>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</si>
  <si>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</si>
  <si>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</si>
  <si>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</si>
  <si>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</si>
  <si>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</si>
  <si>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</si>
  <si>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</si>
  <si>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</si>
  <si>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</si>
  <si>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</si>
  <si>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</si>
  <si>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</si>
  <si>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</si>
  <si>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</si>
  <si>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</si>
  <si>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</si>
  <si>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</si>
  <si>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</si>
  <si>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</si>
  <si>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</si>
  <si>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</si>
  <si>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</si>
  <si>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</si>
  <si>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</si>
  <si>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</si>
  <si>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</si>
  <si>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</si>
  <si>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</si>
  <si>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</si>
  <si>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</si>
  <si>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</si>
  <si>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</si>
  <si>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</si>
  <si>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</si>
  <si>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</si>
  <si>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</si>
  <si>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</si>
  <si>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</si>
  <si>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</si>
  <si>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</si>
  <si>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</si>
  <si>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</si>
  <si>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</si>
  <si>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</si>
  <si>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</si>
  <si>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</si>
  <si>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</si>
  <si>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</si>
  <si>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</si>
  <si>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</si>
  <si>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</si>
  <si>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</si>
  <si>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</si>
  <si>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</si>
  <si>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</si>
  <si>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</si>
  <si>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</si>
  <si>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</si>
  <si>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</si>
  <si>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</si>
  <si>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</si>
  <si>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</si>
  <si>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</si>
  <si>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</si>
  <si>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</si>
  <si>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</si>
  <si>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</si>
  <si>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</si>
  <si>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</si>
  <si>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</si>
  <si>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</si>
  <si>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</si>
  <si>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</si>
  <si>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</si>
  <si>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</si>
  <si>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</si>
  <si>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</si>
  <si>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</si>
  <si>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</si>
  <si>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</si>
  <si>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</si>
  <si>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</si>
  <si>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</si>
  <si>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</si>
  <si>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</si>
  <si>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</si>
  <si>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</si>
  <si>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</si>
  <si>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</si>
  <si>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</si>
  <si>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</si>
  <si>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</si>
  <si>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</si>
  <si>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</si>
  <si>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</si>
  <si>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</si>
  <si>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</si>
  <si>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</si>
  <si>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</si>
  <si>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</si>
  <si>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</si>
  <si>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</si>
  <si>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</si>
  <si>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</si>
  <si>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</si>
  <si>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</si>
  <si>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</si>
  <si>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</si>
  <si>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</si>
  <si>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</si>
  <si>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</si>
  <si>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</si>
  <si>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</si>
  <si>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</si>
  <si>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</si>
  <si>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</si>
  <si>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</si>
  <si>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</si>
  <si>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</si>
  <si>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</si>
  <si>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</si>
  <si>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</si>
  <si>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</si>
  <si>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</si>
  <si>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</si>
  <si>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</si>
  <si>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</si>
  <si>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</si>
  <si>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</si>
  <si>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</si>
  <si>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</si>
  <si>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</si>
  <si>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</si>
  <si>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</si>
  <si>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</si>
  <si>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</si>
  <si>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</si>
  <si>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</si>
  <si>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</si>
  <si>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</si>
  <si>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</si>
  <si>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</si>
  <si>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</si>
  <si>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</si>
  <si>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</si>
  <si>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</si>
  <si>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</si>
  <si>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</si>
  <si>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</si>
  <si>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</si>
  <si>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</si>
  <si>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</si>
  <si>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</si>
  <si>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</si>
  <si>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</si>
  <si>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</si>
  <si>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</si>
  <si>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</si>
  <si>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</si>
  <si>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</si>
  <si>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</si>
  <si>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</si>
  <si>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</si>
  <si>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</si>
  <si>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</si>
  <si>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</si>
  <si>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</si>
  <si>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</si>
  <si>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</si>
  <si>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</si>
  <si>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</si>
  <si>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</si>
  <si>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</si>
  <si>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</si>
  <si>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</si>
  <si>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</si>
  <si>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</si>
  <si>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</si>
  <si>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</si>
  <si>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</si>
  <si>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</si>
  <si>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</si>
  <si>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</si>
  <si>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</si>
  <si>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</si>
  <si>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</si>
  <si>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</si>
  <si>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</si>
  <si>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</si>
  <si>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</si>
  <si>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</si>
  <si>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</si>
  <si>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</si>
  <si>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</si>
  <si>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</si>
  <si>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</si>
  <si>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</si>
  <si>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</si>
  <si>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</si>
  <si>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</si>
  <si>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</si>
  <si>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</si>
  <si>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</si>
  <si>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</si>
  <si>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</si>
  <si>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</si>
  <si>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</si>
  <si>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</si>
  <si>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</si>
  <si>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</si>
  <si>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</si>
  <si>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</si>
  <si>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</si>
  <si>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</si>
  <si>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</si>
  <si>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</si>
  <si>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</si>
  <si>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</si>
  <si>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</si>
  <si>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</si>
  <si>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</si>
  <si>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</si>
  <si>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</si>
  <si>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</si>
  <si>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</si>
  <si>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</si>
  <si>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</si>
  <si>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</si>
  <si>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</si>
  <si>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</si>
  <si>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</si>
  <si>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</si>
  <si>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</si>
  <si>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</si>
  <si>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</si>
  <si>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</si>
  <si>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</si>
  <si>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</si>
  <si>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</si>
  <si>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</si>
  <si>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</si>
  <si>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</si>
  <si>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</si>
  <si>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</si>
  <si>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</si>
  <si>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</si>
  <si>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</si>
  <si>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</si>
  <si>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</si>
  <si>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</si>
  <si>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</si>
  <si>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</si>
  <si>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</si>
  <si>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</si>
  <si>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</si>
  <si>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</si>
  <si>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</si>
  <si>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</si>
  <si>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</si>
  <si>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</si>
  <si>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</si>
  <si>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</si>
  <si>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</si>
  <si>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</si>
  <si>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</si>
  <si>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</si>
  <si>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</si>
  <si>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</si>
  <si>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</si>
  <si>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</si>
  <si>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</si>
  <si>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</si>
  <si>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</si>
  <si>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</si>
  <si>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</si>
  <si>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</si>
  <si>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</si>
  <si>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</si>
  <si>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</si>
  <si>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</si>
  <si>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</si>
  <si>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</si>
  <si>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</si>
  <si>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</si>
  <si>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</si>
  <si>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</si>
  <si>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</si>
  <si>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</si>
  <si>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</si>
  <si>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</si>
  <si>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</si>
  <si>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</si>
  <si>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</si>
  <si>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</si>
  <si>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</si>
  <si>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</si>
  <si>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</si>
  <si>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</si>
  <si>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</si>
  <si>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</si>
  <si>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</si>
  <si>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</si>
  <si>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</si>
  <si>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</si>
  <si>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</si>
  <si>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</si>
  <si>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</si>
  <si>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</si>
  <si>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</si>
  <si>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</si>
  <si>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</si>
  <si>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</si>
  <si>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</si>
  <si>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</si>
  <si>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</si>
  <si>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</si>
  <si>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</si>
  <si>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</si>
  <si>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</si>
  <si>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</si>
  <si>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</si>
  <si>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</si>
  <si>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</si>
  <si>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</si>
  <si>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</si>
  <si>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</si>
  <si>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</si>
  <si>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</si>
  <si>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</si>
  <si>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</si>
  <si>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</si>
  <si>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</si>
  <si>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</si>
  <si>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</si>
  <si>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</si>
  <si>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</si>
  <si>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</si>
  <si>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</si>
  <si>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</si>
  <si>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</si>
  <si>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</si>
  <si>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</si>
  <si>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</si>
  <si>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</si>
  <si>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</si>
  <si>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</si>
  <si>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</si>
  <si>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</si>
  <si>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</si>
  <si>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</si>
  <si>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</si>
  <si>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</si>
  <si>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</si>
  <si>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</si>
  <si>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</si>
  <si>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</si>
  <si>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</si>
  <si>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</si>
  <si>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</si>
  <si>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</si>
  <si>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</si>
  <si>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</si>
  <si>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</si>
  <si>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</si>
  <si>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</si>
  <si>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</si>
  <si>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</si>
  <si>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</si>
  <si>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</si>
  <si>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</si>
  <si>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</si>
  <si>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</si>
  <si>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</si>
  <si>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</si>
  <si>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</si>
  <si>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</si>
  <si>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</si>
  <si>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</si>
  <si>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</si>
  <si>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序号</t>
    <phoneticPr fontId="228" type="noConversion"/>
  </si>
  <si>
    <t>证号</t>
    <phoneticPr fontId="228" type="noConversion"/>
  </si>
  <si>
    <t>土地使用权人</t>
    <phoneticPr fontId="228" type="noConversion"/>
  </si>
  <si>
    <t>座落</t>
    <phoneticPr fontId="228" type="noConversion"/>
  </si>
  <si>
    <t>地号</t>
    <phoneticPr fontId="228" type="noConversion"/>
  </si>
  <si>
    <t>图号</t>
    <phoneticPr fontId="228" type="noConversion"/>
  </si>
  <si>
    <t>地类（用途）</t>
    <phoneticPr fontId="228" type="noConversion"/>
  </si>
  <si>
    <t>使用权类型</t>
    <phoneticPr fontId="228" type="noConversion"/>
  </si>
  <si>
    <t>终止日期</t>
    <phoneticPr fontId="228" type="noConversion"/>
  </si>
  <si>
    <t>使用权面积（㎡）</t>
    <phoneticPr fontId="228" type="noConversion"/>
  </si>
  <si>
    <t>抵押</t>
    <phoneticPr fontId="228" type="noConversion"/>
  </si>
  <si>
    <t>诸国用（2013）第03043号</t>
    <phoneticPr fontId="228" type="noConversion"/>
  </si>
  <si>
    <t>诸城龙乡水务集团有限公司</t>
    <phoneticPr fontId="228" type="noConversion"/>
  </si>
  <si>
    <t>003237012</t>
    <phoneticPr fontId="228" type="noConversion"/>
  </si>
  <si>
    <t>91.25-05.25</t>
    <phoneticPr fontId="228" type="noConversion"/>
  </si>
  <si>
    <t>其他商服</t>
    <phoneticPr fontId="228" type="noConversion"/>
  </si>
  <si>
    <t>出让</t>
    <phoneticPr fontId="228" type="noConversion"/>
  </si>
  <si>
    <t>无</t>
    <phoneticPr fontId="228" type="noConversion"/>
  </si>
  <si>
    <t>诸国用（2013）第03044号</t>
    <phoneticPr fontId="228" type="noConversion"/>
  </si>
  <si>
    <t>003237009</t>
    <phoneticPr fontId="228" type="noConversion"/>
  </si>
  <si>
    <t>91.75-06.00</t>
    <phoneticPr fontId="228" type="noConversion"/>
  </si>
  <si>
    <t>003231009</t>
    <phoneticPr fontId="228" type="noConversion"/>
  </si>
  <si>
    <t>89.75-04.75</t>
    <phoneticPr fontId="228" type="noConversion"/>
  </si>
  <si>
    <t>诸国用（2013）第03049号</t>
    <phoneticPr fontId="228" type="noConversion"/>
  </si>
  <si>
    <t>003237011</t>
    <phoneticPr fontId="228" type="noConversion"/>
  </si>
  <si>
    <t>92.50-06.00</t>
    <phoneticPr fontId="228" type="noConversion"/>
  </si>
  <si>
    <t>诸国用（2013）第01052号</t>
    <phoneticPr fontId="228" type="noConversion"/>
  </si>
  <si>
    <t>003248009</t>
    <phoneticPr fontId="228" type="noConversion"/>
  </si>
  <si>
    <t>87.50-02.50</t>
    <phoneticPr fontId="228" type="noConversion"/>
  </si>
  <si>
    <t>诸国用（2013）第01053号</t>
    <phoneticPr fontId="228" type="noConversion"/>
  </si>
  <si>
    <t>002208006</t>
    <phoneticPr fontId="228" type="noConversion"/>
  </si>
  <si>
    <t>85.00-03.00</t>
    <phoneticPr fontId="228" type="noConversion"/>
  </si>
  <si>
    <t>诸国用（2013）第01054号</t>
    <phoneticPr fontId="228" type="noConversion"/>
  </si>
  <si>
    <t>002206006</t>
    <phoneticPr fontId="228" type="noConversion"/>
  </si>
  <si>
    <t>诸国用（2013）第01058号</t>
    <phoneticPr fontId="228" type="noConversion"/>
  </si>
  <si>
    <t>002207003</t>
    <phoneticPr fontId="228" type="noConversion"/>
  </si>
  <si>
    <t>86.25-03.00</t>
    <phoneticPr fontId="228" type="noConversion"/>
  </si>
  <si>
    <t>诸国用（2013）第03055号</t>
    <phoneticPr fontId="228" type="noConversion"/>
  </si>
  <si>
    <t>西环路北段东侧</t>
    <phoneticPr fontId="228" type="noConversion"/>
  </si>
  <si>
    <t>003235018</t>
    <phoneticPr fontId="228" type="noConversion"/>
  </si>
  <si>
    <t>88.25-02.50</t>
    <phoneticPr fontId="228" type="noConversion"/>
  </si>
  <si>
    <t>合计</t>
    <phoneticPr fontId="228" type="noConversion"/>
  </si>
  <si>
    <t>评估值</t>
    <phoneticPr fontId="274" type="noConversion"/>
  </si>
  <si>
    <t>容积率</t>
    <phoneticPr fontId="274" type="noConversion"/>
  </si>
  <si>
    <t>规划建筑面积（㎡）</t>
    <phoneticPr fontId="274" type="noConversion"/>
  </si>
  <si>
    <t>出让总价（元）</t>
    <phoneticPr fontId="274" type="noConversion"/>
  </si>
  <si>
    <t>五矿信托</t>
    <phoneticPr fontId="6" type="noConversion"/>
  </si>
  <si>
    <t>诸城龙乡水务集团有限公司</t>
    <phoneticPr fontId="6" type="noConversion"/>
  </si>
  <si>
    <t>抵押</t>
  </si>
  <si>
    <t>抵押价格</t>
  </si>
  <si>
    <t>其他：</t>
  </si>
  <si>
    <t>山东诸城</t>
    <phoneticPr fontId="6" type="noConversion"/>
  </si>
  <si>
    <t>企业</t>
  </si>
  <si>
    <t>其他商服用地</t>
    <phoneticPr fontId="6" type="noConversion"/>
  </si>
  <si>
    <t>商业</t>
  </si>
  <si>
    <t>商业</t>
    <phoneticPr fontId="6" type="noConversion"/>
  </si>
  <si>
    <t>诸国用（2013）第03046号</t>
    <phoneticPr fontId="228" type="noConversion"/>
  </si>
  <si>
    <t>《国有土地使用证》[诸国用（2013）第03046号]</t>
    <phoneticPr fontId="6" type="noConversion"/>
  </si>
  <si>
    <t>一致</t>
  </si>
  <si>
    <t>符合</t>
  </si>
  <si>
    <t>否</t>
  </si>
  <si>
    <t>通上水</t>
  </si>
  <si>
    <t>通电</t>
  </si>
  <si>
    <t>通路</t>
  </si>
  <si>
    <t>地上</t>
  </si>
  <si>
    <t>独立商业</t>
  </si>
  <si>
    <t>商业</t>
    <phoneticPr fontId="7" type="noConversion"/>
  </si>
  <si>
    <t>项目全部</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</si>
  <si>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</si>
  <si>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</si>
  <si>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</si>
  <si>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</si>
  <si>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</si>
  <si>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</si>
  <si>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</si>
  <si>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</si>
  <si>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</si>
  <si>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</si>
  <si>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</si>
  <si>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</si>
  <si>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</si>
  <si>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</si>
  <si>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常山大道与旅游路交叉口西南侧</t>
  </si>
  <si>
    <t>潍坊市</t>
  </si>
  <si>
    <t>其它用地</t>
  </si>
  <si>
    <t>大于或等于1.2并且小于或等于1.5</t>
  </si>
  <si>
    <t>挂牌</t>
  </si>
  <si>
    <t>2019-04-11</t>
  </si>
  <si>
    <t>诸城智谷置业有限公司</t>
  </si>
  <si>
    <t>0星</t>
  </si>
  <si>
    <t>龙都街道龙乡路西侧</t>
  </si>
  <si>
    <t>大于或等于0.1并且小于或等于2.2</t>
  </si>
  <si>
    <t>2019-04-09</t>
  </si>
  <si>
    <t>诸城市松旅恐龙文化旅游发展有限公司</t>
  </si>
  <si>
    <t>大于或等于0.1并且小于或等于2.5</t>
  </si>
  <si>
    <t>东关大街北段西侧</t>
  </si>
  <si>
    <t>商业/办公用地</t>
  </si>
  <si>
    <t>大于或等于2并且小于或等于5</t>
  </si>
  <si>
    <t>2019-04-07</t>
  </si>
  <si>
    <t>刘术光</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</si>
  <si>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</si>
  <si>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</si>
  <si>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</si>
  <si>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</si>
  <si>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</si>
  <si>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</si>
  <si>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</si>
  <si>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</si>
  <si>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</si>
  <si>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</si>
  <si>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</si>
  <si>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</si>
  <si>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</si>
  <si>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</si>
  <si>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</si>
  <si>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</si>
  <si>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</si>
  <si>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</si>
  <si>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</si>
  <si>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</si>
  <si>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</si>
  <si>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</si>
  <si>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</si>
  <si>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</si>
  <si>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</si>
  <si>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</si>
  <si>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</si>
  <si>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</si>
  <si>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</si>
  <si>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</si>
  <si>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</si>
  <si>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</si>
  <si>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</si>
  <si>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</si>
  <si>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密州东路与工业大道交叉口东北角</t>
  </si>
  <si>
    <t>大于或等于0.06并且小于或等于0.56</t>
  </si>
  <si>
    <t>2019-03-15</t>
  </si>
  <si>
    <t>诸城市海龙源石油有限公司</t>
  </si>
  <si>
    <t>诸城市龙都街道孔戈庄二居委会</t>
  </si>
  <si>
    <t>大于或等于0.5</t>
  </si>
  <si>
    <t>2019-02-20</t>
  </si>
  <si>
    <t>山东惠丰油脂股份有限公司</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</si>
  <si>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</si>
  <si>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</si>
  <si>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</si>
  <si>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</si>
  <si>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</si>
  <si>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</si>
  <si>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</si>
  <si>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</si>
  <si>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</si>
  <si>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</si>
  <si>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</si>
  <si>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</si>
  <si>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</si>
  <si>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</si>
  <si>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</si>
  <si>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</si>
  <si>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</si>
  <si>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</si>
  <si>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</si>
  <si>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</si>
  <si>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</si>
  <si>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</si>
  <si>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</si>
  <si>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</si>
  <si>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</si>
  <si>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</si>
  <si>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</si>
  <si>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</si>
  <si>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</si>
  <si>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</si>
  <si>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</si>
  <si>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</si>
  <si>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</si>
  <si>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</si>
  <si>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</si>
  <si>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</si>
  <si>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</si>
  <si>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</si>
  <si>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诸城市密州街道新农村居委会</t>
  </si>
  <si>
    <t>大于或等于1.3并且小于或等于1.6</t>
  </si>
  <si>
    <t>2018-10-11</t>
  </si>
  <si>
    <t>诸城市新时代文化传媒中心</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</si>
  <si>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</si>
  <si>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</si>
  <si>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</si>
  <si>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</si>
  <si>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</si>
  <si>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</si>
  <si>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</si>
  <si>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</si>
  <si>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</si>
  <si>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</si>
  <si>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</si>
  <si>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</si>
  <si>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</si>
  <si>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</si>
  <si>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</si>
  <si>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</si>
  <si>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</si>
  <si>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</si>
  <si>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</si>
  <si>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</si>
  <si>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</si>
  <si>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</si>
  <si>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</si>
  <si>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</si>
  <si>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</si>
  <si>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</si>
  <si>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</si>
  <si>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大于或等于0.1并且小于或等于1</t>
  </si>
  <si>
    <t>2018-06-17</t>
  </si>
  <si>
    <t>龙都街道库沟村</t>
  </si>
  <si>
    <t>诸城市密州街道新农村居委会、环湖东路西侧</t>
  </si>
  <si>
    <t>大于或等于0.7</t>
  </si>
  <si>
    <t>2018-06-01</t>
  </si>
  <si>
    <t>山东大源置业有限公司</t>
  </si>
  <si>
    <t>繁荣东路与东武街交叉路口东南角</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</si>
  <si>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</si>
  <si>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</si>
  <si>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</si>
  <si>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</si>
  <si>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</si>
  <si>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</si>
  <si>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</si>
  <si>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</si>
  <si>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</si>
  <si>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</si>
  <si>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</si>
  <si>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</si>
  <si>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</si>
  <si>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</si>
  <si>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</si>
  <si>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</si>
  <si>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</si>
  <si>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</si>
  <si>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</si>
  <si>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</si>
  <si>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</si>
  <si>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</si>
  <si>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</si>
  <si>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</si>
  <si>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</si>
  <si>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</si>
  <si>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</si>
  <si>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</si>
  <si>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</si>
  <si>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</si>
  <si>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</si>
  <si>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</si>
  <si>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</si>
  <si>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</si>
  <si>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</si>
  <si>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</si>
  <si>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</si>
  <si>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</si>
  <si>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</si>
  <si>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密州东路与东环路交叉口西南角</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</si>
  <si>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</si>
  <si>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</si>
  <si>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</si>
  <si>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</si>
  <si>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</si>
  <si>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</si>
  <si>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</si>
  <si>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</si>
  <si>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繁荣东路中段北侧</t>
  </si>
  <si>
    <t>大于或等于1.9并且小于或等于2.4</t>
  </si>
  <si>
    <t>2017-06-25</t>
  </si>
  <si>
    <t>潍坊辰硕置业有限公司</t>
  </si>
  <si>
    <t>诸城市龙都街道大黑龙沟村</t>
  </si>
  <si>
    <t>等于0.85</t>
  </si>
  <si>
    <t>2017-04-26</t>
  </si>
  <si>
    <t>山东大源建设集团有限公司</t>
  </si>
  <si>
    <t>等于0.75</t>
  </si>
  <si>
    <t>诸城大源生态农业示范基地有限公司</t>
  </si>
  <si>
    <t>等于1.52</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</si>
  <si>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</si>
  <si>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</si>
  <si>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</si>
  <si>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</si>
  <si>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</si>
  <si>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</si>
  <si>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</si>
  <si>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</si>
  <si>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</si>
  <si>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</si>
  <si>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</si>
  <si>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</si>
  <si>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</si>
  <si>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</si>
  <si>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</si>
  <si>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</si>
  <si>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</si>
  <si>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</si>
  <si>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</si>
  <si>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</si>
  <si>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密州街道大高乐埠</t>
  </si>
  <si>
    <t>大于或等于1.2并且小于或等于1.8</t>
  </si>
  <si>
    <t>2017-01-11</t>
  </si>
  <si>
    <t>王平峰</t>
  </si>
  <si>
    <t>密州街道驻地凤凰路东段北侧</t>
  </si>
  <si>
    <t>安徽建华房屋开发有限公司</t>
  </si>
  <si>
    <t>舜王大道西侧、历山路北侧</t>
  </si>
  <si>
    <t>2016-12-16</t>
  </si>
  <si>
    <t>潍坊银行股份有限公司诸城支行</t>
  </si>
  <si>
    <t>龙都街南段西侧</t>
  </si>
  <si>
    <t>大于或等于4.8并且小于或等于5.1</t>
  </si>
  <si>
    <t>诸城市玉山房地产开发有限责任公司</t>
  </si>
  <si>
    <t>北环路西段南侧</t>
  </si>
  <si>
    <t>诸冯街西侧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</si>
  <si>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</si>
  <si>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</si>
  <si>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</si>
  <si>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</si>
  <si>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</si>
  <si>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</si>
  <si>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</si>
  <si>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</si>
  <si>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</si>
  <si>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</si>
  <si>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</si>
  <si>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</si>
  <si>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</si>
  <si>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</si>
  <si>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</si>
  <si>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</si>
  <si>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</si>
  <si>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</si>
  <si>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</si>
  <si>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土地（套用方法）</t>
  </si>
  <si>
    <t>钢混</t>
  </si>
  <si>
    <t>按租金收入计税</t>
  </si>
  <si>
    <t>不动产收益法</t>
  </si>
  <si>
    <t>剩余法-待开发</t>
  </si>
  <si>
    <t>比较法-住宅、综合</t>
  </si>
  <si>
    <t>押一</t>
  </si>
  <si>
    <t>楼面地价</t>
  </si>
  <si>
    <t>龙都街道西见屯村</t>
    <phoneticPr fontId="3" type="noConversion"/>
  </si>
  <si>
    <t>繁荣东路与东武街交叉路口东南角</t>
    <phoneticPr fontId="228" type="noConversion"/>
  </si>
  <si>
    <t>人民东路东段南侧</t>
    <phoneticPr fontId="228" type="noConversion"/>
  </si>
  <si>
    <t>人民东路东段南侧</t>
    <phoneticPr fontId="3" type="noConversion"/>
  </si>
  <si>
    <t>龙都街道西见屯村</t>
    <phoneticPr fontId="228" type="noConversion"/>
  </si>
  <si>
    <t>正常</t>
  </si>
  <si>
    <t>其他商服</t>
  </si>
  <si>
    <t>其他商服</t>
    <phoneticPr fontId="26" type="noConversion"/>
  </si>
  <si>
    <t>40</t>
    <phoneticPr fontId="26" type="noConversion"/>
  </si>
  <si>
    <t>较好</t>
  </si>
  <si>
    <t>一般</t>
  </si>
  <si>
    <t>七通</t>
  </si>
  <si>
    <t>单面临街</t>
  </si>
  <si>
    <t>城市次干道</t>
  </si>
  <si>
    <t>人民东路</t>
    <phoneticPr fontId="26" type="noConversion"/>
  </si>
  <si>
    <t>繁荣东路</t>
    <phoneticPr fontId="26" type="noConversion"/>
  </si>
  <si>
    <t>舜王大道</t>
    <phoneticPr fontId="26" type="noConversion"/>
  </si>
  <si>
    <t>城市主干道</t>
  </si>
  <si>
    <t>城市快速路</t>
    <phoneticPr fontId="26" type="noConversion"/>
  </si>
  <si>
    <t>城市主干道</t>
    <phoneticPr fontId="26" type="noConversion"/>
  </si>
  <si>
    <t>城市次干道</t>
    <phoneticPr fontId="26" type="noConversion"/>
  </si>
  <si>
    <t>支路</t>
  </si>
  <si>
    <t>支路</t>
    <phoneticPr fontId="26" type="noConversion"/>
  </si>
  <si>
    <t>城市高速路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</si>
  <si>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</si>
  <si>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</si>
  <si>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</si>
  <si>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</si>
  <si>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</si>
  <si>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三通</t>
  </si>
  <si>
    <t>三通</t>
    <phoneticPr fontId="26"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</si>
  <si>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</si>
  <si>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</si>
  <si>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</si>
  <si>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比例较适宜</t>
  </si>
  <si>
    <t>土地面积</t>
    <phoneticPr fontId="21" type="noConversion"/>
  </si>
  <si>
    <t>宗地形状</t>
    <phoneticPr fontId="3" type="noConversion"/>
  </si>
  <si>
    <t>不规则</t>
    <phoneticPr fontId="26" type="noConversion"/>
  </si>
  <si>
    <t>不规则</t>
    <phoneticPr fontId="26" type="noConversion"/>
  </si>
  <si>
    <r>
      <rPr>
        <sz val="10"/>
        <color theme="9" tint="-0.249977111117893"/>
        <rFont val="楷体_GB2312"/>
        <family val="3"/>
        <charset val="134"/>
      </rPr>
      <t>修正项</t>
    </r>
    <r>
      <rPr>
        <sz val="10"/>
        <color theme="9" tint="-0.249977111117893"/>
        <rFont val="Arial"/>
        <family val="2"/>
      </rPr>
      <t>3</t>
    </r>
    <phoneticPr fontId="3" type="noConversion"/>
  </si>
  <si>
    <t>可利用程度</t>
    <phoneticPr fontId="26" type="noConversion"/>
  </si>
  <si>
    <t>较好</t>
    <phoneticPr fontId="26" type="noConversion"/>
  </si>
  <si>
    <t>好</t>
    <phoneticPr fontId="26" type="noConversion"/>
  </si>
  <si>
    <t>较差</t>
    <phoneticPr fontId="26" type="noConversion"/>
  </si>
  <si>
    <t>差</t>
    <phoneticPr fontId="26" type="noConversion"/>
  </si>
  <si>
    <t>舜苑路北侧</t>
    <phoneticPr fontId="228" type="noConversion"/>
  </si>
  <si>
    <t>舜苑路北侧</t>
    <phoneticPr fontId="228" type="noConversion"/>
  </si>
  <si>
    <t>北环路北侧</t>
    <phoneticPr fontId="228" type="noConversion"/>
  </si>
  <si>
    <t>历山路北侧</t>
    <phoneticPr fontId="228" type="noConversion"/>
  </si>
  <si>
    <t>西环路北段西侧</t>
    <phoneticPr fontId="228" type="noConversion"/>
  </si>
  <si>
    <t>西环路中段东侧</t>
    <phoneticPr fontId="228" type="noConversion"/>
  </si>
  <si>
    <t>西环路南段东侧</t>
    <phoneticPr fontId="228" type="noConversion"/>
  </si>
  <si>
    <t>密州路西段南侧</t>
    <phoneticPr fontId="228" type="noConversion"/>
  </si>
  <si>
    <t>单位面积地价</t>
    <phoneticPr fontId="274" type="noConversion"/>
  </si>
  <si>
    <t>楼面地价</t>
    <phoneticPr fontId="274" type="noConversion"/>
  </si>
  <si>
    <t>繁荣东路与东武街交叉路口东南角</t>
    <phoneticPr fontId="3"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</si>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</sst>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0" borderId="2" xfId="0" applyBorder="1" applyAlignment="1">
      <alignment horizontal="center" vertical="center"/>
    </xf>
    <xf numFmtId="49"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17" borderId="2" xfId="0" applyFill="1" applyBorder="1" applyAlignment="1">
      <alignment horizontal="center" vertical="center"/>
    </xf>
    <xf numFmtId="49" fontId="0" fillId="17" borderId="2" xfId="0" applyNumberFormat="1" applyFill="1" applyBorder="1" applyAlignment="1">
      <alignment horizontal="center" vertical="center"/>
    </xf>
    <xf numFmtId="14" fontId="0" fillId="17" borderId="2" xfId="0" applyNumberFormat="1" applyFill="1" applyBorder="1" applyAlignment="1">
      <alignment horizontal="center" vertical="center"/>
    </xf>
    <xf numFmtId="0" fontId="0" fillId="0" borderId="2" xfId="0" applyFont="1" applyFill="1" applyBorder="1" applyAlignment="1">
      <alignment horizontal="center" vertical="center"/>
    </xf>
    <xf numFmtId="0" fontId="145" fillId="0" borderId="2" xfId="0" applyFont="1" applyBorder="1" applyAlignment="1">
      <alignment horizontal="center" vertical="center"/>
    </xf>
    <xf numFmtId="0" fontId="145" fillId="17" borderId="2" xfId="0" applyFont="1" applyFill="1" applyBorder="1" applyAlignment="1">
      <alignment horizontal="center" vertical="center"/>
    </xf>
    <xf numFmtId="0" fontId="147" fillId="0" borderId="0" xfId="0" applyFont="1" applyAlignment="1"/>
    <xf numFmtId="0" fontId="147" fillId="0" borderId="0" xfId="0" applyFont="1" applyFill="1" applyAlignment="1"/>
    <xf numFmtId="0" fontId="147" fillId="6" borderId="0" xfId="0" applyFont="1" applyFill="1" applyAlignment="1"/>
    <xf numFmtId="0" fontId="0" fillId="6" borderId="0" xfId="0" applyFill="1" applyAlignment="1"/>
    <xf numFmtId="0" fontId="145" fillId="6" borderId="0" xfId="0" applyFont="1" applyFill="1" applyAlignment="1"/>
    <xf numFmtId="14" fontId="147" fillId="6" borderId="0" xfId="0" applyNumberFormat="1" applyFont="1" applyFill="1" applyAlignment="1"/>
    <xf numFmtId="14" fontId="0" fillId="6" borderId="0" xfId="0" applyNumberFormat="1" applyFill="1" applyAlignment="1"/>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0" xfId="0" applyFont="1" applyFill="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1" fillId="5" borderId="26" xfId="0" applyNumberFormat="1" applyFont="1" applyFill="1" applyBorder="1" applyAlignment="1" applyProtection="1">
      <alignment horizontal="center" vertical="center" wrapText="1"/>
    </xf>
    <xf numFmtId="0" fontId="49" fillId="5" borderId="2" xfId="0" applyFont="1" applyFill="1" applyBorder="1" applyAlignment="1" applyProtection="1">
      <alignment horizontal="center" vertical="center" wrapText="1"/>
    </xf>
    <xf numFmtId="0" fontId="264" fillId="0" borderId="105" xfId="0" applyNumberFormat="1" applyFont="1" applyFill="1" applyBorder="1" applyAlignment="1" applyProtection="1">
      <alignment horizontal="center" vertical="center" wrapText="1"/>
      <protection locked="0"/>
    </xf>
    <xf numFmtId="0" fontId="147" fillId="14" borderId="0" xfId="0" applyFont="1"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1" fillId="9" borderId="11" xfId="0" applyFont="1" applyFill="1" applyBorder="1" applyAlignment="1" applyProtection="1">
      <alignment vertical="center"/>
      <protection locked="0"/>
    </xf>
    <xf numFmtId="0" fontId="0" fillId="7" borderId="2" xfId="0" applyFill="1" applyBorder="1" applyAlignment="1">
      <alignment horizontal="center" vertical="center"/>
    </xf>
    <xf numFmtId="181" fontId="152" fillId="18" borderId="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0" fontId="117" fillId="18" borderId="2" xfId="0" applyNumberFormat="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7" borderId="2" xfId="0" applyFill="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180</xdr:row>
      <xdr:rowOff>171449</xdr:rowOff>
    </xdr:from>
    <xdr:to>
      <xdr:col>8</xdr:col>
      <xdr:colOff>828676</xdr:colOff>
      <xdr:row>208</xdr:row>
      <xdr:rowOff>47624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657849"/>
          <a:ext cx="7258050" cy="4676775"/>
        </a:xfrm>
        <a:prstGeom prst="rect">
          <a:avLst/>
        </a:prstGeom>
      </xdr:spPr>
    </xdr:pic>
    <xdr:clientData/>
  </xdr:twoCellAnchor>
  <xdr:twoCellAnchor editAs="oneCell">
    <xdr:from>
      <xdr:col>10</xdr:col>
      <xdr:colOff>95250</xdr:colOff>
      <xdr:row>181</xdr:row>
      <xdr:rowOff>38101</xdr:rowOff>
    </xdr:from>
    <xdr:to>
      <xdr:col>17</xdr:col>
      <xdr:colOff>276225</xdr:colOff>
      <xdr:row>208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7467600" y="5695951"/>
          <a:ext cx="7258050" cy="4619624"/>
        </a:xfrm>
        <a:prstGeom prst="rect">
          <a:avLst/>
        </a:prstGeom>
      </xdr:spPr>
    </xdr:pic>
    <xdr:clientData/>
  </xdr:twoCellAnchor>
  <xdr:twoCellAnchor editAs="oneCell">
    <xdr:from>
      <xdr:col>0</xdr:col>
      <xdr:colOff>123826</xdr:colOff>
      <xdr:row>209</xdr:row>
      <xdr:rowOff>19050</xdr:rowOff>
    </xdr:from>
    <xdr:to>
      <xdr:col>8</xdr:col>
      <xdr:colOff>933450</xdr:colOff>
      <xdr:row>233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6" y="10477500"/>
          <a:ext cx="7238999" cy="411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182297</xdr:colOff>
      <xdr:row>17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68696" cy="3057525"/>
        </a:xfrm>
        <a:prstGeom prst="rect">
          <a:avLst/>
        </a:prstGeom>
      </xdr:spPr>
    </xdr:pic>
    <xdr:clientData/>
  </xdr:twoCellAnchor>
  <xdr:twoCellAnchor editAs="oneCell">
    <xdr:from>
      <xdr:col>0</xdr:col>
      <xdr:colOff>1</xdr:colOff>
      <xdr:row>18</xdr:row>
      <xdr:rowOff>1</xdr:rowOff>
    </xdr:from>
    <xdr:to>
      <xdr:col>8</xdr:col>
      <xdr:colOff>133351</xdr:colOff>
      <xdr:row>36</xdr:row>
      <xdr:rowOff>32931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5619750" cy="3119030"/>
        </a:xfrm>
        <a:prstGeom prst="rect">
          <a:avLst/>
        </a:prstGeom>
      </xdr:spPr>
    </xdr:pic>
    <xdr:clientData/>
  </xdr:twoCellAnchor>
  <xdr:twoCellAnchor editAs="oneCell">
    <xdr:from>
      <xdr:col>9</xdr:col>
      <xdr:colOff>0</xdr:colOff>
      <xdr:row>0</xdr:row>
      <xdr:rowOff>0</xdr:rowOff>
    </xdr:from>
    <xdr:to>
      <xdr:col>17</xdr:col>
      <xdr:colOff>322412</xdr:colOff>
      <xdr:row>19</xdr:row>
      <xdr:rowOff>19215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5808812" cy="327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419265</xdr:colOff>
      <xdr:row>27</xdr:row>
      <xdr:rowOff>0</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5219864" cy="4629150"/>
        </a:xfrm>
        <a:prstGeom prst="rect">
          <a:avLst/>
        </a:prstGeom>
      </xdr:spPr>
    </xdr:pic>
    <xdr:clientData/>
  </xdr:twoCellAnchor>
  <xdr:twoCellAnchor editAs="oneCell">
    <xdr:from>
      <xdr:col>8</xdr:col>
      <xdr:colOff>23806</xdr:colOff>
      <xdr:row>0</xdr:row>
      <xdr:rowOff>19051</xdr:rowOff>
    </xdr:from>
    <xdr:to>
      <xdr:col>16</xdr:col>
      <xdr:colOff>104620</xdr:colOff>
      <xdr:row>26</xdr:row>
      <xdr:rowOff>152401</xdr:rowOff>
    </xdr:to>
    <xdr:pic>
      <xdr:nvPicPr>
        <xdr:cNvPr id="4" name="图片 3"/>
        <xdr:cNvPicPr>
          <a:picLocks noChangeAspect="1"/>
        </xdr:cNvPicPr>
      </xdr:nvPicPr>
      <xdr:blipFill>
        <a:blip xmlns:r="http://schemas.openxmlformats.org/officeDocument/2006/relationships" r:embed="rId2"/>
        <a:stretch>
          <a:fillRect/>
        </a:stretch>
      </xdr:blipFill>
      <xdr:spPr>
        <a:xfrm>
          <a:off x="5510206" y="19051"/>
          <a:ext cx="5567214" cy="4591050"/>
        </a:xfrm>
        <a:prstGeom prst="rect">
          <a:avLst/>
        </a:prstGeom>
      </xdr:spPr>
    </xdr:pic>
    <xdr:clientData/>
  </xdr:twoCellAnchor>
  <xdr:twoCellAnchor editAs="oneCell">
    <xdr:from>
      <xdr:col>0</xdr:col>
      <xdr:colOff>1</xdr:colOff>
      <xdr:row>29</xdr:row>
      <xdr:rowOff>1</xdr:rowOff>
    </xdr:from>
    <xdr:to>
      <xdr:col>7</xdr:col>
      <xdr:colOff>438151</xdr:colOff>
      <xdr:row>59</xdr:row>
      <xdr:rowOff>123825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1" y="4972051"/>
          <a:ext cx="5238750" cy="5267324"/>
        </a:xfrm>
        <a:prstGeom prst="rect">
          <a:avLst/>
        </a:prstGeom>
      </xdr:spPr>
    </xdr:pic>
    <xdr:clientData/>
  </xdr:twoCellAnchor>
  <xdr:twoCellAnchor editAs="oneCell">
    <xdr:from>
      <xdr:col>8</xdr:col>
      <xdr:colOff>0</xdr:colOff>
      <xdr:row>29</xdr:row>
      <xdr:rowOff>0</xdr:rowOff>
    </xdr:from>
    <xdr:to>
      <xdr:col>16</xdr:col>
      <xdr:colOff>256458</xdr:colOff>
      <xdr:row>59</xdr:row>
      <xdr:rowOff>123825</xdr:rowOff>
    </xdr:to>
    <xdr:pic>
      <xdr:nvPicPr>
        <xdr:cNvPr id="6" name="图片 5"/>
        <xdr:cNvPicPr>
          <a:picLocks noChangeAspect="1"/>
        </xdr:cNvPicPr>
      </xdr:nvPicPr>
      <xdr:blipFill>
        <a:blip xmlns:r="http://schemas.openxmlformats.org/officeDocument/2006/relationships" r:embed="rId4"/>
        <a:stretch>
          <a:fillRect/>
        </a:stretch>
      </xdr:blipFill>
      <xdr:spPr>
        <a:xfrm>
          <a:off x="5486400" y="4972050"/>
          <a:ext cx="5742858" cy="5267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山东诸城出让国有建设用地使用权抵押价格预评估</v>
      </c>
      <c r="AX2" s="2850"/>
      <c r="AZ2" s="2850"/>
      <c r="BA2" s="2851"/>
      <c r="BC2" s="2851"/>
    </row>
    <row r="3" spans="1:55" s="2852" customFormat="1">
      <c r="A3" s="2831" t="s">
        <v>2657</v>
      </c>
      <c r="B3" s="2834" t="str">
        <f>'预评函-封皮'!B40</f>
        <v>五矿信托</v>
      </c>
    </row>
    <row r="4" spans="1:55" s="2833" customFormat="1">
      <c r="A4" s="2831" t="s">
        <v>2658</v>
      </c>
      <c r="B4" s="2832" t="str">
        <f>'预评函-封皮'!B46</f>
        <v>土地估价师、土地估价师</v>
      </c>
      <c r="N4" s="2833" t="str">
        <f>'预评函-1'!A28</f>
        <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受贵公司委托，我公司对山东诸城出让国有建设用地使用权抵押价格进行了预评估。</v>
      </c>
      <c r="AM6" s="2856"/>
    </row>
    <row r="7" spans="1:55" s="2830" customFormat="1">
      <c r="A7" s="2831" t="s">
        <v>2653</v>
      </c>
      <c r="B7" s="2832" t="str">
        <f>'预评函-1'!A6</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2019年5月9日（评估专业人员勘察现场之日）</v>
      </c>
    </row>
    <row r="11" spans="1:55" s="2830" customFormat="1">
      <c r="A11" s="2831" t="s">
        <v>2661</v>
      </c>
      <c r="B11" s="2832" t="str">
        <f>'预评函-1'!A14</f>
        <v>根据《国有土地使用证》[诸国用（2013）第03046号]，本次评估估价对象证载（地类）用途为其他商服用地。</v>
      </c>
    </row>
    <row r="12" spans="1:55" s="2830" customFormat="1">
      <c r="A12" s="2831" t="s">
        <v>2662</v>
      </c>
      <c r="B12" s="2832" t="str">
        <f>'预评函-1'!A15</f>
        <v>本次评估设定用途即为证载用途商业。</v>
      </c>
    </row>
    <row r="13" spans="1:55" s="2830" customFormat="1">
      <c r="A13" s="2831" t="s">
        <v>2663</v>
      </c>
      <c r="B13" s="2832" t="str">
        <f>'预评函-1'!A17</f>
        <v>根据委托估价方介绍及评估专业人员现场勘查，本次评估估价对象实际土地开发程度为红线外市政基础设施达“七通”（即通上水、通电、通路、、、、）、宗地红线内场地平整。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根据《国有土地使用证》[]，估价对象（分摊）出让国有建设用地使用权面积为37520平方米。根据《建设工程规划许可证》[]、《出让合同》[]，估价对象规划建筑面积为56280平方米。</v>
      </c>
    </row>
    <row r="16" spans="1:55" s="2830" customFormat="1">
      <c r="A16" s="2831" t="s">
        <v>2665</v>
      </c>
      <c r="B16" s="2832" t="str">
        <f>'预评函-1'!A22</f>
        <v>本次估价对象为出让国有建设用地使用权，《国有土地使用证》[诸国用（2013）第03046号]证载土地终止日期为商业2053年7月4日。截至估价期日，出让国有建设用地使用权剩余土地使用年限为。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估价期日：2019年5月9日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其他商服用地</v>
      </c>
      <c r="AV32" s="2836"/>
    </row>
    <row r="33" spans="1:2">
      <c r="A33" s="2831" t="s">
        <v>2709</v>
      </c>
      <c r="B33" s="2832">
        <f>'预评函-2'!F5</f>
        <v>258</v>
      </c>
    </row>
    <row r="34" spans="1:2">
      <c r="A34" s="2831" t="s">
        <v>2710</v>
      </c>
      <c r="B34" s="2832" t="str">
        <f>'预评函-2'!G5</f>
        <v>商业</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37520</v>
      </c>
    </row>
    <row r="44" spans="1:2">
      <c r="A44" s="2831" t="s">
        <v>2736</v>
      </c>
      <c r="B44" s="2832" t="str">
        <f>'预评函-2'!O3</f>
        <v>规划建筑面积/㎡</v>
      </c>
    </row>
    <row r="45" spans="1:2">
      <c r="A45" s="2831" t="s">
        <v>2718</v>
      </c>
      <c r="B45" s="2832">
        <f>'预评函-2'!O5</f>
        <v>56280</v>
      </c>
    </row>
    <row r="46" spans="1:2">
      <c r="A46" s="2831" t="s">
        <v>2719</v>
      </c>
      <c r="B46" s="2832">
        <f ca="1">'预评函-2'!P5</f>
        <v>3669</v>
      </c>
    </row>
    <row r="47" spans="1:2">
      <c r="A47" s="2831" t="s">
        <v>2720</v>
      </c>
      <c r="B47" s="2832">
        <f ca="1">'预评函-2'!Q5</f>
        <v>2446</v>
      </c>
    </row>
    <row r="48" spans="1:2">
      <c r="A48" s="2831" t="s">
        <v>2721</v>
      </c>
      <c r="B48" s="2832">
        <f ca="1">'预评函-2'!R5</f>
        <v>13765</v>
      </c>
    </row>
    <row r="49" spans="1:2">
      <c r="A49" s="2831" t="s">
        <v>2737</v>
      </c>
      <c r="B49" s="2832" t="str">
        <f>'预评函-2'!A6</f>
        <v>抵押价格</v>
      </c>
    </row>
    <row r="50" spans="1:2">
      <c r="A50" s="2831" t="s">
        <v>2722</v>
      </c>
      <c r="B50" s="2832">
        <f ca="1">'预评函-2'!R6</f>
        <v>13765</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1.权利限制：根据估价对象《不动产权证书》——、《国有土地使用权》原件，截至估价期日，估价对象抵押权未见登记。未设定租赁等其他他项权利。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（1）根据估价对象《不动产权证书》——、《国有土地使用权》原件，截至估价期日，估价对象抵押权未见登记。</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8" sqref="G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53" t="str">
        <f>IF(B10="北京市","北京市",C10)&amp;F10&amp;B16&amp;"国有建设用地使用权"&amp;B9&amp;"预评估"</f>
        <v>山东诸城出让国有建设用地使用权抵押价格预评估</v>
      </c>
      <c r="C1" s="3254"/>
      <c r="D1" s="3254"/>
      <c r="E1" s="3254"/>
      <c r="F1" s="3254"/>
      <c r="G1" s="3254"/>
      <c r="H1" s="3254"/>
      <c r="I1" s="3255"/>
      <c r="J1" s="1676"/>
      <c r="K1" s="2417" t="str">
        <f>IF(B10="北京市","北京市",C10)&amp;F10&amp;B16&amp;"国有建设用地使用权"&amp;B9</f>
        <v>山东诸城出让国有建设用地使用权抵押价格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山东诸城出让国有建设用地使用权</v>
      </c>
      <c r="L2" s="1705"/>
      <c r="M2" s="1705"/>
      <c r="N2" s="1676"/>
      <c r="O2" s="1677"/>
      <c r="P2" s="1676"/>
      <c r="Q2" s="1676"/>
      <c r="R2" s="1676"/>
      <c r="S2" s="1676"/>
      <c r="T2" s="1676"/>
      <c r="U2" s="1676"/>
    </row>
    <row r="3" spans="1:21">
      <c r="A3" s="1643" t="s">
        <v>1937</v>
      </c>
      <c r="B3" s="1644">
        <v>43594</v>
      </c>
      <c r="C3" s="1645" t="s">
        <v>1993</v>
      </c>
      <c r="D3" s="1644">
        <v>43594</v>
      </c>
      <c r="E3" s="1676"/>
      <c r="F3" s="1676"/>
      <c r="G3" s="1676"/>
      <c r="H3" s="1642"/>
      <c r="I3" s="1677"/>
      <c r="J3" s="1676"/>
      <c r="K3" s="1756"/>
      <c r="L3" s="1705"/>
      <c r="M3" s="1705"/>
      <c r="N3" s="1676"/>
      <c r="O3" s="1677"/>
      <c r="P3" s="1676"/>
      <c r="Q3" s="1676"/>
      <c r="R3" s="1676"/>
      <c r="S3" s="1676"/>
      <c r="T3" s="1676"/>
      <c r="U3" s="1676"/>
    </row>
    <row r="4" spans="1:21" ht="29.25" thickBot="1">
      <c r="A4" s="1646" t="s">
        <v>1938</v>
      </c>
      <c r="B4" s="1825" t="s">
        <v>2885</v>
      </c>
      <c r="C4" s="1828">
        <f>SUMIF(土地估价师,B4,估价师及机构信息!E3:E24)</f>
        <v>0</v>
      </c>
      <c r="D4" s="1825" t="s">
        <v>2885</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1939</v>
      </c>
      <c r="B5" s="1771" t="s">
        <v>3035</v>
      </c>
      <c r="C5" s="1648"/>
      <c r="D5" s="1649"/>
      <c r="E5" s="1676"/>
      <c r="F5" s="1676"/>
      <c r="G5" s="1676"/>
      <c r="H5" s="1642"/>
      <c r="I5" s="1677"/>
      <c r="J5" s="1676"/>
      <c r="K5" s="1756"/>
      <c r="L5" s="1705"/>
      <c r="M5" s="1705"/>
      <c r="N5" s="1676"/>
      <c r="O5" s="1677"/>
      <c r="P5" s="1676"/>
      <c r="Q5" s="1676"/>
      <c r="R5" s="1676"/>
      <c r="S5" s="1676"/>
      <c r="T5" s="1676"/>
      <c r="U5" s="1676"/>
    </row>
    <row r="6" spans="1:21" ht="26.25">
      <c r="A6" s="1645" t="s">
        <v>2702</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2703</v>
      </c>
      <c r="B7" s="1771" t="s">
        <v>3036</v>
      </c>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3037</v>
      </c>
      <c r="C8" s="1653"/>
      <c r="D8" s="3259" t="s">
        <v>1942</v>
      </c>
      <c r="E8" s="1826" t="s">
        <v>3038</v>
      </c>
      <c r="F8" s="1654"/>
      <c r="G8" s="1642"/>
      <c r="H8" s="1642"/>
      <c r="I8" s="1689"/>
      <c r="J8" s="1676"/>
      <c r="K8" s="1756"/>
      <c r="L8" s="1705"/>
      <c r="M8" s="1705"/>
      <c r="N8" s="1676"/>
      <c r="O8" s="1677"/>
      <c r="P8" s="1676"/>
      <c r="Q8" s="1676"/>
      <c r="R8" s="1676"/>
      <c r="S8" s="1676"/>
      <c r="T8" s="1676"/>
      <c r="U8" s="1676"/>
    </row>
    <row r="9" spans="1:21" ht="15" thickBot="1">
      <c r="A9" s="1655" t="s">
        <v>1941</v>
      </c>
      <c r="B9" s="1656" t="s">
        <v>3038</v>
      </c>
      <c r="C9" s="1657"/>
      <c r="D9" s="3260"/>
      <c r="E9" s="1656" t="s">
        <v>950</v>
      </c>
      <c r="F9" s="1729"/>
      <c r="G9" s="1724"/>
      <c r="H9" s="1724"/>
      <c r="I9" s="1725"/>
      <c r="J9" s="1676"/>
      <c r="K9" s="1756"/>
      <c r="L9" s="1705"/>
      <c r="M9" s="1705"/>
      <c r="N9" s="1676"/>
      <c r="O9" s="1677"/>
      <c r="P9" s="1676"/>
      <c r="Q9" s="1676"/>
      <c r="R9" s="1676"/>
      <c r="S9" s="1676"/>
      <c r="T9" s="1676"/>
      <c r="U9" s="1676"/>
    </row>
    <row r="10" spans="1:21" ht="15" thickTop="1">
      <c r="A10" s="1726" t="s">
        <v>1997</v>
      </c>
      <c r="B10" s="1701" t="s">
        <v>3039</v>
      </c>
      <c r="C10" s="1658" t="s">
        <v>3040</v>
      </c>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t="s">
        <v>3041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56" t="s">
        <v>3042</v>
      </c>
      <c r="C12" s="3257"/>
      <c r="D12" s="3258"/>
      <c r="E12" s="1681" t="s">
        <v>2059</v>
      </c>
      <c r="F12" s="3274" t="s">
        <v>3046</v>
      </c>
      <c r="G12" s="3275"/>
      <c r="H12" s="3275"/>
      <c r="I12" s="3276"/>
      <c r="J12" s="1676"/>
      <c r="K12" s="1756"/>
      <c r="L12" s="1705"/>
      <c r="M12" s="1705"/>
      <c r="N12" s="1676"/>
      <c r="O12" s="1677"/>
      <c r="P12" s="1676"/>
      <c r="Q12" s="1676"/>
      <c r="R12" s="1676"/>
      <c r="S12" s="1676"/>
      <c r="T12" s="1676"/>
      <c r="U12" s="1676"/>
    </row>
    <row r="13" spans="1:21">
      <c r="A13" s="1669" t="s">
        <v>2057</v>
      </c>
      <c r="B13" s="3256" t="s">
        <v>3044</v>
      </c>
      <c r="C13" s="3257"/>
      <c r="D13" s="3258"/>
      <c r="E13" s="1681" t="s">
        <v>2059</v>
      </c>
      <c r="F13" s="3274" t="s">
        <v>2886</v>
      </c>
      <c r="G13" s="3275"/>
      <c r="H13" s="3275"/>
      <c r="I13" s="3276"/>
      <c r="J13" s="1676"/>
      <c r="K13" s="1756"/>
      <c r="L13" s="1705"/>
      <c r="M13" s="1705"/>
      <c r="N13" s="1676"/>
      <c r="O13" s="1677"/>
      <c r="P13" s="1676"/>
      <c r="Q13" s="1676"/>
      <c r="R13" s="1676"/>
      <c r="S13" s="1676"/>
      <c r="T13" s="1676"/>
      <c r="U13" s="1676"/>
    </row>
    <row r="14" spans="1:21">
      <c r="A14" s="1643" t="s">
        <v>2060</v>
      </c>
      <c r="B14" s="1681"/>
      <c r="C14" s="1827" t="s">
        <v>3047</v>
      </c>
      <c r="D14" s="1715" t="str">
        <f>IF(C14="不一致","是否符合证载地类范围","")</f>
        <v/>
      </c>
      <c r="E14" s="1681"/>
      <c r="F14" s="1772" t="s">
        <v>3048</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2985</v>
      </c>
      <c r="C16" s="1681" t="s">
        <v>1946</v>
      </c>
      <c r="D16" s="2608" t="s">
        <v>1947</v>
      </c>
      <c r="E16" s="1704" t="s">
        <v>3043</v>
      </c>
      <c r="F16" s="1704"/>
      <c r="G16" s="1704"/>
      <c r="H16" s="1704"/>
      <c r="I16" s="1668" t="s">
        <v>1952</v>
      </c>
      <c r="J16" s="1676"/>
      <c r="K16" s="2418" t="str">
        <f>IF(D17="","",D16&amp;TEXT(D17,"yyyy年m月d日;;"))</f>
        <v/>
      </c>
      <c r="L16" s="1681" t="str">
        <f>IF(OR(K16="",M16=""),"","、")</f>
        <v/>
      </c>
      <c r="M16" s="2418" t="str">
        <f>IF(E17="","",E16&amp;TEXT(E17,"yyyy年m月d日;;"))</f>
        <v>商业2053年7月4日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1953</v>
      </c>
      <c r="D17" s="1682"/>
      <c r="E17" s="1682">
        <v>56069</v>
      </c>
      <c r="F17" s="1682"/>
      <c r="G17" s="1682"/>
      <c r="H17" s="1682"/>
      <c r="I17" s="1682"/>
      <c r="J17" s="1676"/>
      <c r="K17" s="2417" t="str">
        <f>CONCATENATE(K16,L16,M16,N16,O16,P16,Q16,R16,S16,T16,,U16)</f>
        <v>商业2053年7月4日</v>
      </c>
      <c r="L17" s="1705"/>
      <c r="M17" s="1705"/>
      <c r="N17" s="1676"/>
      <c r="O17" s="1677"/>
      <c r="P17" s="1676"/>
      <c r="Q17" s="1676"/>
      <c r="R17" s="1676"/>
      <c r="S17" s="1676"/>
      <c r="T17" s="1676"/>
      <c r="U17" s="1676"/>
    </row>
    <row r="18" spans="1:21">
      <c r="A18" s="1745"/>
      <c r="B18" s="1664"/>
      <c r="C18" s="1665" t="s">
        <v>1954</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1955</v>
      </c>
      <c r="D19" s="1740" t="str">
        <f>IF(B16="出让",IF(D17="","",ROUNDDOWN(MIN((D17-$D$3)/365,D18),2)),D18)</f>
        <v/>
      </c>
      <c r="E19" s="1667">
        <f>IF(B16="出让",IF(E17="","",ROUNDDOWN(MIN((E17-$D$3)/365,E18),2)),E18)</f>
        <v>34.17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1"/>
      <c r="E20" s="3272"/>
      <c r="F20" s="3272"/>
      <c r="G20" s="3272"/>
      <c r="H20" s="3272"/>
      <c r="I20" s="3273"/>
      <c r="J20" s="1676"/>
      <c r="K20" s="1756"/>
      <c r="L20" s="1705"/>
      <c r="M20" s="1705"/>
      <c r="N20" s="1676"/>
      <c r="O20" s="1677"/>
      <c r="P20" s="1676"/>
      <c r="Q20" s="1676"/>
      <c r="R20" s="1676"/>
      <c r="S20" s="1676"/>
      <c r="T20" s="1676"/>
      <c r="U20" s="1676"/>
    </row>
    <row r="21" spans="1:21">
      <c r="A21" s="1745" t="s">
        <v>1956</v>
      </c>
      <c r="B21" s="1746" t="s">
        <v>1957</v>
      </c>
      <c r="C21" s="1741">
        <f>'数据-汇总表'!E3</f>
        <v>56280</v>
      </c>
      <c r="D21" s="1742" t="s">
        <v>1958</v>
      </c>
      <c r="E21" s="3261" t="s">
        <v>1996</v>
      </c>
      <c r="F21" s="3262"/>
      <c r="G21" s="3262"/>
      <c r="H21" s="3262"/>
      <c r="I21" s="3263"/>
      <c r="J21" s="1676"/>
      <c r="K21" s="1756"/>
      <c r="L21" s="1705"/>
      <c r="M21" s="1705"/>
      <c r="N21" s="1676"/>
      <c r="O21" s="1677"/>
      <c r="P21" s="1676"/>
      <c r="Q21" s="1676"/>
      <c r="R21" s="1676"/>
      <c r="S21" s="1676"/>
      <c r="T21" s="1676"/>
      <c r="U21" s="1676"/>
    </row>
    <row r="22" spans="1:21">
      <c r="A22" s="3095" t="s">
        <v>950</v>
      </c>
      <c r="B22" s="1643" t="s">
        <v>1959</v>
      </c>
      <c r="C22" s="1668">
        <f>'数据-汇总表'!D3</f>
        <v>37520</v>
      </c>
      <c r="D22" s="1669" t="s">
        <v>1958</v>
      </c>
      <c r="E22" s="3261" t="s">
        <v>2887</v>
      </c>
      <c r="F22" s="3262"/>
      <c r="G22" s="3262"/>
      <c r="H22" s="3262"/>
      <c r="I22" s="3263"/>
      <c r="J22" s="1676"/>
      <c r="K22" s="1756"/>
      <c r="L22" s="1705"/>
      <c r="M22" s="1705"/>
      <c r="N22" s="1676"/>
      <c r="O22" s="1677"/>
      <c r="P22" s="1676"/>
      <c r="Q22" s="1676"/>
      <c r="R22" s="1676"/>
      <c r="S22" s="1676"/>
      <c r="T22" s="1676"/>
      <c r="U22" s="1676"/>
    </row>
    <row r="23" spans="1:21" ht="43.5" thickBot="1">
      <c r="A23" s="1747" t="s">
        <v>1960</v>
      </c>
      <c r="B23" s="1683" t="s">
        <v>1961</v>
      </c>
      <c r="C23" s="1684" t="s">
        <v>3049</v>
      </c>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64" t="s">
        <v>1964</v>
      </c>
      <c r="C24" s="3265"/>
      <c r="D24" s="3266" t="s">
        <v>1965</v>
      </c>
      <c r="E24" s="3267"/>
      <c r="F24" s="1690" t="s">
        <v>1966</v>
      </c>
      <c r="G24" s="1676"/>
      <c r="H24" s="1676"/>
      <c r="I24" s="1689"/>
      <c r="J24" s="1676"/>
      <c r="K24" s="3252" t="s">
        <v>1967</v>
      </c>
      <c r="L24" s="2419"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05"/>
      <c r="N24" s="1676"/>
      <c r="O24" s="1677"/>
      <c r="P24" s="1676"/>
      <c r="Q24" s="1676"/>
      <c r="R24" s="1676"/>
      <c r="S24" s="1676"/>
      <c r="T24" s="1676"/>
      <c r="U24" s="1676"/>
    </row>
    <row r="25" spans="1:21" ht="28.5">
      <c r="A25" s="1733"/>
      <c r="B25" s="1730" t="s">
        <v>2322</v>
      </c>
      <c r="C25" s="1691" t="s">
        <v>950</v>
      </c>
      <c r="D25" s="1692"/>
      <c r="E25" s="1693" t="s">
        <v>950</v>
      </c>
      <c r="F25" s="1694"/>
      <c r="G25" s="1676"/>
      <c r="H25" s="1676"/>
      <c r="I25" s="1689"/>
      <c r="J25" s="1676"/>
      <c r="K25" s="325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29.25" thickBot="1">
      <c r="A26" s="1734"/>
      <c r="B26" s="1731" t="s">
        <v>1969</v>
      </c>
      <c r="C26" s="1691" t="s">
        <v>1968</v>
      </c>
      <c r="D26" s="1642"/>
      <c r="E26" s="1642"/>
      <c r="F26" s="1670"/>
      <c r="G26" s="1676"/>
      <c r="H26" s="1676"/>
      <c r="I26" s="1689"/>
      <c r="J26" s="1676"/>
      <c r="K26" s="325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79" t="s">
        <v>1999</v>
      </c>
      <c r="B31" s="1746" t="s">
        <v>2000</v>
      </c>
      <c r="C31" s="3277"/>
      <c r="D31" s="3278"/>
      <c r="E31" s="1676"/>
      <c r="F31" s="1676"/>
      <c r="G31" s="1676"/>
      <c r="H31" s="1676"/>
      <c r="I31" s="1689"/>
      <c r="J31" s="1676"/>
      <c r="K31" s="2420"/>
      <c r="L31" s="1676"/>
      <c r="M31" s="1676"/>
      <c r="N31" s="1676"/>
      <c r="O31" s="1676"/>
      <c r="P31" s="1676"/>
      <c r="Q31" s="1676"/>
      <c r="R31" s="1676"/>
      <c r="S31" s="1676"/>
      <c r="T31" s="1676"/>
      <c r="U31" s="1676"/>
    </row>
    <row r="32" spans="1:21">
      <c r="A32" s="3279"/>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9"/>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80"/>
      <c r="B34" s="1643" t="s">
        <v>2003</v>
      </c>
      <c r="C34" s="3281"/>
      <c r="D34" s="3282"/>
      <c r="E34" s="1676"/>
      <c r="F34" s="1676"/>
      <c r="G34" s="1676"/>
      <c r="H34" s="1676"/>
      <c r="I34" s="1689"/>
      <c r="J34" s="1676"/>
      <c r="K34" s="2420"/>
      <c r="L34" s="1676"/>
      <c r="M34" s="1676"/>
      <c r="N34" s="1676"/>
      <c r="O34" s="1676"/>
      <c r="P34" s="1676"/>
      <c r="Q34" s="1676"/>
      <c r="R34" s="1676"/>
      <c r="S34" s="1676"/>
      <c r="T34" s="1676"/>
      <c r="U34" s="1676"/>
    </row>
    <row r="35" spans="1:21">
      <c r="A35" s="3283" t="s">
        <v>845</v>
      </c>
      <c r="B35" s="1704"/>
      <c r="C35" s="1758" t="str">
        <f>IF(B35="场地平整","——","具体情况：")</f>
        <v>具体情况：</v>
      </c>
      <c r="D35" s="3285"/>
      <c r="E35" s="3286"/>
      <c r="F35" s="3286"/>
      <c r="G35" s="3286"/>
      <c r="H35" s="3286"/>
      <c r="I35" s="3287"/>
      <c r="J35" s="1676"/>
      <c r="K35" s="1757"/>
      <c r="L35" s="1705"/>
      <c r="M35" s="1705"/>
      <c r="N35" s="1676"/>
      <c r="O35" s="1677"/>
      <c r="P35" s="1676"/>
      <c r="Q35" s="1676"/>
      <c r="R35" s="1676"/>
      <c r="S35" s="1676"/>
      <c r="T35" s="1676"/>
      <c r="U35" s="1676"/>
    </row>
    <row r="36" spans="1:21">
      <c r="A36" s="3279"/>
      <c r="B36" s="3288" t="s">
        <v>2052</v>
      </c>
      <c r="C36" s="3289"/>
      <c r="D36" s="1774"/>
      <c r="E36" s="3290"/>
      <c r="F36" s="3290"/>
      <c r="G36" s="1669" t="str">
        <f>IF(B35="场地未平整","估价结果处理","")</f>
        <v/>
      </c>
      <c r="H36" s="3291"/>
      <c r="I36" s="3291"/>
      <c r="J36" s="1676"/>
      <c r="K36" s="1757"/>
      <c r="L36" s="1705"/>
      <c r="M36" s="1705"/>
      <c r="N36" s="1676"/>
      <c r="O36" s="1677"/>
      <c r="P36" s="1676"/>
      <c r="Q36" s="1676"/>
      <c r="R36" s="1676"/>
      <c r="S36" s="1676"/>
      <c r="T36" s="1676"/>
      <c r="U36" s="1676"/>
    </row>
    <row r="37" spans="1:21" ht="28.5">
      <c r="A37" s="3279"/>
      <c r="B37" s="3268"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9"/>
      <c r="B38" s="3269"/>
      <c r="C38" s="1651" t="s">
        <v>848</v>
      </c>
      <c r="D38" s="1773">
        <f>ROUNDDOWN(MIN(('数据-取费表'!$B$2-D37)/365,D34),1)</f>
        <v>119.4</v>
      </c>
      <c r="E38" s="1709" t="s">
        <v>849</v>
      </c>
      <c r="F38" s="1676"/>
      <c r="G38" s="1676"/>
      <c r="H38" s="1676"/>
      <c r="I38" s="1689"/>
      <c r="J38" s="1676"/>
      <c r="K38" s="1757"/>
      <c r="L38" s="1676"/>
      <c r="M38" s="1676"/>
      <c r="N38" s="1676"/>
      <c r="O38" s="1676"/>
      <c r="P38" s="1676"/>
      <c r="Q38" s="1676"/>
      <c r="R38" s="1676"/>
      <c r="S38" s="1676"/>
      <c r="T38" s="1676"/>
      <c r="U38" s="1676"/>
    </row>
    <row r="39" spans="1:21">
      <c r="A39" s="3280"/>
      <c r="B39" s="327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3050</v>
      </c>
      <c r="C40" s="1672" t="s">
        <v>3051</v>
      </c>
      <c r="D40" s="1672" t="s">
        <v>3052</v>
      </c>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1" t="s">
        <v>1983</v>
      </c>
      <c r="T40" s="1713" t="str">
        <f>NUMBERSTRING(7-K40,1)&amp;"通"</f>
        <v>七通</v>
      </c>
      <c r="U40" s="1676"/>
    </row>
    <row r="41" spans="1:21">
      <c r="A41" s="1645"/>
      <c r="B41" s="3284" t="s">
        <v>1719</v>
      </c>
      <c r="C41" s="3284"/>
      <c r="D41" s="3284"/>
      <c r="E41" s="3284"/>
      <c r="F41" s="1714" t="str">
        <f>C10</f>
        <v>山东诸城</v>
      </c>
      <c r="G41" s="1676"/>
      <c r="H41" s="1676"/>
      <c r="I41" s="1689"/>
      <c r="J41" s="1676"/>
      <c r="K41" s="1681"/>
      <c r="L41" s="1678" t="str">
        <f>B40</f>
        <v>通上水</v>
      </c>
      <c r="M41" s="1715" t="str">
        <f>B40&amp;"、"&amp;C40</f>
        <v>通上水、通电</v>
      </c>
      <c r="N41" s="1716" t="str">
        <f>B40&amp;"、"&amp;C40&amp;"、"&amp;D40</f>
        <v>通上水、通电、通路</v>
      </c>
      <c r="O41" s="1716" t="str">
        <f>B40&amp;"、"&amp;C40&amp;"、"&amp;D40&amp;"、"&amp;E40</f>
        <v>通上水、通电、通路、</v>
      </c>
      <c r="P41" s="1716" t="str">
        <f>B40&amp;"、"&amp;C40&amp;"、"&amp;D40&amp;"、"&amp;E40&amp;"、"&amp;F40</f>
        <v>通上水、通电、通路、、</v>
      </c>
      <c r="Q41" s="1716" t="str">
        <f>B40&amp;"、"&amp;C40&amp;"、"&amp;D40&amp;"、"&amp;E40&amp;"、"&amp;F40&amp;"、"&amp;G40</f>
        <v>通上水、通电、通路、、、</v>
      </c>
      <c r="R41" s="1716" t="str">
        <f>B40&amp;"、"&amp;C40&amp;"、"&amp;D40&amp;"、"&amp;E40&amp;"、"&amp;F40&amp;"、"&amp;G40&amp;"、"&amp;H40</f>
        <v>通上水、通电、通路、、、、</v>
      </c>
      <c r="S41" s="3251"/>
      <c r="T41" s="1715" t="str">
        <f>IF(T40="一通",L41,IF(T40="二通",M41,IF(T40="三通",N41,IF(T40="四通",O41,IF(T40="五通",P41,IF(T40="六通",Q41,R41))))))</f>
        <v>通上水、通电、通路、、、、</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2329</v>
      </c>
      <c r="BA2" s="2323"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37520</v>
      </c>
      <c r="B3" s="22">
        <f>IF(C3="否",G5-AT5,G5)</f>
        <v>56280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56280</v>
      </c>
      <c r="H5" s="27">
        <f t="shared" ref="H5:AT5" si="0">SUM(H13:H641)</f>
        <v>56280</v>
      </c>
      <c r="I5" s="27">
        <f t="shared" si="0"/>
        <v>56280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56280</v>
      </c>
      <c r="BA5" s="29">
        <f t="shared" si="1"/>
        <v>56280</v>
      </c>
      <c r="BB5" s="29">
        <f t="shared" si="1"/>
        <v>56280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37520</v>
      </c>
      <c r="F6" s="27" t="s">
        <v>1</v>
      </c>
      <c r="G6" s="27" t="s">
        <v>2</v>
      </c>
      <c r="H6" s="33">
        <f>SUMIF(I$12:AB$12,"总值",I6:AB6)</f>
        <v>37520</v>
      </c>
      <c r="I6" s="27">
        <f t="shared" ref="I6:AB6" si="2">ROUND($A$3*I5/$B$3,2)</f>
        <v>37520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37520</v>
      </c>
      <c r="AZ6" s="27" t="s">
        <v>3</v>
      </c>
      <c r="BA6" s="27">
        <f>ROUND($AY$6*BA5/$AZ$5,2)</f>
        <v>37520</v>
      </c>
      <c r="BB6" s="27">
        <f>ROUND($AY$6*BB5/$AZ$5,2)</f>
        <v>37520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3053</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3043</v>
      </c>
      <c r="J10" s="51"/>
      <c r="K10" s="2971"/>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2327</v>
      </c>
      <c r="AK10" s="2316"/>
      <c r="AL10" s="2297" t="s">
        <v>2316</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3054</v>
      </c>
      <c r="J11" s="71"/>
      <c r="K11" s="2970"/>
      <c r="L11" s="71"/>
      <c r="M11" s="70"/>
      <c r="N11" s="71"/>
      <c r="O11" s="70"/>
      <c r="P11" s="71"/>
      <c r="Q11" s="70"/>
      <c r="R11" s="71"/>
      <c r="S11" s="70"/>
      <c r="T11" s="71"/>
      <c r="U11" s="70"/>
      <c r="V11" s="71"/>
      <c r="W11" s="70"/>
      <c r="X11" s="71"/>
      <c r="Y11" s="70"/>
      <c r="Z11" s="71"/>
      <c r="AA11" s="70"/>
      <c r="AB11" s="71"/>
      <c r="AC11" s="55"/>
      <c r="AD11" s="2317" t="s">
        <v>2326</v>
      </c>
      <c r="AE11" s="1000"/>
      <c r="AF11" s="2317" t="s">
        <v>2326</v>
      </c>
      <c r="AG11" s="1000"/>
      <c r="AH11" s="2317" t="s">
        <v>2325</v>
      </c>
      <c r="AI11" s="2318"/>
      <c r="AJ11" s="2317" t="s">
        <v>2325</v>
      </c>
      <c r="AK11" s="2316"/>
      <c r="AL11" s="998"/>
      <c r="AM11" s="1000"/>
      <c r="AN11" s="998"/>
      <c r="AO11" s="1000"/>
      <c r="AP11" s="1182"/>
      <c r="AQ11" s="1184"/>
      <c r="AR11" s="1182"/>
      <c r="AS11" s="1184"/>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37520</v>
      </c>
      <c r="F13" s="81"/>
      <c r="G13" s="82">
        <f t="shared" ref="G13:G20" si="7">H13+AC13+AT13</f>
        <v>56280</v>
      </c>
      <c r="H13" s="33">
        <f t="shared" ref="H13:H20" si="8">SUMIF(I$12:AB$12,"总值",I13:AB13)</f>
        <v>56280</v>
      </c>
      <c r="I13" s="2968">
        <v>56280</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37520</v>
      </c>
      <c r="AZ13" s="27">
        <f t="shared" ref="AZ13:AZ20" si="12">BA13+BL13</f>
        <v>56280</v>
      </c>
      <c r="BA13" s="27">
        <f t="shared" ref="BA13:BA20" si="13">SUM(BB13:BK13)</f>
        <v>56280</v>
      </c>
      <c r="BB13" s="27">
        <f t="shared" ref="BB13:BB20" si="14">IF($D13="是",I13-J13,0)</f>
        <v>56280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5" sqref="D3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03" t="s">
        <v>203</v>
      </c>
      <c r="B2" s="3303"/>
      <c r="C2" s="3303"/>
      <c r="D2" s="1958" t="s">
        <v>204</v>
      </c>
      <c r="E2" s="106" t="s">
        <v>205</v>
      </c>
      <c r="F2" s="1967"/>
      <c r="G2" s="1192"/>
      <c r="H2" s="1193"/>
      <c r="I2" s="1194" t="s">
        <v>855</v>
      </c>
      <c r="J2" s="1967"/>
      <c r="K2" s="1967"/>
      <c r="L2" s="1967"/>
    </row>
    <row r="3" spans="1:16" ht="15.75" thickBot="1">
      <c r="A3" s="3304" t="s">
        <v>206</v>
      </c>
      <c r="B3" s="3304"/>
      <c r="C3" s="3304"/>
      <c r="D3" s="107">
        <f>'数据-基础表'!AY6</f>
        <v>37520</v>
      </c>
      <c r="E3" s="107">
        <f>'数据-基础表'!AZ5</f>
        <v>56280</v>
      </c>
      <c r="F3" s="1967"/>
      <c r="G3" s="280" t="s">
        <v>856</v>
      </c>
      <c r="H3" s="275" t="s">
        <v>857</v>
      </c>
      <c r="I3" s="1959">
        <f>ROUND('数据-基础表'!B3/'数据-基础表'!A3,2)</f>
        <v>1.5</v>
      </c>
      <c r="J3" s="1967"/>
      <c r="K3" s="1967"/>
      <c r="L3" s="1967"/>
    </row>
    <row r="4" spans="1:16" ht="15">
      <c r="A4" s="3305"/>
      <c r="B4" s="3306"/>
      <c r="C4" s="3307"/>
      <c r="D4" s="108" t="s">
        <v>204</v>
      </c>
      <c r="E4" s="109" t="s">
        <v>205</v>
      </c>
      <c r="F4" s="1967"/>
      <c r="G4" s="1195"/>
      <c r="H4" s="275" t="s">
        <v>858</v>
      </c>
      <c r="I4" s="1959">
        <f>ROUND(SUMIF('数据-基础表'!I9:AS9,"地上",'数据-基础表'!I5:AS5)/'数据-基础表'!A3,2)</f>
        <v>1.5</v>
      </c>
      <c r="J4" s="1967"/>
      <c r="K4" s="1967"/>
      <c r="L4" s="1967"/>
    </row>
    <row r="5" spans="1:16">
      <c r="A5" s="110" t="s">
        <v>207</v>
      </c>
      <c r="B5" s="3308" t="s">
        <v>230</v>
      </c>
      <c r="C5" s="3308"/>
      <c r="D5" s="111">
        <f>ROUND($D$3*E5/$E$3,2)</f>
        <v>0</v>
      </c>
      <c r="E5" s="112">
        <f>SUMIF('数据-基础表'!$11:$11,"住宅",'数据-基础表'!$5:$5)</f>
        <v>0</v>
      </c>
      <c r="F5" s="1967"/>
      <c r="G5" s="280" t="s">
        <v>859</v>
      </c>
      <c r="H5" s="275" t="s">
        <v>857</v>
      </c>
      <c r="I5" s="1959">
        <f>ROUND(E31/D31,2)</f>
        <v>1.5</v>
      </c>
      <c r="J5" s="1967"/>
      <c r="K5" s="1967"/>
      <c r="L5" s="1967"/>
    </row>
    <row r="6" spans="1:16" ht="15" thickBot="1">
      <c r="A6" s="113"/>
      <c r="B6" s="3308" t="s">
        <v>208</v>
      </c>
      <c r="C6" s="3308"/>
      <c r="D6" s="111">
        <f>ROUND($D$3*E6/$E$3,2)</f>
        <v>37520</v>
      </c>
      <c r="E6" s="112">
        <f>E3-E5</f>
        <v>56280</v>
      </c>
      <c r="F6" s="1967"/>
      <c r="G6" s="1195"/>
      <c r="H6" s="275" t="s">
        <v>858</v>
      </c>
      <c r="I6" s="1959">
        <f>ROUND(F31/D31,2)</f>
        <v>1.5</v>
      </c>
      <c r="J6" s="1967"/>
      <c r="K6" s="1967"/>
      <c r="L6" s="1967"/>
    </row>
    <row r="7" spans="1:16" ht="15">
      <c r="A7" s="3300"/>
      <c r="B7" s="3301"/>
      <c r="C7" s="3302"/>
      <c r="D7" s="108" t="s">
        <v>204</v>
      </c>
      <c r="E7" s="114" t="s">
        <v>231</v>
      </c>
      <c r="F7" s="1967"/>
      <c r="G7" s="1150" t="s">
        <v>1643</v>
      </c>
      <c r="H7" s="1151"/>
      <c r="I7" s="1829"/>
      <c r="J7" s="1967"/>
      <c r="K7" s="1967"/>
      <c r="L7" s="1967"/>
    </row>
    <row r="8" spans="1:16">
      <c r="A8" s="110" t="s">
        <v>209</v>
      </c>
      <c r="B8" s="115" t="s">
        <v>210</v>
      </c>
      <c r="C8" s="111" t="s">
        <v>211</v>
      </c>
      <c r="D8" s="111">
        <f t="shared" ref="D8:D15" si="0">ROUND($D$3*E8/$E$3,2)</f>
        <v>37520</v>
      </c>
      <c r="E8" s="116">
        <f>SUMIF('数据-基础表'!BB10:BK10,"地上",'数据-基础表'!BB5:BK5)</f>
        <v>56280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2330</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37520</v>
      </c>
      <c r="E16" s="120">
        <f>SUM(E8:E15)</f>
        <v>56280</v>
      </c>
      <c r="F16" s="1967"/>
      <c r="G16" s="1969"/>
      <c r="H16" s="966" t="s">
        <v>219</v>
      </c>
      <c r="I16" s="967"/>
      <c r="J16" s="1967"/>
      <c r="K16" s="3294" t="s">
        <v>2562</v>
      </c>
      <c r="L16" s="3295"/>
      <c r="M16" s="3295"/>
      <c r="N16" s="3295"/>
      <c r="O16" s="3295"/>
      <c r="P16" s="3296"/>
    </row>
    <row r="17" spans="1:19" ht="15">
      <c r="A17" s="121" t="s">
        <v>216</v>
      </c>
      <c r="B17" s="122" t="s">
        <v>217</v>
      </c>
      <c r="C17" s="2281" t="s">
        <v>2310</v>
      </c>
      <c r="D17" s="108" t="s">
        <v>204</v>
      </c>
      <c r="E17" s="124" t="s">
        <v>205</v>
      </c>
      <c r="F17" s="125"/>
      <c r="G17" s="1360"/>
      <c r="H17" s="968" t="s">
        <v>218</v>
      </c>
      <c r="I17" s="969" t="s">
        <v>2309</v>
      </c>
      <c r="J17" s="1967"/>
      <c r="K17" s="3297" t="s">
        <v>2563</v>
      </c>
      <c r="L17" s="3298"/>
      <c r="M17" s="3299"/>
      <c r="N17" s="3297" t="s">
        <v>2564</v>
      </c>
      <c r="O17" s="3298"/>
      <c r="P17" s="3299"/>
      <c r="R17" s="2282" t="s">
        <v>2308</v>
      </c>
      <c r="S17" s="144"/>
    </row>
    <row r="18" spans="1:19" ht="15">
      <c r="A18" s="117"/>
      <c r="B18" s="128"/>
      <c r="C18" s="129"/>
      <c r="D18" s="2604"/>
      <c r="E18" s="130" t="s">
        <v>220</v>
      </c>
      <c r="F18" s="131" t="s">
        <v>221</v>
      </c>
      <c r="G18" s="1361" t="s">
        <v>222</v>
      </c>
      <c r="H18" s="970" t="s">
        <v>223</v>
      </c>
      <c r="I18" s="971"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5" t="s">
        <v>3055</v>
      </c>
      <c r="D19" s="111">
        <f t="shared" ref="D19:D26" si="1">ROUND($D$3*E19/$E$3,2)</f>
        <v>37520</v>
      </c>
      <c r="E19" s="134">
        <f t="shared" ref="E19:E26" si="2">SUM(F19:G19)</f>
        <v>56280</v>
      </c>
      <c r="F19" s="135">
        <v>56280</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37520</v>
      </c>
      <c r="S19" s="2284">
        <f t="shared" si="5"/>
        <v>56280</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37520</v>
      </c>
      <c r="E27" s="143">
        <f>IF(SUM(E19:E26)='数据-基础表'!BA5,SUM(E19:E26),IF(F27="地上面积有误","面积有误","地下面积有误"))</f>
        <v>56280</v>
      </c>
      <c r="F27" s="134">
        <f>IF(SUM(F19:F26)=E8,SUM(F19:F26),"地上面积有误")</f>
        <v>56280</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37520</v>
      </c>
      <c r="S27" s="275">
        <f>IF(SUM(S19:S26)=$E$3,SUM(S19:S26),SUM(S19:S26)&amp;"误差"&amp;ROUND(SUM(S19:S26)-E3,2))</f>
        <v>56280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2319</v>
      </c>
      <c r="D31" s="1366">
        <f>D27+D30</f>
        <v>37520</v>
      </c>
      <c r="E31" s="1366">
        <f>E27+E30</f>
        <v>56280</v>
      </c>
      <c r="F31" s="1367">
        <f>F27+F30</f>
        <v>56280</v>
      </c>
      <c r="G31" s="1368">
        <f>G27+G30</f>
        <v>0</v>
      </c>
      <c r="H31" s="1967"/>
      <c r="I31" s="1967"/>
      <c r="J31" s="1967"/>
      <c r="K31" s="1967"/>
      <c r="L31" s="1967"/>
    </row>
    <row r="32" spans="1:19">
      <c r="A32" s="1967"/>
      <c r="B32" s="2325" t="s">
        <v>2318</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B49" sqref="B4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43594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2824</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2320</v>
      </c>
      <c r="AI5" s="171" t="s">
        <v>2290</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商业</v>
      </c>
      <c r="B6" s="2320" t="str">
        <f>IF(A6=0,"","经营性")</f>
        <v>经营性</v>
      </c>
      <c r="C6" s="173" t="s">
        <v>3043</v>
      </c>
      <c r="D6" s="2291">
        <f>SUMIF(项目基本情况!D$15:I$15,C6,项目基本情况!D$18:I$18)</f>
        <v>40</v>
      </c>
      <c r="E6" s="2292">
        <f>IF(B6="","",SUMIF(项目基本情况!D$15:I$15,C6,项目基本情况!D$17:I$17))</f>
        <v>56069</v>
      </c>
      <c r="F6" s="174">
        <f>SUMIF(项目基本情况!D$15:I$15,C6,项目基本情况!D$19:I$19)</f>
        <v>34.17</v>
      </c>
      <c r="G6" s="175">
        <f>IF(ISERROR(ROUND(POWER(1+H6,D6-F6)*(POWER(1+H6,F6)-1)/(POWER(1+H6,D6)-1),3)),0,ROUND(POWER(1+H6,D6-F6)*(POWER(1+H6,F6)-1)/(POWER(1+H6,D6)-1),3))</f>
        <v>0.93899999999999995</v>
      </c>
      <c r="H6" s="3215">
        <v>4.4999999999999998E-2</v>
      </c>
      <c r="I6" s="2976">
        <v>0.05</v>
      </c>
      <c r="J6" s="176">
        <v>8.5000000000000006E-2</v>
      </c>
      <c r="K6" s="179">
        <f>SUMIF('数据-汇总表'!C$19:C$33,'数据-取费表'!A6,'数据-汇总表'!E$19:E$33)</f>
        <v>56280</v>
      </c>
      <c r="L6" s="2977">
        <v>2000</v>
      </c>
      <c r="M6" s="177">
        <f t="shared" ref="M6:M14" si="0">ROUND(K6*L6/10000,0)</f>
        <v>11256</v>
      </c>
      <c r="N6" s="2978">
        <v>0</v>
      </c>
      <c r="O6" s="177">
        <f>IF($N$5="成新度","——",ROUND(M6*N6,0))</f>
        <v>0</v>
      </c>
      <c r="P6" s="178">
        <f>IF($N$5="成新度","——",M6-O6)</f>
        <v>11256</v>
      </c>
      <c r="Q6" s="2979">
        <v>0.15</v>
      </c>
      <c r="R6" s="179">
        <f>SUMIF('数据-汇总表'!C$19:C$33,A6,'数据-汇总表'!R$19:R$33)</f>
        <v>37520</v>
      </c>
      <c r="S6" s="132">
        <f>IF('数据-汇总表'!$I$17="按面积比例",SUMIF('数据-汇总表'!C$19:C$33,A6,'数据-汇总表'!K$19:K$33),SUMIF('数据-汇总表'!C$19:C$33,A6,'数据-汇总表'!N$19:N$33))</f>
        <v>0</v>
      </c>
      <c r="T6" s="2217" t="str">
        <f>IF($T$4="按面积比例",IF(ISERROR(ROUND($M$14*S6/S$16,0)),"0",ROUND($M$14*S6/S$16,0)),"需自行计算录入")</f>
        <v>0</v>
      </c>
      <c r="U6" s="3213">
        <v>1.4</v>
      </c>
      <c r="V6" s="181">
        <v>2.5000000000000001E-2</v>
      </c>
      <c r="W6" s="181">
        <v>0.12</v>
      </c>
      <c r="X6" s="2304"/>
      <c r="Y6" s="182">
        <v>1</v>
      </c>
      <c r="Z6" s="183"/>
      <c r="AA6" s="176"/>
      <c r="AB6" s="176"/>
      <c r="AC6" s="2307"/>
      <c r="AD6" s="184"/>
      <c r="AE6" s="970">
        <f ca="1">IF(AN6="",0,SUMIF(INDIRECT("'"&amp;AN6&amp;"'"&amp;"!E:E"),$AE$5,INDIRECT("'"&amp;AN6&amp;"'"&amp;"!F:F")))</f>
        <v>32.67</v>
      </c>
      <c r="AF6" s="141"/>
      <c r="AG6" s="1207">
        <f>IF(AF6="",0,AE6-AF6)</f>
        <v>0</v>
      </c>
      <c r="AH6" s="141"/>
      <c r="AI6" s="187">
        <v>365</v>
      </c>
      <c r="AJ6" s="188"/>
      <c r="AK6" s="189">
        <v>1.4999999999999999E-2</v>
      </c>
      <c r="AL6" s="190">
        <v>1.5E-3</v>
      </c>
      <c r="AM6" s="2990">
        <v>0.01</v>
      </c>
      <c r="AN6" s="2354" t="s">
        <v>3323</v>
      </c>
      <c r="AO6" s="1983"/>
      <c r="AP6" s="1198">
        <f>ROUND(1-1/(1+H6)^F6,3)</f>
        <v>0.77800000000000002</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2311</v>
      </c>
      <c r="B14" s="2289" t="s">
        <v>1677</v>
      </c>
      <c r="C14" s="2290" t="s">
        <v>2311</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2313</v>
      </c>
      <c r="B15" s="2289" t="s">
        <v>1677</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0.93899999999999995</v>
      </c>
      <c r="H16" s="203">
        <f>ROUND(SUMPRODUCT(H6:H13,K6:K13)/SUMPRODUCT((H6:H13&gt;0)*(K6:K13)),3)</f>
        <v>4.4999999999999998E-2</v>
      </c>
      <c r="I16" s="204"/>
      <c r="J16" s="204"/>
      <c r="K16" s="205">
        <f>SUM(K6:K15)</f>
        <v>56280</v>
      </c>
      <c r="L16" s="206">
        <f>ROUND(M16*10000/SUM(K6:K14),0)</f>
        <v>2000</v>
      </c>
      <c r="M16" s="206">
        <f>SUM(M6:M14)</f>
        <v>11256</v>
      </c>
      <c r="N16" s="207">
        <f>ROUND(SUMPRODUCT(M6:M14,N6:N14)/M16,3)</f>
        <v>0</v>
      </c>
      <c r="O16" s="206">
        <f>SUM(O6:O14)</f>
        <v>0</v>
      </c>
      <c r="P16" s="206">
        <f>SUM(P6:P14)</f>
        <v>11256</v>
      </c>
      <c r="Q16" s="208">
        <f>ROUND(SUMPRODUCT(Q6:Q13,K6:K13)/SUMPRODUCT((Q6:Q13&gt;0)*(K6:K13)),2)</f>
        <v>0.15</v>
      </c>
      <c r="R16" s="2294">
        <f>SUM(R6:R13)</f>
        <v>37520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0.77800000000000002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17">
        <v>1.5</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2334</v>
      </c>
      <c r="B27" s="227">
        <v>120</v>
      </c>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2335</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2333</v>
      </c>
      <c r="B29" s="232">
        <v>0</v>
      </c>
      <c r="C29" s="1537"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0.04</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2890</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3.3599999999999998E-2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3216">
        <v>0.03</v>
      </c>
      <c r="C42" s="3050">
        <f>IF(B2&lt;DATE(2016,5,1),0,B42)</f>
        <v>0.03</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3.6000000000000003E-3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1094</v>
      </c>
      <c r="C53" s="3026" t="s">
        <v>2900</v>
      </c>
      <c r="D53" s="3027"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2902</v>
      </c>
      <c r="B54" s="186">
        <v>6.4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2903</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2904</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2905</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2906</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2907</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9" t="s">
        <v>1661</v>
      </c>
      <c r="B1" s="3310"/>
      <c r="C1" s="3310"/>
      <c r="D1" s="3310"/>
      <c r="E1" s="3310"/>
      <c r="F1" s="3310"/>
      <c r="G1" s="3310"/>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31" t="s">
        <v>2918</v>
      </c>
      <c r="D3" s="1992"/>
      <c r="E3" s="1223" t="s">
        <v>1664</v>
      </c>
      <c r="F3" s="1224" t="s">
        <v>1652</v>
      </c>
      <c r="G3" s="3035" t="s">
        <v>2917</v>
      </c>
      <c r="H3" s="1991"/>
      <c r="I3" s="1991"/>
      <c r="J3" s="1991"/>
      <c r="K3" s="1991"/>
      <c r="L3" s="1991"/>
      <c r="M3" s="1991"/>
      <c r="N3" s="1991"/>
      <c r="O3" s="1991"/>
      <c r="P3" s="1991"/>
      <c r="Q3" s="1991"/>
      <c r="R3" s="1991"/>
    </row>
    <row r="4" spans="1:18" ht="41.25">
      <c r="A4" s="1223"/>
      <c r="B4" s="1225" t="s">
        <v>1665</v>
      </c>
      <c r="C4" s="3032" t="s">
        <v>2919</v>
      </c>
      <c r="D4" s="1992"/>
      <c r="E4" s="1226"/>
      <c r="F4" s="1227" t="s">
        <v>1666</v>
      </c>
      <c r="G4" s="3033" t="s">
        <v>2914</v>
      </c>
      <c r="H4" s="1991"/>
      <c r="I4" s="1991"/>
      <c r="J4" s="1991"/>
      <c r="K4" s="1991"/>
      <c r="L4" s="1991"/>
      <c r="M4" s="1991"/>
      <c r="N4" s="1991"/>
      <c r="O4" s="1991"/>
      <c r="P4" s="1991"/>
      <c r="Q4" s="1991"/>
      <c r="R4" s="1991"/>
    </row>
    <row r="5" spans="1:18" ht="41.25">
      <c r="A5" s="1223"/>
      <c r="B5" s="1225" t="s">
        <v>1667</v>
      </c>
      <c r="C5" s="3032" t="s">
        <v>2920</v>
      </c>
      <c r="D5" s="1992"/>
      <c r="E5" s="1226"/>
      <c r="F5" s="1225" t="s">
        <v>2542</v>
      </c>
      <c r="G5" s="3033" t="s">
        <v>2915</v>
      </c>
      <c r="H5" s="1991"/>
      <c r="I5" s="1991"/>
      <c r="J5" s="1991"/>
      <c r="K5" s="1991"/>
      <c r="L5" s="1991"/>
      <c r="M5" s="1991"/>
      <c r="N5" s="1991"/>
      <c r="O5" s="1991"/>
      <c r="P5" s="1991"/>
      <c r="Q5" s="1991"/>
      <c r="R5" s="1991"/>
    </row>
    <row r="6" spans="1:18" ht="54">
      <c r="A6" s="1223"/>
      <c r="B6" s="1225" t="s">
        <v>1653</v>
      </c>
      <c r="C6" s="3033" t="s">
        <v>2914</v>
      </c>
      <c r="D6" s="1992"/>
      <c r="E6" s="1226"/>
      <c r="F6" s="1225" t="s">
        <v>2543</v>
      </c>
      <c r="G6" s="3033" t="s">
        <v>2912</v>
      </c>
      <c r="H6" s="1991"/>
      <c r="I6" s="1991"/>
      <c r="J6" s="1991"/>
      <c r="K6" s="1991"/>
      <c r="L6" s="1991"/>
      <c r="M6" s="1991"/>
      <c r="N6" s="1991"/>
      <c r="O6" s="1991"/>
      <c r="P6" s="1991"/>
      <c r="Q6" s="1991"/>
      <c r="R6" s="1991"/>
    </row>
    <row r="7" spans="1:18" ht="41.25" thickBot="1">
      <c r="A7" s="1223"/>
      <c r="B7" s="1225" t="s">
        <v>2542</v>
      </c>
      <c r="C7" s="3033" t="s">
        <v>2915</v>
      </c>
      <c r="D7" s="1993"/>
      <c r="E7" s="1228"/>
      <c r="F7" s="1229" t="s">
        <v>1668</v>
      </c>
      <c r="G7" s="3036" t="s">
        <v>2916</v>
      </c>
      <c r="H7" s="1991"/>
      <c r="I7" s="1991"/>
      <c r="J7" s="1991"/>
      <c r="K7" s="1991"/>
      <c r="L7" s="1991"/>
      <c r="M7" s="1991"/>
      <c r="N7" s="1991"/>
      <c r="O7" s="1991"/>
      <c r="P7" s="1991"/>
      <c r="Q7" s="1991"/>
      <c r="R7" s="1991"/>
    </row>
    <row r="8" spans="1:18" ht="27">
      <c r="A8" s="1223"/>
      <c r="B8" s="1225" t="s">
        <v>2543</v>
      </c>
      <c r="C8" s="3033" t="s">
        <v>2912</v>
      </c>
      <c r="D8" s="1993"/>
      <c r="E8" s="1993"/>
      <c r="F8" s="1538"/>
      <c r="G8" s="1538"/>
      <c r="H8" s="1991"/>
      <c r="I8" s="1991"/>
      <c r="J8" s="1991"/>
      <c r="K8" s="1991"/>
      <c r="L8" s="1991"/>
      <c r="M8" s="1991"/>
      <c r="N8" s="1991"/>
      <c r="O8" s="1991"/>
      <c r="P8" s="1991"/>
      <c r="Q8" s="1991"/>
      <c r="R8" s="1991"/>
    </row>
    <row r="9" spans="1:18" ht="40.5">
      <c r="A9" s="1223"/>
      <c r="B9" s="1225" t="s">
        <v>1654</v>
      </c>
      <c r="C9" s="3032" t="s">
        <v>2913</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2542</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2543</v>
      </c>
      <c r="G20" s="1003" t="str">
        <f>G6</f>
        <v>估价对象所在区域基础设施水平</v>
      </c>
    </row>
    <row r="21" spans="1:7" ht="27">
      <c r="A21" s="2551"/>
      <c r="B21" s="1225" t="s">
        <v>2542</v>
      </c>
      <c r="C21" s="1003" t="str">
        <f>C7</f>
        <v>估价对象所在区域公共配套设施齐备情况</v>
      </c>
      <c r="D21" s="1992"/>
      <c r="E21" s="2548"/>
      <c r="F21" s="1241" t="s">
        <v>1659</v>
      </c>
      <c r="G21" s="3037"/>
    </row>
    <row r="22" spans="1:7" ht="27">
      <c r="A22" s="2551"/>
      <c r="B22" s="1225" t="s">
        <v>2543</v>
      </c>
      <c r="C22" s="1003" t="str">
        <f>C8</f>
        <v>估价对象所在区域基础设施水平</v>
      </c>
      <c r="D22" s="1992"/>
      <c r="E22" s="2548"/>
      <c r="F22" s="1241" t="s">
        <v>1669</v>
      </c>
      <c r="G22" s="2748"/>
    </row>
    <row r="23" spans="1:7" ht="15" thickBot="1">
      <c r="A23" s="2551"/>
      <c r="B23" s="1241" t="s">
        <v>1659</v>
      </c>
      <c r="C23" s="3037"/>
      <c r="E23" s="2549"/>
      <c r="F23" s="1242" t="s">
        <v>1673</v>
      </c>
      <c r="G23" s="3038"/>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0" sqref="G10"/>
    </sheetView>
  </sheetViews>
  <sheetFormatPr defaultColWidth="14.625" defaultRowHeight="13.5"/>
  <cols>
    <col min="1" max="1" width="24.375" customWidth="1"/>
  </cols>
  <sheetData>
    <row r="1" spans="1:9" ht="16.5">
      <c r="A1" s="2995" t="s">
        <v>2840</v>
      </c>
      <c r="B1" s="2995">
        <f>SUM(B14:B23)</f>
        <v>292894.5</v>
      </c>
      <c r="C1" s="2996"/>
      <c r="D1" s="2996"/>
      <c r="E1" s="2996"/>
      <c r="F1" s="2996"/>
    </row>
    <row r="2" spans="1:9" ht="16.5">
      <c r="A2" s="2995" t="s">
        <v>2841</v>
      </c>
      <c r="B2" s="2995">
        <f>SUM(C14:C23)</f>
        <v>199682</v>
      </c>
      <c r="C2" s="2996"/>
      <c r="D2" s="2996"/>
      <c r="E2" s="2996"/>
      <c r="F2" s="2996"/>
    </row>
    <row r="3" spans="1:9" ht="16.5">
      <c r="A3" s="2995" t="s">
        <v>2842</v>
      </c>
      <c r="B3" s="2997">
        <f>项目基本情况!D3</f>
        <v>43594</v>
      </c>
      <c r="C3" s="2996"/>
      <c r="D3" s="2996"/>
      <c r="E3" s="2996"/>
      <c r="F3" s="2996"/>
    </row>
    <row r="4" spans="1:9" ht="33">
      <c r="A4" s="2995" t="s">
        <v>2843</v>
      </c>
      <c r="B4" s="2995" t="s">
        <v>2844</v>
      </c>
      <c r="C4" s="2995" t="s">
        <v>2845</v>
      </c>
      <c r="D4" s="2995" t="s">
        <v>2846</v>
      </c>
      <c r="E4" s="2996"/>
      <c r="F4" s="2996"/>
    </row>
    <row r="5" spans="1:9" ht="16.5">
      <c r="A5" s="2995" t="s">
        <v>2847</v>
      </c>
      <c r="B5" s="2995">
        <f ca="1">SUM(D14:D23)</f>
        <v>73814</v>
      </c>
      <c r="C5" s="2995">
        <f ca="1">ROUND(B5*10000/$B$1,0)</f>
        <v>2520</v>
      </c>
      <c r="D5" s="2995">
        <f ca="1">ROUND(B5*10000/$B$2,0)</f>
        <v>3697</v>
      </c>
      <c r="E5" s="2996"/>
      <c r="F5" s="2996"/>
    </row>
    <row r="6" spans="1:9" ht="16.5">
      <c r="A6" s="2995" t="s">
        <v>2848</v>
      </c>
      <c r="B6" s="2995">
        <f ca="1">SUM(G14:G23)</f>
        <v>73814</v>
      </c>
      <c r="C6" s="2995">
        <f t="shared" ref="C6:C8" ca="1" si="0">ROUND(B6*10000/$B$1,0)</f>
        <v>2520</v>
      </c>
      <c r="D6" s="2995">
        <f t="shared" ref="D6:D8" ca="1" si="1">ROUND(B6*10000/$B$2,0)</f>
        <v>3697</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56280</v>
      </c>
      <c r="C14" s="2999">
        <f>结果表!K38</f>
        <v>37520</v>
      </c>
      <c r="D14" s="2999">
        <f ca="1">结果表!C42</f>
        <v>13765</v>
      </c>
      <c r="E14" s="2999">
        <f ca="1">ROUND(D14*10000/B14,0)</f>
        <v>2446</v>
      </c>
      <c r="F14" s="2999">
        <f ca="1">ROUND(D14*10000/C14,0)</f>
        <v>3669</v>
      </c>
      <c r="G14" s="2999">
        <f ca="1">结果表!C44</f>
        <v>13765</v>
      </c>
      <c r="H14" s="2999" t="str">
        <f>结果表!C45</f>
        <v>——</v>
      </c>
      <c r="I14" s="2999" t="str">
        <f>结果表!C46</f>
        <v>——</v>
      </c>
    </row>
    <row r="15" spans="1:9" ht="16.5">
      <c r="A15" s="3002" t="s">
        <v>2857</v>
      </c>
      <c r="B15" s="3220">
        <v>31098</v>
      </c>
      <c r="C15" s="3220">
        <v>20732</v>
      </c>
      <c r="D15" s="3222">
        <v>7758</v>
      </c>
      <c r="E15" s="2999">
        <f t="shared" ref="E15:E23" si="2">ROUND(D15*10000/B15,0)</f>
        <v>2495</v>
      </c>
      <c r="F15" s="2999">
        <f t="shared" ref="F15:F23" si="3">ROUND(D15*10000/C15,0)</f>
        <v>3742</v>
      </c>
      <c r="G15" s="3222">
        <v>7758</v>
      </c>
      <c r="H15" s="3000"/>
      <c r="I15" s="3003"/>
    </row>
    <row r="16" spans="1:9" ht="16.5">
      <c r="A16" s="3002" t="s">
        <v>2858</v>
      </c>
      <c r="B16" s="3220">
        <v>79660.5</v>
      </c>
      <c r="C16" s="3220">
        <v>53107</v>
      </c>
      <c r="D16" s="3222">
        <v>19485</v>
      </c>
      <c r="E16" s="2999">
        <f t="shared" si="2"/>
        <v>2446</v>
      </c>
      <c r="F16" s="2999">
        <f t="shared" si="3"/>
        <v>3669</v>
      </c>
      <c r="G16" s="3222">
        <v>19485</v>
      </c>
      <c r="H16" s="3000"/>
      <c r="I16" s="3003"/>
    </row>
    <row r="17" spans="1:9" ht="16.5">
      <c r="A17" s="3002" t="s">
        <v>2859</v>
      </c>
      <c r="B17" s="3220">
        <v>50334</v>
      </c>
      <c r="C17" s="3220">
        <v>33556</v>
      </c>
      <c r="D17" s="3222">
        <v>12312</v>
      </c>
      <c r="E17" s="2999">
        <f t="shared" si="2"/>
        <v>2446</v>
      </c>
      <c r="F17" s="2999">
        <f t="shared" si="3"/>
        <v>3669</v>
      </c>
      <c r="G17" s="3222">
        <v>12312</v>
      </c>
      <c r="H17" s="3000"/>
      <c r="I17" s="3003"/>
    </row>
    <row r="18" spans="1:9" ht="16.5">
      <c r="A18" s="3002" t="s">
        <v>2860</v>
      </c>
      <c r="B18" s="3220">
        <v>18423</v>
      </c>
      <c r="C18" s="3220">
        <v>12282</v>
      </c>
      <c r="D18" s="3222">
        <v>4596</v>
      </c>
      <c r="E18" s="2999">
        <f t="shared" si="2"/>
        <v>2495</v>
      </c>
      <c r="F18" s="2999">
        <f t="shared" si="3"/>
        <v>3742</v>
      </c>
      <c r="G18" s="3222">
        <v>4596</v>
      </c>
      <c r="H18" s="3003"/>
      <c r="I18" s="3003"/>
    </row>
    <row r="19" spans="1:9" ht="16.5">
      <c r="A19" s="3002" t="s">
        <v>2861</v>
      </c>
      <c r="B19" s="3220">
        <v>17304</v>
      </c>
      <c r="C19" s="3220">
        <v>11536</v>
      </c>
      <c r="D19" s="3222">
        <v>4317</v>
      </c>
      <c r="E19" s="2999">
        <f t="shared" si="2"/>
        <v>2495</v>
      </c>
      <c r="F19" s="2999">
        <f t="shared" si="3"/>
        <v>3742</v>
      </c>
      <c r="G19" s="3222">
        <v>4317</v>
      </c>
      <c r="H19" s="3003"/>
      <c r="I19" s="3003"/>
    </row>
    <row r="20" spans="1:9" ht="16.5">
      <c r="A20" s="3002" t="s">
        <v>2862</v>
      </c>
      <c r="B20" s="3220">
        <v>21499.5</v>
      </c>
      <c r="C20" s="3220">
        <v>14333</v>
      </c>
      <c r="D20" s="3222">
        <v>5363</v>
      </c>
      <c r="E20" s="2999">
        <f t="shared" si="2"/>
        <v>2494</v>
      </c>
      <c r="F20" s="2999">
        <f t="shared" si="3"/>
        <v>3742</v>
      </c>
      <c r="G20" s="3222">
        <v>5363</v>
      </c>
      <c r="H20" s="3003"/>
      <c r="I20" s="3003"/>
    </row>
    <row r="21" spans="1:9" ht="16.5">
      <c r="A21" s="3002" t="s">
        <v>2863</v>
      </c>
      <c r="B21" s="3220">
        <v>18295.5</v>
      </c>
      <c r="C21" s="3220">
        <v>12197</v>
      </c>
      <c r="D21" s="3222">
        <v>4564</v>
      </c>
      <c r="E21" s="2999">
        <f t="shared" si="2"/>
        <v>2495</v>
      </c>
      <c r="F21" s="2999">
        <f t="shared" si="3"/>
        <v>3742</v>
      </c>
      <c r="G21" s="3222">
        <v>4564</v>
      </c>
      <c r="H21" s="3003"/>
      <c r="I21" s="3003"/>
    </row>
    <row r="22" spans="1:9" ht="16.5">
      <c r="A22" s="3002" t="s">
        <v>2864</v>
      </c>
      <c r="B22" s="3221"/>
      <c r="C22" s="3220">
        <v>4419</v>
      </c>
      <c r="D22" s="3222">
        <v>1654</v>
      </c>
      <c r="E22" s="2999" t="e">
        <f t="shared" si="2"/>
        <v>#DIV/0!</v>
      </c>
      <c r="F22" s="2999">
        <f t="shared" si="3"/>
        <v>3743</v>
      </c>
      <c r="G22" s="3222">
        <v>1654</v>
      </c>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14" sqref="M1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2053</v>
      </c>
      <c r="B1" s="1760"/>
      <c r="C1" s="1788" t="s">
        <v>2054</v>
      </c>
      <c r="D1" s="1789" t="s">
        <v>3056</v>
      </c>
      <c r="E1" s="1788" t="s">
        <v>2055</v>
      </c>
      <c r="F1" s="1790" t="s">
        <v>3057</v>
      </c>
      <c r="G1" s="311"/>
      <c r="H1" s="311"/>
      <c r="I1" s="311"/>
      <c r="J1" s="2012"/>
      <c r="K1" s="2012"/>
      <c r="L1" s="2012"/>
      <c r="M1" s="2012"/>
      <c r="N1" s="2012"/>
      <c r="O1" s="2012"/>
      <c r="P1" s="2012"/>
      <c r="Q1" s="2012"/>
      <c r="R1" s="2012"/>
      <c r="S1" s="2012"/>
      <c r="T1" s="2012"/>
      <c r="U1" s="2012"/>
      <c r="V1" s="2012"/>
    </row>
    <row r="2" spans="1:22" ht="21.75" customHeight="1" thickBot="1">
      <c r="A2" s="3356" t="str">
        <f>项目基本情况!K2</f>
        <v>山东诸城出让国有建设用地使用权</v>
      </c>
      <c r="B2" s="3357"/>
      <c r="C2" s="3358"/>
      <c r="D2" s="3358"/>
      <c r="E2" s="3358"/>
      <c r="F2" s="3358"/>
      <c r="G2" s="3357"/>
      <c r="H2" s="3357"/>
      <c r="I2" s="3359"/>
      <c r="J2" s="2013"/>
      <c r="K2" s="2012"/>
      <c r="L2" s="2012"/>
      <c r="M2" s="2012"/>
      <c r="N2" s="2012"/>
      <c r="O2" s="2012"/>
      <c r="P2" s="2012"/>
      <c r="Q2" s="2012"/>
      <c r="R2" s="2012"/>
      <c r="S2" s="2012"/>
      <c r="T2" s="2012"/>
      <c r="U2" s="2012"/>
      <c r="V2" s="2012"/>
    </row>
    <row r="3" spans="1:22" ht="14.25">
      <c r="A3" s="3367" t="s">
        <v>298</v>
      </c>
      <c r="B3" s="3368"/>
      <c r="C3" s="3368"/>
      <c r="D3" s="3368"/>
      <c r="E3" s="3368"/>
      <c r="F3" s="3368"/>
      <c r="G3" s="3368"/>
      <c r="H3" s="3368"/>
      <c r="I3" s="3368"/>
      <c r="J3" s="2013"/>
      <c r="K3" s="2012"/>
      <c r="L3" s="2012"/>
      <c r="M3" s="2012"/>
      <c r="N3" s="2012"/>
      <c r="O3" s="2012"/>
      <c r="P3" s="2012"/>
      <c r="Q3" s="2012"/>
      <c r="R3" s="2012"/>
      <c r="S3" s="2012"/>
      <c r="T3" s="2012"/>
      <c r="U3" s="2012"/>
      <c r="V3" s="2012"/>
    </row>
    <row r="4" spans="1:22" ht="14.25">
      <c r="A4" s="258" t="s">
        <v>299</v>
      </c>
      <c r="B4" s="259" t="s">
        <v>300</v>
      </c>
      <c r="C4" s="260" t="s">
        <v>3325</v>
      </c>
      <c r="D4" s="260" t="s">
        <v>3324</v>
      </c>
      <c r="E4" s="3331" t="s">
        <v>301</v>
      </c>
      <c r="F4" s="3373"/>
      <c r="G4" s="3373"/>
      <c r="H4" s="3373"/>
      <c r="I4" s="333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0" t="s">
        <v>302</v>
      </c>
      <c r="B5" s="3361">
        <v>25</v>
      </c>
      <c r="C5" s="3369"/>
      <c r="D5" s="3372"/>
      <c r="E5" s="261" t="s">
        <v>303</v>
      </c>
      <c r="F5" s="262"/>
      <c r="G5" s="262"/>
      <c r="H5" s="262"/>
      <c r="I5" s="263"/>
      <c r="J5" s="2013"/>
      <c r="K5" s="2012"/>
      <c r="L5" s="2012"/>
      <c r="M5" s="2012"/>
      <c r="N5" s="2012"/>
      <c r="O5" s="2012"/>
      <c r="P5" s="2012"/>
      <c r="Q5" s="2012"/>
      <c r="R5" s="2012"/>
      <c r="S5" s="2012"/>
      <c r="T5" s="2012"/>
      <c r="U5" s="2012"/>
      <c r="V5" s="2012"/>
    </row>
    <row r="6" spans="1:22" ht="14.25">
      <c r="A6" s="3360"/>
      <c r="B6" s="3361"/>
      <c r="C6" s="3370"/>
      <c r="D6" s="3372"/>
      <c r="E6" s="261" t="s">
        <v>304</v>
      </c>
      <c r="F6" s="262"/>
      <c r="G6" s="262"/>
      <c r="H6" s="262"/>
      <c r="I6" s="263"/>
      <c r="J6" s="2013"/>
      <c r="K6" s="2012"/>
      <c r="L6" s="2012"/>
      <c r="M6" s="2012"/>
      <c r="N6" s="2012"/>
      <c r="O6" s="2012"/>
      <c r="P6" s="2012"/>
      <c r="Q6" s="2012"/>
      <c r="R6" s="2012"/>
      <c r="S6" s="2012"/>
      <c r="T6" s="2012"/>
      <c r="U6" s="2012"/>
      <c r="V6" s="2012"/>
    </row>
    <row r="7" spans="1:22" ht="14.25">
      <c r="A7" s="3360"/>
      <c r="B7" s="3361"/>
      <c r="C7" s="3371"/>
      <c r="D7" s="3372"/>
      <c r="E7" s="261" t="s">
        <v>305</v>
      </c>
      <c r="F7" s="262"/>
      <c r="G7" s="262"/>
      <c r="H7" s="262"/>
      <c r="I7" s="263"/>
      <c r="J7" s="2013"/>
      <c r="K7" s="2012"/>
      <c r="L7" s="2012"/>
      <c r="M7" s="2012"/>
      <c r="N7" s="2012"/>
      <c r="O7" s="2012"/>
      <c r="P7" s="2012"/>
      <c r="Q7" s="2012"/>
      <c r="R7" s="2012"/>
      <c r="S7" s="2012"/>
      <c r="T7" s="2012"/>
      <c r="U7" s="2012"/>
      <c r="V7" s="2012"/>
    </row>
    <row r="8" spans="1:22" ht="14.25">
      <c r="A8" s="3360" t="s">
        <v>306</v>
      </c>
      <c r="B8" s="3361">
        <v>15</v>
      </c>
      <c r="C8" s="3369"/>
      <c r="D8" s="3372"/>
      <c r="E8" s="261" t="s">
        <v>307</v>
      </c>
      <c r="F8" s="262"/>
      <c r="G8" s="262"/>
      <c r="H8" s="262"/>
      <c r="I8" s="263"/>
      <c r="J8" s="2013"/>
      <c r="K8" s="2012"/>
      <c r="L8" s="2012"/>
      <c r="M8" s="2012"/>
      <c r="N8" s="2012"/>
      <c r="O8" s="2012"/>
      <c r="P8" s="2012"/>
      <c r="Q8" s="2012"/>
      <c r="R8" s="2012"/>
      <c r="S8" s="2012"/>
      <c r="T8" s="2012"/>
      <c r="U8" s="2012"/>
      <c r="V8" s="2012"/>
    </row>
    <row r="9" spans="1:22" ht="14.25">
      <c r="A9" s="3360"/>
      <c r="B9" s="3361"/>
      <c r="C9" s="3371"/>
      <c r="D9" s="3372"/>
      <c r="E9" s="261" t="s">
        <v>308</v>
      </c>
      <c r="F9" s="262"/>
      <c r="G9" s="262"/>
      <c r="H9" s="262"/>
      <c r="I9" s="263"/>
      <c r="J9" s="2013"/>
      <c r="K9" s="2012"/>
      <c r="L9" s="2012"/>
      <c r="M9" s="2012"/>
      <c r="N9" s="2012"/>
      <c r="O9" s="2012"/>
      <c r="P9" s="2012"/>
      <c r="Q9" s="2012"/>
      <c r="R9" s="2012"/>
      <c r="S9" s="2012"/>
      <c r="T9" s="2012"/>
      <c r="U9" s="2012"/>
      <c r="V9" s="2012"/>
    </row>
    <row r="10" spans="1:22" ht="14.25">
      <c r="A10" s="3360" t="s">
        <v>309</v>
      </c>
      <c r="B10" s="3361">
        <v>15</v>
      </c>
      <c r="C10" s="3369"/>
      <c r="D10" s="337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60"/>
      <c r="B11" s="3361"/>
      <c r="C11" s="3371"/>
      <c r="D11" s="337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60" t="s">
        <v>312</v>
      </c>
      <c r="B12" s="3361">
        <v>15</v>
      </c>
      <c r="C12" s="3369"/>
      <c r="D12" s="337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60"/>
      <c r="B13" s="3361"/>
      <c r="C13" s="3371"/>
      <c r="D13" s="337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60" t="s">
        <v>315</v>
      </c>
      <c r="B14" s="3361">
        <v>30</v>
      </c>
      <c r="C14" s="3369">
        <v>2</v>
      </c>
      <c r="D14" s="3372">
        <v>8</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60"/>
      <c r="B15" s="3361"/>
      <c r="C15" s="3370"/>
      <c r="D15" s="337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60"/>
      <c r="B16" s="3361"/>
      <c r="C16" s="3371"/>
      <c r="D16" s="337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2</v>
      </c>
      <c r="D17" s="265">
        <f>SUM(D5:D16)</f>
        <v>8</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0.2</v>
      </c>
      <c r="D18" s="267">
        <f>1-C18</f>
        <v>0.8</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4440</v>
      </c>
      <c r="D19" s="271">
        <f ca="1">SUMIF(INDIRECT("'"&amp;D4&amp;"'"&amp;"!A:A"),结果表!B19,INDIRECT("'"&amp;D4&amp;"'"&amp;"!B:B"))</f>
        <v>16096</v>
      </c>
      <c r="E19" s="268" t="s">
        <v>323</v>
      </c>
      <c r="F19" s="269" t="s">
        <v>322</v>
      </c>
      <c r="G19" s="272">
        <f ca="1">ROUND(C19*$C$18+D19*$D$18,0)</f>
        <v>13765</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789</v>
      </c>
      <c r="D20" s="277">
        <f ca="1">SUMIF(INDIRECT("'"&amp;D4&amp;"'"&amp;"!A:A"),结果表!B20,INDIRECT("'"&amp;D4&amp;"'"&amp;"!B:B"))</f>
        <v>2860</v>
      </c>
      <c r="E20" s="274"/>
      <c r="F20" s="275" t="s">
        <v>325</v>
      </c>
      <c r="G20" s="278">
        <f ca="1">ROUND(C20*$C$18+D20*$D$18,0)</f>
        <v>2446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1183</v>
      </c>
      <c r="D21" s="151">
        <f ca="1">SUMIF(INDIRECT("'"&amp;D4&amp;"'"&amp;"!A:A"),结果表!B21,INDIRECT("'"&amp;D4&amp;"'"&amp;"!B:B"))</f>
        <v>4290</v>
      </c>
      <c r="E21" s="274"/>
      <c r="F21" s="280" t="s">
        <v>327</v>
      </c>
      <c r="G21" s="282">
        <f ca="1">ROUND(C21*$C$18+D21*$D$18,0)</f>
        <v>3669</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2.6252252252252251</v>
      </c>
      <c r="E22" s="284"/>
      <c r="F22" s="285"/>
      <c r="G22" s="286">
        <f ca="1">ROUND(G19/('数据-汇总表'!D3/666.67),0)</f>
        <v>245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3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75"/>
      <c r="B25" s="1315" t="s">
        <v>331</v>
      </c>
      <c r="C25" s="290">
        <f>IF(B30=0,0,C30)</f>
        <v>0</v>
      </c>
      <c r="D25" s="291"/>
      <c r="E25" s="311"/>
      <c r="F25" s="311"/>
      <c r="G25" s="311"/>
      <c r="H25" s="311"/>
      <c r="I25" s="311"/>
      <c r="J25" s="2012"/>
      <c r="K25" s="1249" t="str">
        <f ca="1">项目基本情况!B16&amp;"国有建设用地使用权价格："&amp;O38&amp;"万元"</f>
        <v>出让国有建设用地使用权价格：13765万元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大写金额：人民币壹亿叁仟柒佰陆拾伍万元整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单位面积地价：3669元/平方米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楼面地价：2446元/平方米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抵押价格：13765万元</v>
      </c>
      <c r="L29" s="1246"/>
      <c r="M29" s="1246"/>
      <c r="N29" s="1246"/>
      <c r="O29" s="1245"/>
      <c r="P29" s="2012"/>
      <c r="V29" s="2012"/>
    </row>
    <row r="30" spans="1:26" ht="18.75" thickBot="1">
      <c r="A30" s="3080" t="s">
        <v>336</v>
      </c>
      <c r="B30" s="309"/>
      <c r="C30" s="309"/>
      <c r="D30" s="310"/>
      <c r="E30" s="3081" t="s">
        <v>2963</v>
      </c>
      <c r="F30" s="311"/>
      <c r="G30" s="311"/>
      <c r="H30" s="311"/>
      <c r="I30" s="311"/>
      <c r="J30" s="2012"/>
      <c r="K30" s="1252" t="str">
        <f ca="1">IF(K29="——","——","大写金额：人民币"&amp;NUMBERSTRING(INT(O39*10000),2)&amp;"元整")</f>
        <v>大写金额：人民币壹亿叁仟柒佰陆拾伍万元整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1686</v>
      </c>
      <c r="C32" s="1377">
        <f ca="1">G19-C24</f>
        <v>13765</v>
      </c>
      <c r="D32" s="1378" t="s">
        <v>1687</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1688</v>
      </c>
      <c r="C33" s="264">
        <f ca="1">ROUND(C32*10000/'数据-汇总表'!E3,0)</f>
        <v>2446</v>
      </c>
      <c r="D33" s="1380" t="s">
        <v>1689</v>
      </c>
      <c r="E33" s="3333" t="s">
        <v>338</v>
      </c>
      <c r="F33" s="296" t="s">
        <v>339</v>
      </c>
      <c r="G33" s="297"/>
      <c r="H33" s="978"/>
      <c r="I33" s="1253"/>
      <c r="J33" s="2012"/>
      <c r="K33" s="1252" t="str">
        <f>IF(项目基本情况!E9="——","——","抵押净值："&amp;C46&amp;"万元")</f>
        <v>——</v>
      </c>
      <c r="L33" s="1246"/>
      <c r="M33" s="1246"/>
      <c r="N33" s="1246"/>
      <c r="O33" s="1245"/>
      <c r="P33" s="2012"/>
      <c r="V33" s="2012"/>
    </row>
    <row r="34" spans="1:26" s="1248" customFormat="1" ht="18.75" thickBot="1">
      <c r="A34" s="300"/>
      <c r="B34" s="1381" t="s">
        <v>1690</v>
      </c>
      <c r="C34" s="264">
        <f ca="1">ROUND(C32*10000/'数据-汇总表'!D3,0)</f>
        <v>3669</v>
      </c>
      <c r="D34" s="1382" t="s">
        <v>1689</v>
      </c>
      <c r="E34" s="3334"/>
      <c r="F34" s="127" t="s">
        <v>341</v>
      </c>
      <c r="G34" s="299"/>
      <c r="H34" s="105"/>
      <c r="I34" s="311"/>
      <c r="J34" s="2012"/>
      <c r="K34" s="1255" t="str">
        <f>IF(K33="——","——","大写金额：人民币"&amp;NUMBERSTRING(INT(O41*10000),2)&amp;"元整")</f>
        <v>——</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245</v>
      </c>
      <c r="D35" s="1385" t="s">
        <v>1691</v>
      </c>
      <c r="E35" s="3335"/>
      <c r="F35" s="301" t="s">
        <v>342</v>
      </c>
      <c r="G35" s="980"/>
      <c r="H35" s="979" t="s">
        <v>343</v>
      </c>
      <c r="I35" s="311"/>
      <c r="J35" s="2012"/>
      <c r="K35" s="3339" t="s">
        <v>350</v>
      </c>
      <c r="L35" s="3339" t="s">
        <v>351</v>
      </c>
      <c r="M35" s="1258" t="s">
        <v>352</v>
      </c>
      <c r="N35" s="3339" t="s">
        <v>353</v>
      </c>
      <c r="O35" s="3339" t="s">
        <v>354</v>
      </c>
      <c r="P35" s="2012"/>
      <c r="V35" s="2012"/>
    </row>
    <row r="36" spans="1:26" ht="16.5" customHeight="1">
      <c r="A36" s="303" t="s">
        <v>344</v>
      </c>
      <c r="B36" s="304" t="s">
        <v>333</v>
      </c>
      <c r="C36" s="305" t="s">
        <v>345</v>
      </c>
      <c r="D36" s="305" t="s">
        <v>346</v>
      </c>
      <c r="E36" s="306" t="s">
        <v>347</v>
      </c>
      <c r="F36" s="311"/>
      <c r="G36" s="311"/>
      <c r="H36" s="311"/>
      <c r="I36" s="311"/>
      <c r="J36" s="2014"/>
      <c r="K36" s="3340"/>
      <c r="L36" s="3340"/>
      <c r="M36" s="1260" t="s">
        <v>355</v>
      </c>
      <c r="N36" s="3340"/>
      <c r="O36" s="3340"/>
      <c r="P36" s="2012"/>
      <c r="V36" s="2012"/>
    </row>
    <row r="37" spans="1:26" ht="16.5" customHeight="1" thickBot="1">
      <c r="A37" s="1254" t="s">
        <v>348</v>
      </c>
      <c r="B37" s="307"/>
      <c r="C37" s="294"/>
      <c r="D37" s="294"/>
      <c r="E37" s="295"/>
      <c r="F37" s="311"/>
      <c r="G37" s="311"/>
      <c r="H37" s="311"/>
      <c r="I37" s="311"/>
      <c r="J37" s="2014"/>
      <c r="K37" s="3341"/>
      <c r="L37" s="3341"/>
      <c r="M37" s="1261"/>
      <c r="N37" s="3341"/>
      <c r="O37" s="3341"/>
      <c r="P37" s="2012"/>
      <c r="V37" s="2012"/>
    </row>
    <row r="38" spans="1:26" ht="16.5" customHeight="1" thickBot="1">
      <c r="A38" s="1254" t="s">
        <v>349</v>
      </c>
      <c r="B38" s="307"/>
      <c r="C38" s="294"/>
      <c r="D38" s="294"/>
      <c r="E38" s="295"/>
      <c r="F38" s="311"/>
      <c r="G38" s="311"/>
      <c r="H38" s="311"/>
      <c r="I38" s="311"/>
      <c r="J38" s="2014"/>
      <c r="K38" s="1262">
        <f>'数据-汇总表'!D3</f>
        <v>37520</v>
      </c>
      <c r="L38" s="1263">
        <f>'数据-汇总表'!E3</f>
        <v>56280</v>
      </c>
      <c r="M38" s="1263">
        <f ca="1">C34</f>
        <v>3669</v>
      </c>
      <c r="N38" s="1263">
        <f ca="1">C33</f>
        <v>2446</v>
      </c>
      <c r="O38" s="1264">
        <f ca="1">C32</f>
        <v>13765</v>
      </c>
      <c r="P38" s="2012"/>
      <c r="V38" s="2012"/>
    </row>
    <row r="39" spans="1:26" ht="16.5" customHeight="1" thickBot="1">
      <c r="A39" s="1259"/>
      <c r="B39" s="308"/>
      <c r="C39" s="309"/>
      <c r="D39" s="309"/>
      <c r="E39" s="310"/>
      <c r="F39" s="311"/>
      <c r="G39" s="311"/>
      <c r="H39" s="311"/>
      <c r="I39" s="311"/>
      <c r="J39" s="2014"/>
      <c r="K39" s="3316" t="str">
        <f>MID(A44,3,LEN(A44)-2)</f>
        <v>抵押价格</v>
      </c>
      <c r="L39" s="3317"/>
      <c r="M39" s="3317"/>
      <c r="N39" s="3318"/>
      <c r="O39" s="1387">
        <f ca="1">C44</f>
        <v>13765</v>
      </c>
      <c r="P39" s="2012"/>
      <c r="V39" s="2012"/>
    </row>
    <row r="40" spans="1:26" ht="19.5" thickBot="1">
      <c r="A40" s="104" t="s">
        <v>871</v>
      </c>
      <c r="B40" s="311"/>
      <c r="C40" s="311"/>
      <c r="D40" s="311"/>
      <c r="E40" s="311"/>
      <c r="F40" s="311"/>
      <c r="G40" s="311"/>
      <c r="H40" s="311"/>
      <c r="I40" s="311"/>
      <c r="J40" s="2014"/>
      <c r="K40" s="3316" t="str">
        <f t="shared" ref="K40:K41" si="0">MID(A45,3,LEN(A45)-2)</f>
        <v/>
      </c>
      <c r="L40" s="3317"/>
      <c r="M40" s="3317"/>
      <c r="N40" s="3318"/>
      <c r="O40" s="1387" t="str">
        <f>C45</f>
        <v>——</v>
      </c>
      <c r="P40" s="2012"/>
      <c r="V40" s="2012"/>
    </row>
    <row r="41" spans="1:26" ht="16.5" thickBot="1">
      <c r="A41" s="312" t="s">
        <v>356</v>
      </c>
      <c r="B41" s="313"/>
      <c r="C41" s="314" t="s">
        <v>357</v>
      </c>
      <c r="D41" s="315" t="s">
        <v>358</v>
      </c>
      <c r="E41" s="315" t="s">
        <v>359</v>
      </c>
      <c r="F41" s="316" t="s">
        <v>360</v>
      </c>
      <c r="G41" s="311"/>
      <c r="H41" s="311"/>
      <c r="I41" s="311"/>
      <c r="J41" s="2014"/>
      <c r="K41" s="3316" t="str">
        <f t="shared" si="0"/>
        <v/>
      </c>
      <c r="L41" s="3317"/>
      <c r="M41" s="3317"/>
      <c r="N41" s="3318"/>
      <c r="O41" s="1387" t="str">
        <f>C46</f>
        <v>——</v>
      </c>
      <c r="P41" s="2012"/>
      <c r="V41" s="2012"/>
    </row>
    <row r="42" spans="1:26" ht="29.25">
      <c r="A42" s="3376" t="s">
        <v>2065</v>
      </c>
      <c r="B42" s="3377"/>
      <c r="C42" s="264">
        <f ca="1">C32</f>
        <v>13765</v>
      </c>
      <c r="D42" s="317">
        <f ca="1">C33</f>
        <v>2446</v>
      </c>
      <c r="E42" s="317">
        <f ca="1">C34</f>
        <v>3669</v>
      </c>
      <c r="F42" s="318">
        <f ca="1">C35</f>
        <v>245</v>
      </c>
      <c r="G42" s="311"/>
      <c r="H42" s="311"/>
      <c r="I42" s="319"/>
      <c r="J42" s="2014"/>
      <c r="K42" s="1265" t="s">
        <v>361</v>
      </c>
      <c r="L42" s="2031" t="s">
        <v>362</v>
      </c>
      <c r="M42" s="1266" t="s">
        <v>363</v>
      </c>
      <c r="N42" s="2032" t="s">
        <v>364</v>
      </c>
      <c r="O42" s="2033" t="s">
        <v>365</v>
      </c>
      <c r="P42" s="2012"/>
      <c r="V42" s="2012"/>
    </row>
    <row r="43" spans="1:26" ht="30">
      <c r="A43" s="3386" t="s">
        <v>2726</v>
      </c>
      <c r="B43" s="3387"/>
      <c r="C43" s="264">
        <f>IF(H33="正常操作",G33+G34+G35,G34+G35)</f>
        <v>0</v>
      </c>
      <c r="D43" s="317" t="s">
        <v>43</v>
      </c>
      <c r="E43" s="317" t="s">
        <v>44</v>
      </c>
      <c r="F43" s="318" t="s">
        <v>44</v>
      </c>
      <c r="G43" s="2820" t="s">
        <v>950</v>
      </c>
      <c r="H43" s="311"/>
      <c r="I43" s="319"/>
      <c r="J43" s="2014"/>
      <c r="K43" s="1267" t="str">
        <f>C4</f>
        <v>比较法-住宅、综合</v>
      </c>
      <c r="L43" s="1268">
        <f ca="1">IF(L42="估价结果/万元",C19,C20)</f>
        <v>4440</v>
      </c>
      <c r="M43" s="1269">
        <f>C18</f>
        <v>0.2</v>
      </c>
      <c r="N43" s="1270">
        <f ca="1">IF(N42="测算结果/万元",G19,G20)</f>
        <v>13765</v>
      </c>
      <c r="O43" s="1271">
        <f ca="1">IF(O42="最终结果/万元",C32,C33)</f>
        <v>13765</v>
      </c>
      <c r="P43" s="2012"/>
      <c r="V43" s="2012"/>
    </row>
    <row r="44" spans="1:26" ht="30.75" thickBot="1">
      <c r="A44" s="3376" t="str">
        <f>IF(OR(项目基本情况!E8="抵押价格",项目基本情况!E8="已注销及未注销"),"3.抵押价格","——")</f>
        <v>3.抵押价格</v>
      </c>
      <c r="B44" s="3377"/>
      <c r="C44" s="264">
        <f ca="1">IF(A44="——","——",C42-C43)</f>
        <v>13765</v>
      </c>
      <c r="D44" s="317">
        <f ca="1">ROUND(C44*10000/'数据-汇总表'!E3,0)</f>
        <v>2446</v>
      </c>
      <c r="E44" s="317">
        <f ca="1">ROUND(C44*10000/'数据-汇总表'!D3,0)</f>
        <v>3669</v>
      </c>
      <c r="F44" s="318">
        <f ca="1">ROUND(C44/('数据-汇总表'!D3/666.67),0)</f>
        <v>245</v>
      </c>
      <c r="G44" s="311"/>
      <c r="H44" s="311"/>
      <c r="I44" s="319"/>
      <c r="J44" s="2014"/>
      <c r="K44" s="1272" t="str">
        <f>D4</f>
        <v>剩余法-待开发</v>
      </c>
      <c r="L44" s="1273">
        <f ca="1">IF(L42="估价结果/万元",D19,D20)</f>
        <v>16096</v>
      </c>
      <c r="M44" s="1274">
        <f>D18</f>
        <v>0.8</v>
      </c>
      <c r="N44" s="1275"/>
      <c r="O44" s="1276"/>
      <c r="P44" s="2012"/>
      <c r="V44" s="2012"/>
    </row>
    <row r="45" spans="1:26" ht="15">
      <c r="A45" s="3381" t="str">
        <f>IF(项目基本情况!E8="已注销及未注销","4.抵押担保权已注销时的抵押价格",IF(项目基本情况!E8="已注销","3.抵押担保权已注销时的抵押价格","——"))</f>
        <v>——</v>
      </c>
      <c r="B45" s="338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78" t="str">
        <f>IF(项目基本情况!E9="抵押净值",IF(A45="——","4.抵押净值","5.抵押净值"),"——")</f>
        <v>——</v>
      </c>
      <c r="B46" s="337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4" t="s">
        <v>374</v>
      </c>
      <c r="B63" s="3345"/>
      <c r="C63" s="3346"/>
      <c r="D63" s="341">
        <f ca="1">ROUND(C42*F63,0)</f>
        <v>8259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83" t="s">
        <v>378</v>
      </c>
      <c r="B64" s="3384"/>
      <c r="C64" s="3384"/>
      <c r="D64" s="3384"/>
      <c r="E64" s="3384"/>
      <c r="F64" s="3384"/>
      <c r="G64" s="3385"/>
      <c r="H64" s="1282"/>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8"/>
      <c r="J65" s="1974"/>
      <c r="K65" s="1283"/>
      <c r="L65" s="1284"/>
      <c r="M65" s="1284"/>
      <c r="N65" s="1316" t="s">
        <v>379</v>
      </c>
      <c r="O65" s="1317"/>
      <c r="P65" s="1318"/>
      <c r="Q65" s="2012"/>
      <c r="R65" s="2012"/>
      <c r="S65" s="2012"/>
      <c r="T65" s="2012"/>
      <c r="U65" s="2012"/>
      <c r="V65" s="2012"/>
    </row>
    <row r="66" spans="1:22" ht="25.5">
      <c r="A66" s="3380" t="s">
        <v>386</v>
      </c>
      <c r="B66" s="3351"/>
      <c r="C66" s="3351"/>
      <c r="D66" s="261">
        <f ca="1">IF(H66="情况1",0,IF(H66="情况2",D70,IF(H66="情况3",D71,IF(H66="情况4",D72))))</f>
        <v>269</v>
      </c>
      <c r="E66" s="991" t="str">
        <f>IF(H66="情况4","(销售额-原购置价)×税（费）率","销售额×税（费）率")</f>
        <v>销售额×税（费）率</v>
      </c>
      <c r="F66" s="350">
        <f>IF(H66="情况1","免征",'数据-取费表'!B41)</f>
        <v>3.3599999999999998E-2</v>
      </c>
      <c r="G66" s="351" t="s">
        <v>387</v>
      </c>
      <c r="H66" s="191" t="s">
        <v>388</v>
      </c>
      <c r="I66" s="1282"/>
      <c r="J66" s="2018"/>
      <c r="K66" s="1285">
        <v>1</v>
      </c>
      <c r="L66" s="3320" t="s">
        <v>385</v>
      </c>
      <c r="M66" s="3321"/>
      <c r="N66" s="2421"/>
      <c r="O66" s="2422"/>
      <c r="P66" s="2423"/>
      <c r="Q66" s="2012"/>
      <c r="R66" s="2012"/>
      <c r="S66" s="2012"/>
      <c r="T66" s="2012"/>
      <c r="U66" s="2012"/>
      <c r="V66" s="2012"/>
    </row>
    <row r="67" spans="1:22" ht="25.5" customHeight="1">
      <c r="A67" s="352" t="s">
        <v>390</v>
      </c>
      <c r="B67" s="3363" t="s">
        <v>391</v>
      </c>
      <c r="C67" s="3363"/>
      <c r="D67" s="353">
        <v>0</v>
      </c>
      <c r="E67" s="41" t="s">
        <v>392</v>
      </c>
      <c r="F67" s="62" t="s">
        <v>21</v>
      </c>
      <c r="G67" s="3347"/>
      <c r="H67" s="311"/>
      <c r="I67" s="1286"/>
      <c r="J67" s="2019"/>
      <c r="K67" s="1960">
        <v>2</v>
      </c>
      <c r="L67" s="3319" t="s">
        <v>389</v>
      </c>
      <c r="M67" s="3319"/>
      <c r="N67" s="1319">
        <f>'数据-取费表'!B2</f>
        <v>43594</v>
      </c>
      <c r="O67" s="1319"/>
      <c r="P67" s="1319"/>
      <c r="Q67" s="2012"/>
      <c r="R67" s="2012"/>
      <c r="S67" s="2012"/>
      <c r="T67" s="2012"/>
      <c r="U67" s="2012"/>
      <c r="V67" s="2012"/>
    </row>
    <row r="68" spans="1:22" ht="25.5" customHeight="1">
      <c r="A68" s="354"/>
      <c r="B68" s="3363" t="s">
        <v>394</v>
      </c>
      <c r="C68" s="3363"/>
      <c r="D68" s="355"/>
      <c r="E68" s="77"/>
      <c r="F68" s="356"/>
      <c r="G68" s="3348"/>
      <c r="H68" s="311"/>
      <c r="I68" s="1286"/>
      <c r="J68" s="2019"/>
      <c r="K68" s="1960">
        <v>3</v>
      </c>
      <c r="L68" s="3319" t="s">
        <v>393</v>
      </c>
      <c r="M68" s="3319"/>
      <c r="N68" s="1287">
        <f ca="1">C42</f>
        <v>13765</v>
      </c>
      <c r="O68" s="1287"/>
      <c r="P68" s="1287"/>
      <c r="Q68" s="2012"/>
      <c r="R68" s="2012"/>
      <c r="S68" s="2012"/>
      <c r="T68" s="2012"/>
      <c r="U68" s="2012"/>
      <c r="V68" s="2012"/>
    </row>
    <row r="69" spans="1:22" ht="12" customHeight="1">
      <c r="A69" s="357"/>
      <c r="B69" s="3363" t="s">
        <v>395</v>
      </c>
      <c r="C69" s="3363"/>
      <c r="D69" s="358"/>
      <c r="E69" s="73"/>
      <c r="F69" s="356"/>
      <c r="G69" s="3349"/>
      <c r="H69" s="311"/>
      <c r="I69" s="1286"/>
      <c r="J69" s="2019"/>
      <c r="K69" s="1288">
        <v>4</v>
      </c>
      <c r="L69" s="3325" t="s">
        <v>2879</v>
      </c>
      <c r="M69" s="3326"/>
      <c r="N69" s="1289">
        <f ca="1">C44</f>
        <v>13765</v>
      </c>
      <c r="O69" s="1289"/>
      <c r="P69" s="1289"/>
      <c r="Q69" s="2012"/>
      <c r="R69" s="2012"/>
      <c r="S69" s="2012"/>
      <c r="T69" s="2012"/>
      <c r="U69" s="2012"/>
      <c r="V69" s="2012"/>
    </row>
    <row r="70" spans="1:22" ht="24" customHeight="1">
      <c r="A70" s="359" t="s">
        <v>396</v>
      </c>
      <c r="B70" s="3363" t="s">
        <v>397</v>
      </c>
      <c r="C70" s="3363"/>
      <c r="D70" s="358">
        <f ca="1">ROUND(D63*'数据-取费表'!B41/(1+'数据-取费表'!C42),0)</f>
        <v>269</v>
      </c>
      <c r="E70" s="17" t="s">
        <v>398</v>
      </c>
      <c r="F70" s="360">
        <f>'数据-取费表'!B41</f>
        <v>3.3599999999999998E-2</v>
      </c>
      <c r="G70" s="361"/>
      <c r="H70" s="311"/>
      <c r="I70" s="1286"/>
      <c r="J70" s="2019"/>
      <c r="K70" s="3012"/>
      <c r="L70" s="3013"/>
      <c r="M70" s="3013"/>
      <c r="N70" s="3014" t="s">
        <v>2884</v>
      </c>
      <c r="O70" s="3013"/>
      <c r="P70" s="3015"/>
      <c r="Q70" s="2012"/>
      <c r="R70" s="2012"/>
      <c r="S70" s="2012"/>
      <c r="T70" s="2012"/>
      <c r="U70" s="2012"/>
      <c r="V70" s="2012"/>
    </row>
    <row r="71" spans="1:22" ht="12" customHeight="1">
      <c r="A71" s="359" t="s">
        <v>404</v>
      </c>
      <c r="B71" s="3362" t="s">
        <v>405</v>
      </c>
      <c r="C71" s="3374"/>
      <c r="D71" s="358">
        <f ca="1">ROUND(D63*'数据-取费表'!B41/(1+'数据-取费表'!C42),0)</f>
        <v>269</v>
      </c>
      <c r="E71" s="17" t="s">
        <v>398</v>
      </c>
      <c r="F71" s="360">
        <f>'数据-取费表'!B41</f>
        <v>3.3599999999999998E-2</v>
      </c>
      <c r="G71" s="361"/>
      <c r="H71" s="311"/>
      <c r="I71" s="1286"/>
      <c r="J71" s="2019"/>
      <c r="K71" s="3011" t="s">
        <v>399</v>
      </c>
      <c r="L71" s="3327" t="s">
        <v>400</v>
      </c>
      <c r="M71" s="3327"/>
      <c r="N71" s="3011" t="s">
        <v>401</v>
      </c>
      <c r="O71" s="3011" t="s">
        <v>402</v>
      </c>
      <c r="P71" s="3011" t="s">
        <v>403</v>
      </c>
      <c r="Q71" s="2012"/>
      <c r="R71" s="2012"/>
      <c r="S71" s="2012"/>
      <c r="T71" s="2012"/>
      <c r="U71" s="2012"/>
      <c r="V71" s="2012"/>
    </row>
    <row r="72" spans="1:22" ht="12" customHeight="1">
      <c r="A72" s="359" t="s">
        <v>407</v>
      </c>
      <c r="B72" s="3362" t="s">
        <v>408</v>
      </c>
      <c r="C72" s="3374"/>
      <c r="D72" s="358">
        <f ca="1">C86</f>
        <v>202</v>
      </c>
      <c r="E72" s="73" t="s">
        <v>409</v>
      </c>
      <c r="F72" s="360">
        <f>'数据-取费表'!B41</f>
        <v>3.3599999999999998E-2</v>
      </c>
      <c r="G72" s="361"/>
      <c r="H72" s="1292"/>
      <c r="I72" s="1286"/>
      <c r="J72" s="2019"/>
      <c r="K72" s="1960">
        <v>1</v>
      </c>
      <c r="L72" s="3324" t="s">
        <v>406</v>
      </c>
      <c r="M72" s="3324"/>
      <c r="N72" s="1290">
        <f ca="1">D66</f>
        <v>269</v>
      </c>
      <c r="O72" s="1843" t="str">
        <f>E66</f>
        <v>销售额×税（费）率</v>
      </c>
      <c r="P72" s="1291">
        <f>F66</f>
        <v>3.3599999999999998E-2</v>
      </c>
      <c r="Q72" s="2012"/>
      <c r="R72" s="2012"/>
      <c r="S72" s="2012"/>
      <c r="T72" s="2012"/>
      <c r="U72" s="2012"/>
      <c r="V72" s="2012"/>
    </row>
    <row r="73" spans="1:22" ht="24" customHeight="1">
      <c r="A73" s="3350" t="s">
        <v>411</v>
      </c>
      <c r="B73" s="3351"/>
      <c r="C73" s="3351"/>
      <c r="D73" s="362">
        <f>IF(H73="个人住宅",0,ROUND(D63*I73,0))</f>
        <v>0</v>
      </c>
      <c r="E73" s="17" t="s">
        <v>412</v>
      </c>
      <c r="F73" s="360" t="str">
        <f>IF(H73="正常",I73,"免征")</f>
        <v>免征</v>
      </c>
      <c r="G73" s="361"/>
      <c r="H73" s="191" t="s">
        <v>2451</v>
      </c>
      <c r="I73" s="360">
        <f>'数据-取费表'!B49</f>
        <v>5.0000000000000001E-4</v>
      </c>
      <c r="J73" s="2019"/>
      <c r="K73" s="1960">
        <v>2</v>
      </c>
      <c r="L73" s="3324" t="s">
        <v>410</v>
      </c>
      <c r="M73" s="3324"/>
      <c r="N73" s="1290">
        <f t="shared" ref="N73:P74" si="1">D73</f>
        <v>0</v>
      </c>
      <c r="O73" s="1843" t="str">
        <f t="shared" si="1"/>
        <v>销售额×税（费）率</v>
      </c>
      <c r="P73" s="1291" t="str">
        <f t="shared" si="1"/>
        <v>免征</v>
      </c>
      <c r="Q73" s="2012"/>
      <c r="R73" s="2012"/>
      <c r="S73" s="2012"/>
      <c r="T73" s="2012"/>
      <c r="U73" s="2012"/>
      <c r="V73" s="2012"/>
    </row>
    <row r="74" spans="1:22" ht="24.75">
      <c r="A74" s="3350" t="s">
        <v>415</v>
      </c>
      <c r="B74" s="3351"/>
      <c r="C74" s="3351"/>
      <c r="D74" s="362">
        <f ca="1">IF(H74="个人住宅",D75,D76)</f>
        <v>4128</v>
      </c>
      <c r="E74" s="17" t="s">
        <v>416</v>
      </c>
      <c r="F74" s="360" t="str">
        <f>IF(H74="正常",F76,"免征")</f>
        <v>——</v>
      </c>
      <c r="G74" s="981" t="s">
        <v>417</v>
      </c>
      <c r="H74" s="363" t="s">
        <v>413</v>
      </c>
      <c r="I74" s="42"/>
      <c r="J74" s="2019"/>
      <c r="K74" s="1960">
        <v>3</v>
      </c>
      <c r="L74" s="3324" t="s">
        <v>414</v>
      </c>
      <c r="M74" s="3324"/>
      <c r="N74" s="1290">
        <f t="shared" ca="1" si="1"/>
        <v>4128</v>
      </c>
      <c r="O74" s="1843" t="str">
        <f t="shared" si="1"/>
        <v>增值额×税（费）率</v>
      </c>
      <c r="P74" s="1293" t="str">
        <f t="shared" si="1"/>
        <v>——</v>
      </c>
      <c r="Q74" s="2012"/>
      <c r="R74" s="2012"/>
      <c r="S74" s="2012"/>
      <c r="T74" s="2012"/>
      <c r="U74" s="2012"/>
      <c r="V74" s="2012"/>
    </row>
    <row r="75" spans="1:22" ht="24">
      <c r="A75" s="359" t="s">
        <v>418</v>
      </c>
      <c r="B75" s="3331" t="s">
        <v>419</v>
      </c>
      <c r="C75" s="3332"/>
      <c r="D75" s="364">
        <v>0</v>
      </c>
      <c r="E75" s="41" t="s">
        <v>420</v>
      </c>
      <c r="F75" s="365"/>
      <c r="G75" s="361"/>
      <c r="H75" s="42"/>
      <c r="I75" s="42"/>
      <c r="J75" s="2019"/>
      <c r="K75" s="3004">
        <f>IF(H77="非个人房产","",4)</f>
        <v>4</v>
      </c>
      <c r="L75" s="3324" t="str">
        <f>IF(H77="非个人房产","——","个人所得税")</f>
        <v>个人所得税</v>
      </c>
      <c r="M75" s="3324"/>
      <c r="N75" s="1294">
        <f ca="1">D77</f>
        <v>83</v>
      </c>
      <c r="O75" s="1856" t="str">
        <f>E77</f>
        <v>销售额×税（费）率</v>
      </c>
      <c r="P75" s="1295">
        <f>F77</f>
        <v>0.01</v>
      </c>
      <c r="Q75" s="2012"/>
      <c r="R75" s="2012"/>
      <c r="S75" s="2012"/>
      <c r="T75" s="2012"/>
      <c r="U75" s="2012"/>
      <c r="V75" s="2012"/>
    </row>
    <row r="76" spans="1:22" ht="24.75">
      <c r="A76" s="359" t="s">
        <v>396</v>
      </c>
      <c r="B76" s="3331" t="s">
        <v>422</v>
      </c>
      <c r="C76" s="3373"/>
      <c r="D76" s="362">
        <f ca="1">IF(H76="转让取得",C99,C115)</f>
        <v>4128</v>
      </c>
      <c r="E76" s="17" t="s">
        <v>423</v>
      </c>
      <c r="F76" s="53" t="s">
        <v>21</v>
      </c>
      <c r="G76" s="361"/>
      <c r="H76" s="363" t="s">
        <v>424</v>
      </c>
      <c r="I76" s="42"/>
      <c r="J76" s="2019"/>
      <c r="K76" s="3004" t="str">
        <f>IF(项目基本情况!K6="上海银行",IF(K75="",4,K75+1),"")</f>
        <v/>
      </c>
      <c r="L76" s="3312" t="str">
        <f>IF(项目基本情况!K6="上海银行","其他处置费用","")</f>
        <v/>
      </c>
      <c r="M76" s="3313"/>
      <c r="N76" s="1290" t="str">
        <f>IF(项目基本情况!K6="上海银行",N89,"")</f>
        <v/>
      </c>
      <c r="O76" s="3314" t="str">
        <f>IF(项目基本情况!K6="上海银行","包含处置中涉及的律师、诉讼、拍卖、评估等费用","")</f>
        <v/>
      </c>
      <c r="P76" s="3315"/>
      <c r="Q76" s="2012"/>
      <c r="R76" s="2012"/>
      <c r="S76" s="2012"/>
      <c r="T76" s="2012"/>
      <c r="U76" s="2012"/>
      <c r="V76" s="2012"/>
    </row>
    <row r="77" spans="1:22" ht="26.25" thickBot="1">
      <c r="A77" s="3342" t="s">
        <v>426</v>
      </c>
      <c r="B77" s="3343"/>
      <c r="C77" s="3343"/>
      <c r="D77" s="366">
        <f ca="1">IF(H77="非个人房产","——",IF(H77="个人住宅",0,ROUND(D63*I77,0)))</f>
        <v>83</v>
      </c>
      <c r="E77" s="367" t="str">
        <f>IF(H77="非个人房产","——","销售额×税（费）率")</f>
        <v>销售额×税（费）率</v>
      </c>
      <c r="F77" s="368">
        <f>IF(H77="非个人房产","——",IF(H77="个人住宅","免征",I77))</f>
        <v>0.01</v>
      </c>
      <c r="G77" s="982" t="s">
        <v>417</v>
      </c>
      <c r="H77" s="363" t="s">
        <v>2880</v>
      </c>
      <c r="I77" s="369">
        <v>0.01</v>
      </c>
      <c r="J77" s="2019"/>
      <c r="K77" s="3338">
        <f>IF(AND(K75="",K76=""),4,IF(项目基本情况!K6="上海银行",K76+1,K75+1))</f>
        <v>5</v>
      </c>
      <c r="L77" s="3324" t="s">
        <v>2881</v>
      </c>
      <c r="M77" s="3010" t="s">
        <v>421</v>
      </c>
      <c r="N77" s="1296"/>
      <c r="O77" s="1297">
        <f ca="1">SUMIF(N72:N76,"&lt;9e307")</f>
        <v>4480</v>
      </c>
      <c r="P77" s="1298"/>
      <c r="Q77" s="3008">
        <f ca="1">O77/N69</f>
        <v>0.32546313112967673</v>
      </c>
      <c r="R77" s="2012"/>
      <c r="S77" s="2012"/>
      <c r="T77" s="2012"/>
      <c r="U77" s="2012"/>
      <c r="V77" s="2012"/>
    </row>
    <row r="78" spans="1:22" ht="12" customHeight="1">
      <c r="A78" s="1299"/>
      <c r="B78" s="311"/>
      <c r="C78" s="311"/>
      <c r="D78" s="311"/>
      <c r="E78" s="42"/>
      <c r="F78" s="42"/>
      <c r="G78" s="42"/>
      <c r="H78" s="1001"/>
      <c r="I78" s="311"/>
      <c r="J78" s="2019"/>
      <c r="K78" s="3338"/>
      <c r="L78" s="3324"/>
      <c r="M78" s="3010" t="s">
        <v>425</v>
      </c>
      <c r="N78" s="1296"/>
      <c r="O78" s="1297" t="str">
        <f ca="1">NUMBERSTRING(INT(O77*10000),2)&amp;"元整"</f>
        <v>肆仟肆佰捌拾万元整</v>
      </c>
      <c r="P78" s="1298"/>
      <c r="Q78" s="2012"/>
      <c r="R78" s="2012"/>
      <c r="S78" s="2012"/>
      <c r="T78" s="2012"/>
      <c r="U78" s="2012"/>
      <c r="V78" s="2012"/>
    </row>
    <row r="79" spans="1:22" ht="13.5" thickBot="1">
      <c r="A79" s="3328" t="s">
        <v>427</v>
      </c>
      <c r="B79" s="3328"/>
      <c r="C79" s="3328"/>
      <c r="D79" s="3328"/>
      <c r="E79" s="3328"/>
      <c r="F79" s="42"/>
      <c r="G79" s="42"/>
      <c r="H79" s="1001"/>
      <c r="I79" s="311"/>
      <c r="J79" s="2019"/>
      <c r="K79" s="3322">
        <f>K77+1</f>
        <v>6</v>
      </c>
      <c r="L79" s="3324" t="s">
        <v>2882</v>
      </c>
      <c r="M79" s="3010" t="s">
        <v>421</v>
      </c>
      <c r="N79" s="1296"/>
      <c r="O79" s="1297">
        <f ca="1">N69-O77</f>
        <v>9285</v>
      </c>
      <c r="P79" s="1298"/>
      <c r="Q79" s="2012"/>
      <c r="R79" s="2012"/>
      <c r="S79" s="2012"/>
      <c r="T79" s="2012"/>
      <c r="U79" s="2012"/>
      <c r="V79" s="2012"/>
    </row>
    <row r="80" spans="1:22" ht="25.5">
      <c r="A80" s="3329" t="s">
        <v>428</v>
      </c>
      <c r="B80" s="3330"/>
      <c r="C80" s="992"/>
      <c r="D80" s="992" t="s">
        <v>429</v>
      </c>
      <c r="E80" s="370" t="s">
        <v>430</v>
      </c>
      <c r="F80" s="42"/>
      <c r="G80" s="42"/>
      <c r="H80" s="1001"/>
      <c r="I80" s="311"/>
      <c r="J80" s="2012"/>
      <c r="K80" s="3323"/>
      <c r="L80" s="3324"/>
      <c r="M80" s="3010" t="s">
        <v>425</v>
      </c>
      <c r="N80" s="1296"/>
      <c r="O80" s="1297" t="str">
        <f ca="1">NUMBERSTRING(INT(O79*10000),2)&amp;"元整"</f>
        <v>玖仟贰佰捌拾伍万元整</v>
      </c>
      <c r="P80" s="1298"/>
      <c r="Q80" s="2012"/>
      <c r="R80" s="2012"/>
      <c r="S80" s="2012"/>
      <c r="T80" s="2012"/>
      <c r="U80" s="2012"/>
      <c r="V80" s="2012"/>
    </row>
    <row r="81" spans="1:26" ht="13.5" thickBot="1">
      <c r="A81" s="381" t="s">
        <v>1821</v>
      </c>
      <c r="B81" s="371" t="s">
        <v>431</v>
      </c>
      <c r="C81" s="372">
        <f ca="1">ROUND((C82+C83)/(1+'数据-取费表'!C42),0)</f>
        <v>8018</v>
      </c>
      <c r="D81" s="373"/>
      <c r="E81" s="374"/>
      <c r="F81" s="42"/>
      <c r="G81" s="42"/>
      <c r="H81" s="1001"/>
      <c r="I81" s="311"/>
      <c r="J81" s="2012"/>
      <c r="K81" s="3004">
        <f>K79+1</f>
        <v>7</v>
      </c>
      <c r="L81" s="3336" t="s">
        <v>2883</v>
      </c>
      <c r="M81" s="3337"/>
      <c r="N81" s="1300"/>
      <c r="O81" s="1301">
        <f ca="1">ROUND(O79*10000/'数据-汇总表'!E3,0)</f>
        <v>1650</v>
      </c>
      <c r="P81" s="1302"/>
      <c r="Q81" s="2012"/>
      <c r="R81" s="2012"/>
      <c r="S81" s="2012"/>
      <c r="T81" s="2012"/>
      <c r="U81" s="2012"/>
      <c r="V81" s="2012"/>
    </row>
    <row r="82" spans="1:26" ht="13.5" thickTop="1">
      <c r="A82" s="375" t="s">
        <v>1822</v>
      </c>
      <c r="B82" s="376" t="s">
        <v>432</v>
      </c>
      <c r="C82" s="377">
        <f ca="1">D63</f>
        <v>8259</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11" t="s">
        <v>2870</v>
      </c>
      <c r="L83" s="3016" t="s">
        <v>2871</v>
      </c>
      <c r="M83" s="3006">
        <f ca="1">IF(N69&gt;10000,N69*0.5%,IF(AND(N69&gt;1000,N69&lt;=10000),N69*1%,IF(AND(N69&gt;100,N69&lt;=1000),N69*3%,IF(AND(N69&gt;10,N69&lt;=100),N69*5%,N69*8%))))</f>
        <v>68.825000000000003</v>
      </c>
      <c r="N83" s="53">
        <f ca="1">ROUND(M83,1)</f>
        <v>68.8</v>
      </c>
      <c r="O83" s="3009"/>
      <c r="P83" s="2012"/>
      <c r="Q83" s="2012"/>
      <c r="R83" s="2012"/>
      <c r="S83" s="2012"/>
      <c r="T83" s="2012"/>
      <c r="U83" s="2012"/>
      <c r="V83" s="2012"/>
    </row>
    <row r="84" spans="1:26" ht="12.75">
      <c r="A84" s="381" t="s">
        <v>1824</v>
      </c>
      <c r="B84" s="382" t="s">
        <v>434</v>
      </c>
      <c r="C84" s="383">
        <v>2000</v>
      </c>
      <c r="D84" s="384" t="s">
        <v>19</v>
      </c>
      <c r="E84" s="3051" t="s">
        <v>2935</v>
      </c>
      <c r="F84" s="42"/>
      <c r="G84" s="42"/>
      <c r="H84" s="1001"/>
      <c r="I84" s="311"/>
      <c r="J84" s="2012"/>
      <c r="K84" s="3311"/>
      <c r="L84" s="3016" t="s">
        <v>2872</v>
      </c>
      <c r="M84" s="3006">
        <f ca="1">IF(N69&gt;2000,N69*0.5%,IF(AND(N69&gt;1000,N69&lt;=2000),N69*0.6%,IF(AND(N69&gt;500,N69&lt;=1000),N69*0.7%,IF(AND(N69&gt;200,N69&lt;=500),N69*0.8%,IF(AND(N69&gt;100,N69&lt;=200),N69*0.9%,IF(AND(N69&gt;50,N69&lt;=100),N69*1%,IF(AND(N69&gt;20,N69&lt;=50),N69*1.5%,IF(AND(N69&gt;10,N69&lt;=20),N69*2%,IF(AND(N69&gt;1,N69&lt;=10),N69*2.5%)))))))))</f>
        <v>68.825000000000003</v>
      </c>
      <c r="N84" s="53">
        <f t="shared" ref="N84:N85" ca="1" si="2">ROUND(M84,1)</f>
        <v>68.8</v>
      </c>
      <c r="O84" s="2012" t="s">
        <v>2873</v>
      </c>
      <c r="P84" s="2012"/>
      <c r="Q84" s="2012"/>
      <c r="R84" s="2012"/>
      <c r="S84" s="2012"/>
      <c r="T84" s="2012"/>
      <c r="U84" s="2012"/>
      <c r="V84" s="2012"/>
    </row>
    <row r="85" spans="1:26" ht="12.75">
      <c r="A85" s="381" t="s">
        <v>1825</v>
      </c>
      <c r="B85" s="382" t="s">
        <v>435</v>
      </c>
      <c r="C85" s="385">
        <f ca="1">C81-C84</f>
        <v>6018</v>
      </c>
      <c r="D85" s="378" t="s">
        <v>19</v>
      </c>
      <c r="E85" s="379"/>
      <c r="F85" s="42"/>
      <c r="G85" s="42"/>
      <c r="H85" s="1001"/>
      <c r="I85" s="311"/>
      <c r="J85" s="2012"/>
      <c r="K85" s="3311"/>
      <c r="L85" s="3016" t="s">
        <v>2874</v>
      </c>
      <c r="M85" s="3006">
        <f ca="1">IF(N69&gt;1000,N69*0.1%,IF(AND(N69&gt;500,N69&lt;=1000),N69*0.5%,IF(AND(N69&gt;50,N69&lt;=500),N69*1%,IF(AND(N69&gt;1,N69&lt;=50),N69*1.5%))))</f>
        <v>13.765000000000001</v>
      </c>
      <c r="N85" s="53">
        <f t="shared" ca="1" si="2"/>
        <v>13.8</v>
      </c>
      <c r="O85" s="2012" t="s">
        <v>2873</v>
      </c>
      <c r="P85" s="2012"/>
      <c r="Q85" s="2012"/>
      <c r="R85" s="2012"/>
      <c r="S85" s="2012"/>
      <c r="T85" s="2012"/>
      <c r="U85" s="2012"/>
      <c r="V85" s="2012"/>
    </row>
    <row r="86" spans="1:26" ht="13.5" thickBot="1">
      <c r="A86" s="386" t="s">
        <v>1826</v>
      </c>
      <c r="B86" s="387" t="s">
        <v>436</v>
      </c>
      <c r="C86" s="388">
        <f ca="1">IF(C85&lt;=0,0,ROUND(C85*D86,0))</f>
        <v>202</v>
      </c>
      <c r="D86" s="389">
        <f>'数据-取费表'!B41</f>
        <v>3.3599999999999998E-2</v>
      </c>
      <c r="E86" s="390"/>
      <c r="F86" s="42"/>
      <c r="G86" s="42"/>
      <c r="H86" s="1001"/>
      <c r="I86" s="311"/>
      <c r="J86" s="2012"/>
      <c r="K86" s="3311"/>
      <c r="L86" s="3016" t="s">
        <v>2875</v>
      </c>
      <c r="M86" s="3006">
        <f ca="1">N69*0.5%</f>
        <v>68.825000000000003</v>
      </c>
      <c r="N86" s="53">
        <f ca="1">IF(M86&gt;0.5,0.5,ROUND(M86,0))</f>
        <v>0.5</v>
      </c>
      <c r="O86" s="2012" t="s">
        <v>2876</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11"/>
      <c r="L87" s="3016" t="s">
        <v>2877</v>
      </c>
      <c r="M87" s="3006">
        <f ca="1">IF(N69&gt;=10000,(8.25+(N69-10000)*0.01%),IF(AND(N69&gt;=8000,N69&lt;10000),(7.85+(N69-8000)*0.02%),IF(AND(N69&gt;=5000,N69&lt;8000),(6.65+(N69-5000)*0.04%),IF(AND(N69&gt;=2000,N69&lt;5000),(4.25+(PN69-2000)*0.08%),IF(AND(N69&gt;=1000,N69&lt;2000),(2.75+(N69-1000)*0.15%),IF(AND(N69&gt;=100,N69&lt;1000),(0.5+(N69-100)*0.25%),IF(AND(N69&gt;0,N69&lt;100),N69*0.5%)))))))</f>
        <v>8.6265000000000001</v>
      </c>
      <c r="N87" s="53">
        <f ca="1">ROUND(M87*0.9,1)</f>
        <v>7.8</v>
      </c>
      <c r="O87" s="3009"/>
      <c r="P87" s="311"/>
      <c r="Q87" s="2012"/>
      <c r="R87" s="2012"/>
      <c r="S87" s="2012"/>
      <c r="T87" s="2012"/>
      <c r="U87" s="2012"/>
      <c r="V87" s="2012"/>
      <c r="W87" s="292"/>
      <c r="X87" s="292"/>
      <c r="Y87" s="292"/>
      <c r="Z87" s="292"/>
    </row>
    <row r="88" spans="1:26" s="1308" customFormat="1" ht="15" thickBot="1">
      <c r="A88" s="3365" t="s">
        <v>437</v>
      </c>
      <c r="B88" s="3366"/>
      <c r="C88" s="3366"/>
      <c r="D88" s="3366"/>
      <c r="E88" s="3366"/>
      <c r="F88" s="3366"/>
      <c r="G88" s="3366"/>
      <c r="H88" s="3366"/>
      <c r="I88" s="1309"/>
      <c r="J88" s="2020"/>
      <c r="K88" s="3311"/>
      <c r="L88" s="3016" t="s">
        <v>2878</v>
      </c>
      <c r="M88" s="3006">
        <f ca="1">IF(N69&gt;10000,N69*0.5%,IF(AND(N69&gt;5000,N69&lt;=10000),N69*1%,IF(AND(N69&gt;1000,N69&lt;=5000),N69*2%,IF(AND(N69&gt;200,N69&lt;=1000),N69*3%,N69*5%))))</f>
        <v>68.825000000000003</v>
      </c>
      <c r="N88" s="53">
        <f ca="1">ROUND(M88,1)</f>
        <v>68.8</v>
      </c>
      <c r="O88" s="3009"/>
      <c r="P88" s="11"/>
      <c r="Q88" s="2017"/>
      <c r="R88" s="2017"/>
      <c r="S88" s="2017"/>
      <c r="T88" s="2017"/>
      <c r="U88" s="2017"/>
      <c r="V88" s="2017"/>
      <c r="W88" s="2021"/>
      <c r="X88" s="2021"/>
      <c r="Y88" s="2021"/>
      <c r="Z88" s="2021"/>
    </row>
    <row r="89" spans="1:26" s="1308" customFormat="1" ht="14.25">
      <c r="A89" s="3329" t="s">
        <v>428</v>
      </c>
      <c r="B89" s="3330"/>
      <c r="C89" s="992"/>
      <c r="D89" s="992" t="s">
        <v>429</v>
      </c>
      <c r="E89" s="391" t="s">
        <v>438</v>
      </c>
      <c r="F89" s="392"/>
      <c r="G89" s="392"/>
      <c r="H89" s="393"/>
      <c r="I89" s="1310"/>
      <c r="J89" s="2022"/>
      <c r="K89" s="3311"/>
      <c r="L89" s="3016" t="s">
        <v>27</v>
      </c>
      <c r="M89" s="3007"/>
      <c r="N89" s="53">
        <f ca="1">ROUND(SUM(N83:N88),0)</f>
        <v>229</v>
      </c>
      <c r="O89" s="3017">
        <f ca="1">N89/N69</f>
        <v>1.6636396658191065E-2</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8018</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2590</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62" t="s">
        <v>447</v>
      </c>
      <c r="F94" s="3363"/>
      <c r="G94" s="3363"/>
      <c r="H94" s="336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29</v>
      </c>
      <c r="D96" s="406">
        <f>'数据-取费表'!B43</f>
        <v>3.6000000000000003E-3</v>
      </c>
      <c r="E96" s="3352" t="s">
        <v>2424</v>
      </c>
      <c r="F96" s="3353"/>
      <c r="G96" s="3353"/>
      <c r="H96" s="335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5428</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2.0957528957528959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2350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5" t="s">
        <v>454</v>
      </c>
      <c r="B101" s="3366"/>
      <c r="C101" s="3366"/>
      <c r="D101" s="3366"/>
      <c r="E101" s="3366"/>
      <c r="F101" s="3366"/>
      <c r="G101" s="3366"/>
      <c r="H101" s="336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29" t="s">
        <v>428</v>
      </c>
      <c r="B102" s="3330"/>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8018</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719</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IF(H109="——",IF(F1="现房",'剩余法-现房'!C18,'剩余法-待开发'!C18),I109)</f>
        <v>55</v>
      </c>
      <c r="D109" s="406"/>
      <c r="E109" s="3355" t="s">
        <v>462</v>
      </c>
      <c r="F109" s="3353"/>
      <c r="G109" s="3353"/>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63</v>
      </c>
      <c r="D110" s="406">
        <v>0.1</v>
      </c>
      <c r="E110" s="3355" t="s">
        <v>464</v>
      </c>
      <c r="F110" s="3353"/>
      <c r="G110" s="3353"/>
      <c r="H110" s="3354"/>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29</v>
      </c>
      <c r="D111" s="406">
        <f>'数据-取费表'!B43</f>
        <v>3.6000000000000003E-3</v>
      </c>
      <c r="E111" s="3352" t="s">
        <v>2424</v>
      </c>
      <c r="F111" s="3353"/>
      <c r="G111" s="3353"/>
      <c r="H111" s="3354"/>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55" t="s">
        <v>2449</v>
      </c>
      <c r="F112" s="3353"/>
      <c r="G112" s="3353"/>
      <c r="H112" s="3354"/>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7299</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10.151599443671767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4128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11256</v>
      </c>
      <c r="D13" s="451"/>
      <c r="E13" s="365"/>
      <c r="F13" s="452"/>
      <c r="G13" s="444"/>
      <c r="H13" s="447"/>
      <c r="I13" s="447"/>
      <c r="J13" s="447"/>
      <c r="K13" s="448"/>
    </row>
    <row r="14" spans="1:41" s="2100" customFormat="1" ht="13.5" customHeight="1">
      <c r="A14" s="1617" t="s">
        <v>1847</v>
      </c>
      <c r="B14" s="449" t="s">
        <v>480</v>
      </c>
      <c r="C14" s="53">
        <f ca="1">ROUND(C13*F14,0)</f>
        <v>450</v>
      </c>
      <c r="D14" s="451"/>
      <c r="E14" s="365"/>
      <c r="F14" s="453">
        <f>'数据-取费表'!B33</f>
        <v>0.04</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1849</v>
      </c>
      <c r="B16" s="449" t="s">
        <v>484</v>
      </c>
      <c r="C16" s="53">
        <f ca="1">ROUND(D16*E16/10000,0)</f>
        <v>1126</v>
      </c>
      <c r="D16" s="451">
        <f ca="1">IF(B1="",'数据-汇总表'!E3,INDIRECT("'数据-取费表'!K"&amp;$K$1)+INDIRECT("'数据-取费表'!S"&amp;$K$1))</f>
        <v>56280</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169</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13001</v>
      </c>
      <c r="D18" s="461"/>
      <c r="E18" s="462"/>
      <c r="F18" s="462"/>
      <c r="G18" s="1321" t="s">
        <v>2428</v>
      </c>
      <c r="H18" s="447"/>
      <c r="I18" s="447"/>
      <c r="J18" s="447"/>
      <c r="K18" s="448"/>
    </row>
    <row r="19" spans="1:14" s="2103" customFormat="1" ht="13.5" customHeight="1">
      <c r="A19" s="1618" t="s">
        <v>1852</v>
      </c>
      <c r="B19" s="459" t="s">
        <v>493</v>
      </c>
      <c r="C19" s="460">
        <f ca="1">ROUND(C18*F19,0)</f>
        <v>260</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470</v>
      </c>
      <c r="D21" s="467">
        <f ca="1">C23</f>
        <v>6.9999999999999999E-4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1846</v>
      </c>
      <c r="B22" s="1322" t="s">
        <v>2431</v>
      </c>
      <c r="C22" s="487">
        <f ca="1">ROUND(IF('数据-取费表'!B22&lt;=1,(C18+C19)*F21*'数据-取费表'!B20/2,(C18+C19)*(POWER((1+F21),'数据-取费表'!B20/2)-1)),0)</f>
        <v>470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2828</v>
      </c>
      <c r="C24" s="478">
        <f ca="1">C25</f>
        <v>1989</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7" t="s">
        <v>1846</v>
      </c>
      <c r="B25" s="1322" t="s">
        <v>2432</v>
      </c>
      <c r="C25" s="490">
        <f ca="1">ROUND((C18+C19)*F24,0)</f>
        <v>1989</v>
      </c>
      <c r="D25" s="472"/>
      <c r="E25" s="473"/>
      <c r="F25" s="480"/>
      <c r="G25" s="1320" t="s">
        <v>2429</v>
      </c>
      <c r="H25" s="457"/>
      <c r="I25" s="457"/>
      <c r="J25" s="457"/>
      <c r="K25" s="458"/>
    </row>
    <row r="26" spans="1:14" s="2104" customFormat="1" ht="13.5" customHeight="1">
      <c r="A26" s="1617" t="s">
        <v>1847</v>
      </c>
      <c r="B26" s="1322" t="s">
        <v>509</v>
      </c>
      <c r="C26" s="491">
        <f ca="1">ROUND(F20*F24,4)</f>
        <v>3.0000000000000001E-3</v>
      </c>
      <c r="D26" s="472"/>
      <c r="E26" s="481"/>
      <c r="F26" s="480"/>
      <c r="G26" s="1320" t="s">
        <v>510</v>
      </c>
      <c r="H26" s="457"/>
      <c r="I26" s="457"/>
      <c r="J26" s="457"/>
      <c r="K26" s="458"/>
    </row>
    <row r="27" spans="1:14" s="2104" customFormat="1" ht="13.5" customHeight="1">
      <c r="A27" s="1621" t="s">
        <v>1865</v>
      </c>
      <c r="B27" s="459" t="s">
        <v>511</v>
      </c>
      <c r="C27" s="2982">
        <f>ROUND(F27/(1+'数据-取费表'!C42),4)</f>
        <v>3.2599999999999997E-2</v>
      </c>
      <c r="D27" s="462" t="s">
        <v>2826</v>
      </c>
      <c r="E27" s="462"/>
      <c r="F27" s="466">
        <f>'数据-取费表'!B41</f>
        <v>3.3599999999999998E-2</v>
      </c>
      <c r="G27" s="1944" t="s">
        <v>2289</v>
      </c>
      <c r="H27" s="447"/>
      <c r="I27" s="447"/>
      <c r="J27" s="447"/>
      <c r="K27" s="448"/>
    </row>
    <row r="28" spans="1:14" s="2105" customFormat="1" ht="13.5" customHeight="1">
      <c r="A28" s="1621" t="s">
        <v>1866</v>
      </c>
      <c r="B28" s="476" t="s">
        <v>512</v>
      </c>
      <c r="C28" s="470">
        <f ca="1">ROUND((C18+C19+C21+C24)/(1-C20-D21-D24-C27),0)</f>
        <v>16658</v>
      </c>
      <c r="D28" s="477"/>
      <c r="E28" s="469"/>
      <c r="F28" s="471"/>
      <c r="G28" s="1321" t="s">
        <v>2430</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5" t="s">
        <v>1863</v>
      </c>
      <c r="B31" s="1324"/>
      <c r="C31" s="500">
        <f>ROUND(C6*F31/(1+'数据-取费表'!C42),0)</f>
        <v>0</v>
      </c>
      <c r="D31" s="1325"/>
      <c r="E31" s="1325"/>
      <c r="F31" s="501">
        <f>'数据-取费表'!B41</f>
        <v>3.3599999999999998E-2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0" zoomScale="75" zoomScaleNormal="95" zoomScaleSheetLayoutView="75" workbookViewId="0">
      <selection activeCell="M23" sqref="M23"/>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4.6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4440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789</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1183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10" t="s">
        <v>522</v>
      </c>
      <c r="D6" s="3411"/>
      <c r="E6" s="3410" t="s">
        <v>523</v>
      </c>
      <c r="F6" s="3411"/>
      <c r="G6" s="3410" t="s">
        <v>524</v>
      </c>
      <c r="H6" s="3411"/>
      <c r="I6" s="3410" t="s">
        <v>525</v>
      </c>
      <c r="J6" s="3411"/>
      <c r="K6" s="514" t="s">
        <v>526</v>
      </c>
      <c r="L6" s="2117"/>
      <c r="M6" s="2116"/>
      <c r="N6" s="2116"/>
      <c r="O6" s="2118"/>
      <c r="P6" s="3412" t="s">
        <v>527</v>
      </c>
      <c r="Q6" s="3413"/>
      <c r="R6" s="3398" t="s">
        <v>523</v>
      </c>
      <c r="S6" s="3399"/>
      <c r="T6" s="3398" t="s">
        <v>524</v>
      </c>
      <c r="U6" s="3399"/>
      <c r="V6" s="3418" t="s">
        <v>525</v>
      </c>
      <c r="W6" s="3418"/>
      <c r="X6" s="1552"/>
      <c r="Y6" s="3398" t="s">
        <v>527</v>
      </c>
      <c r="Z6" s="3399"/>
      <c r="AA6" s="3393" t="s">
        <v>523</v>
      </c>
      <c r="AB6" s="3394" t="s">
        <v>524</v>
      </c>
      <c r="AC6" s="3393" t="s">
        <v>525</v>
      </c>
    </row>
    <row r="7" spans="1:30" ht="20.25">
      <c r="A7" s="515"/>
      <c r="B7" s="516"/>
      <c r="C7" s="3421" t="s">
        <v>2924</v>
      </c>
      <c r="D7" s="3422"/>
      <c r="E7" s="3421" t="s">
        <v>2925</v>
      </c>
      <c r="F7" s="3422"/>
      <c r="G7" s="3421" t="s">
        <v>2926</v>
      </c>
      <c r="H7" s="3422"/>
      <c r="I7" s="3421" t="s">
        <v>2927</v>
      </c>
      <c r="J7" s="3422"/>
      <c r="K7" s="514"/>
      <c r="L7" s="2117"/>
      <c r="M7" s="2116"/>
      <c r="N7" s="2116"/>
      <c r="O7" s="2118"/>
      <c r="P7" s="3414"/>
      <c r="Q7" s="3415"/>
      <c r="R7" s="3400"/>
      <c r="S7" s="3401"/>
      <c r="T7" s="3400"/>
      <c r="U7" s="3401"/>
      <c r="V7" s="3418"/>
      <c r="W7" s="3418"/>
      <c r="X7" s="1552"/>
      <c r="Y7" s="3400"/>
      <c r="Z7" s="3401"/>
      <c r="AA7" s="3394"/>
      <c r="AB7" s="3394"/>
      <c r="AC7" s="3394"/>
    </row>
    <row r="8" spans="1:30" ht="21" thickBot="1">
      <c r="A8" s="515"/>
      <c r="B8" s="516"/>
      <c r="C8" s="3423" t="s">
        <v>2928</v>
      </c>
      <c r="D8" s="3424"/>
      <c r="E8" s="3425" t="s">
        <v>3328</v>
      </c>
      <c r="F8" s="3424"/>
      <c r="G8" s="3419" t="s">
        <v>3383</v>
      </c>
      <c r="H8" s="3420"/>
      <c r="I8" s="3419" t="s">
        <v>3331</v>
      </c>
      <c r="J8" s="3420"/>
      <c r="K8" s="514" t="s">
        <v>528</v>
      </c>
      <c r="L8" s="2117"/>
      <c r="M8" s="2116"/>
      <c r="N8" s="2116"/>
      <c r="O8" s="2118"/>
      <c r="P8" s="3416"/>
      <c r="Q8" s="3417"/>
      <c r="R8" s="3400"/>
      <c r="S8" s="3401"/>
      <c r="T8" s="3402"/>
      <c r="U8" s="3403"/>
      <c r="V8" s="3418"/>
      <c r="W8" s="3418"/>
      <c r="X8" s="1552"/>
      <c r="Y8" s="3402"/>
      <c r="Z8" s="3403"/>
      <c r="AA8" s="3395"/>
      <c r="AB8" s="3395"/>
      <c r="AC8" s="3395"/>
    </row>
    <row r="9" spans="1:30" s="1214" customFormat="1" ht="21" thickBot="1">
      <c r="A9" s="2866"/>
      <c r="B9" s="2873" t="s">
        <v>529</v>
      </c>
      <c r="C9" s="2865">
        <f>'数据-取费表'!B2</f>
        <v>43594</v>
      </c>
      <c r="D9" s="520">
        <v>100</v>
      </c>
      <c r="E9" s="521">
        <v>43268</v>
      </c>
      <c r="F9" s="522">
        <f>SUMIF(72:72,YEAR(E9)&amp;"-"&amp;INT((MONTH(E9)+2)/3),73:73)</f>
        <v>98</v>
      </c>
      <c r="G9" s="523">
        <v>43152</v>
      </c>
      <c r="H9" s="520">
        <f>SUMIF(72:72,YEAR(G9)&amp;"-"&amp;INT((MONTH(G9)+2)/3),73:73)</f>
        <v>97.5</v>
      </c>
      <c r="I9" s="523">
        <v>43035</v>
      </c>
      <c r="J9" s="520">
        <f>SUMIF(72:72,YEAR(I9)&amp;"-"&amp;INT((MONTH(I9)+2)/3),73:73)</f>
        <v>97</v>
      </c>
      <c r="K9" s="524"/>
      <c r="L9" s="2119"/>
      <c r="M9" s="2116"/>
      <c r="N9" s="2116"/>
      <c r="O9" s="2120"/>
      <c r="P9" s="3396" t="s">
        <v>530</v>
      </c>
      <c r="Q9" s="3405"/>
      <c r="R9" s="1553" t="s">
        <v>8</v>
      </c>
      <c r="S9" s="1554">
        <f t="shared" ref="S9:S17" si="0">F9</f>
        <v>98</v>
      </c>
      <c r="T9" s="1553" t="s">
        <v>8</v>
      </c>
      <c r="U9" s="1554">
        <f t="shared" ref="U9:U17" si="1">H9</f>
        <v>97.5</v>
      </c>
      <c r="V9" s="1553" t="s">
        <v>8</v>
      </c>
      <c r="W9" s="1554">
        <f t="shared" ref="W9:W17" si="2">J9</f>
        <v>97</v>
      </c>
      <c r="X9" s="1555"/>
      <c r="Y9" s="3396" t="s">
        <v>530</v>
      </c>
      <c r="Z9" s="3397"/>
      <c r="AA9" s="1556">
        <f>D9/F9</f>
        <v>1.0204081632653061</v>
      </c>
      <c r="AB9" s="1556">
        <f>D9/H9</f>
        <v>1.0256410256410255</v>
      </c>
      <c r="AC9" s="1556">
        <f>D9/J9</f>
        <v>1.0309278350515463</v>
      </c>
    </row>
    <row r="10" spans="1:30" s="1214" customFormat="1" ht="21" thickBot="1">
      <c r="A10" s="2867"/>
      <c r="B10" s="2874" t="s">
        <v>531</v>
      </c>
      <c r="C10" s="856" t="s">
        <v>532</v>
      </c>
      <c r="D10" s="520">
        <v>100</v>
      </c>
      <c r="E10" s="525" t="s">
        <v>3333</v>
      </c>
      <c r="F10" s="522">
        <f>SUMIF(75:75,E10,76:76)-SUMIF(75:75,C10,76:76)+100</f>
        <v>100</v>
      </c>
      <c r="G10" s="525" t="s">
        <v>3333</v>
      </c>
      <c r="H10" s="520">
        <f>SUMIF(75:75,G10,76:76)-SUMIF(75:75,C10,76:76)+100</f>
        <v>100</v>
      </c>
      <c r="I10" s="525" t="s">
        <v>3333</v>
      </c>
      <c r="J10" s="520">
        <f>SUMIF(75:75,I10,76:76)-SUMIF(75:75,C10,76:76)+100</f>
        <v>100</v>
      </c>
      <c r="K10" s="524"/>
      <c r="L10" s="2119"/>
      <c r="M10" s="2116"/>
      <c r="N10" s="2116"/>
      <c r="O10" s="2120"/>
      <c r="P10" s="3396" t="s">
        <v>533</v>
      </c>
      <c r="Q10" s="3397"/>
      <c r="R10" s="1553" t="s">
        <v>8</v>
      </c>
      <c r="S10" s="1554">
        <f t="shared" si="0"/>
        <v>100</v>
      </c>
      <c r="T10" s="1553" t="s">
        <v>8</v>
      </c>
      <c r="U10" s="1554">
        <f t="shared" si="1"/>
        <v>100</v>
      </c>
      <c r="V10" s="1553" t="s">
        <v>8</v>
      </c>
      <c r="W10" s="1554">
        <f t="shared" si="2"/>
        <v>100</v>
      </c>
      <c r="X10" s="1555"/>
      <c r="Y10" s="3396" t="s">
        <v>533</v>
      </c>
      <c r="Z10" s="3397"/>
      <c r="AA10" s="1556">
        <f t="shared" ref="AA10:AA47" si="3">D10/F10</f>
        <v>1</v>
      </c>
      <c r="AB10" s="1556">
        <f t="shared" ref="AB10:AB47" si="4">D10/H10</f>
        <v>1</v>
      </c>
      <c r="AC10" s="1556">
        <f t="shared" ref="AC10:AC47" si="5">D10/J10</f>
        <v>1</v>
      </c>
    </row>
    <row r="11" spans="1:30" s="1214" customFormat="1" ht="20.25">
      <c r="A11" s="2868"/>
      <c r="B11" s="2875" t="s">
        <v>2752</v>
      </c>
      <c r="C11" s="2862" t="s">
        <v>3334</v>
      </c>
      <c r="D11" s="254">
        <v>100</v>
      </c>
      <c r="E11" s="2862" t="s">
        <v>3334</v>
      </c>
      <c r="F11" s="254">
        <f>SUMIF(77:77,E11,78:78)-SUMIF(77:77,C11,78:78)+100</f>
        <v>100</v>
      </c>
      <c r="G11" s="2862" t="s">
        <v>3334</v>
      </c>
      <c r="H11" s="254">
        <f>SUMIF(77:77,G11,78:78)-SUMIF(77:77,C11,78:78)+100</f>
        <v>100</v>
      </c>
      <c r="I11" s="2862" t="s">
        <v>3334</v>
      </c>
      <c r="J11" s="254">
        <f>SUMIF(77:77,I11,78:78)-SUMIF(77:77,C11,78:78)+100</f>
        <v>100</v>
      </c>
      <c r="K11" s="524"/>
      <c r="L11" s="2119"/>
      <c r="M11" s="2116"/>
      <c r="N11" s="2116"/>
      <c r="O11" s="2121"/>
      <c r="P11" s="3404"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30" s="1332" customFormat="1" ht="27">
      <c r="A12" s="2869"/>
      <c r="B12" s="2874" t="s">
        <v>2753</v>
      </c>
      <c r="C12" s="910">
        <v>40</v>
      </c>
      <c r="D12" s="255">
        <v>100</v>
      </c>
      <c r="E12" s="529" t="s">
        <v>3336</v>
      </c>
      <c r="F12" s="255">
        <f>ROUND(100/'数据-取费表'!G16,0)</f>
        <v>106</v>
      </c>
      <c r="G12" s="530" t="s">
        <v>3336</v>
      </c>
      <c r="H12" s="255">
        <f>ROUND(100/'数据-取费表'!G16,0)</f>
        <v>106</v>
      </c>
      <c r="I12" s="530" t="s">
        <v>3336</v>
      </c>
      <c r="J12" s="255">
        <f>ROUND(100/'数据-取费表'!G16,0)</f>
        <v>106</v>
      </c>
      <c r="K12" s="531"/>
      <c r="L12" s="2122"/>
      <c r="M12" s="2116"/>
      <c r="N12" s="2116"/>
      <c r="O12" s="2123"/>
      <c r="P12" s="3404"/>
      <c r="Q12" s="1145" t="str">
        <f t="shared" si="6"/>
        <v>土地使用年限（年）</v>
      </c>
      <c r="R12" s="1553" t="s">
        <v>8</v>
      </c>
      <c r="S12" s="1554">
        <f t="shared" si="0"/>
        <v>106</v>
      </c>
      <c r="T12" s="1553" t="s">
        <v>8</v>
      </c>
      <c r="U12" s="1554">
        <f t="shared" si="1"/>
        <v>106</v>
      </c>
      <c r="V12" s="1553" t="s">
        <v>8</v>
      </c>
      <c r="W12" s="1554">
        <f t="shared" si="2"/>
        <v>106</v>
      </c>
      <c r="X12" s="1555"/>
      <c r="Y12" s="3361"/>
      <c r="Z12" s="1144" t="str">
        <f t="shared" si="7"/>
        <v>土地使用年限（年）</v>
      </c>
      <c r="AA12" s="1556">
        <f t="shared" si="3"/>
        <v>0.94339622641509435</v>
      </c>
      <c r="AB12" s="1556">
        <f t="shared" si="4"/>
        <v>0.94339622641509435</v>
      </c>
      <c r="AC12" s="1556">
        <f t="shared" si="5"/>
        <v>0.94339622641509435</v>
      </c>
    </row>
    <row r="13" spans="1:30" ht="20.25">
      <c r="A13" s="2870"/>
      <c r="B13" s="2874" t="s">
        <v>2754</v>
      </c>
      <c r="C13" s="534">
        <v>1.5</v>
      </c>
      <c r="D13" s="255">
        <v>100</v>
      </c>
      <c r="E13" s="533">
        <v>1</v>
      </c>
      <c r="F13" s="255">
        <f>LOOKUP(E13,82:82,83:83)-LOOKUP(C13,82:82,83:83)+100</f>
        <v>100</v>
      </c>
      <c r="G13" s="534">
        <v>3.2</v>
      </c>
      <c r="H13" s="255">
        <f>LOOKUP(G13,82:82,83:83)-LOOKUP(C13,82:82,83:83)+100</f>
        <v>97</v>
      </c>
      <c r="I13" s="533">
        <v>2</v>
      </c>
      <c r="J13" s="255">
        <f>LOOKUP(I13,82:82,83:83)-LOOKUP(C13,82:82,83:83)+100</f>
        <v>97</v>
      </c>
      <c r="K13" s="535">
        <v>3</v>
      </c>
      <c r="L13" s="2124"/>
      <c r="M13" s="2116"/>
      <c r="N13" s="2116"/>
      <c r="O13" s="2125"/>
      <c r="P13" s="3404"/>
      <c r="Q13" s="1145" t="str">
        <f t="shared" si="6"/>
        <v>容积率</v>
      </c>
      <c r="R13" s="1553" t="s">
        <v>8</v>
      </c>
      <c r="S13" s="1554">
        <f t="shared" si="0"/>
        <v>100</v>
      </c>
      <c r="T13" s="1553" t="s">
        <v>8</v>
      </c>
      <c r="U13" s="1554">
        <f t="shared" si="1"/>
        <v>97</v>
      </c>
      <c r="V13" s="1553" t="s">
        <v>8</v>
      </c>
      <c r="W13" s="1554">
        <f t="shared" si="2"/>
        <v>97</v>
      </c>
      <c r="X13" s="1555"/>
      <c r="Y13" s="3361"/>
      <c r="Z13" s="1144" t="str">
        <f t="shared" si="7"/>
        <v>容积率</v>
      </c>
      <c r="AA13" s="1556">
        <f t="shared" si="3"/>
        <v>1</v>
      </c>
      <c r="AB13" s="1556">
        <f t="shared" si="4"/>
        <v>1.0309278350515463</v>
      </c>
      <c r="AC13" s="1556">
        <f t="shared" si="5"/>
        <v>1.0309278350515463</v>
      </c>
    </row>
    <row r="14" spans="1:30" s="1214" customFormat="1" ht="20.25" hidden="1">
      <c r="A14" s="2867"/>
      <c r="B14" s="2876" t="s">
        <v>2755</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04"/>
      <c r="Q14" s="1145" t="str">
        <f t="shared" si="6"/>
        <v>配建</v>
      </c>
      <c r="R14" s="1553" t="s">
        <v>8</v>
      </c>
      <c r="S14" s="1554">
        <f t="shared" si="0"/>
        <v>100</v>
      </c>
      <c r="T14" s="1553" t="s">
        <v>8</v>
      </c>
      <c r="U14" s="1554">
        <f t="shared" si="1"/>
        <v>100</v>
      </c>
      <c r="V14" s="1553" t="s">
        <v>8</v>
      </c>
      <c r="W14" s="1554">
        <f t="shared" si="2"/>
        <v>100</v>
      </c>
      <c r="X14" s="1555"/>
      <c r="Y14" s="3361"/>
      <c r="Z14" s="1144" t="str">
        <f t="shared" si="7"/>
        <v>配建</v>
      </c>
      <c r="AA14" s="1556">
        <f>D14/F14</f>
        <v>1</v>
      </c>
      <c r="AB14" s="1556">
        <f>D14/H14</f>
        <v>1</v>
      </c>
      <c r="AC14" s="1556">
        <f>D14/J14</f>
        <v>1</v>
      </c>
    </row>
    <row r="15" spans="1:30" ht="20.25"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4"/>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D15/F15</f>
        <v>1</v>
      </c>
      <c r="AB15" s="1556">
        <f>D15/H15</f>
        <v>1</v>
      </c>
      <c r="AC15" s="1556">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4"/>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D16/F16</f>
        <v>1</v>
      </c>
      <c r="AB16" s="1556">
        <f>D16/H16</f>
        <v>1</v>
      </c>
      <c r="AC16" s="1556">
        <f>D16/J16</f>
        <v>1</v>
      </c>
    </row>
    <row r="17" spans="1:29" ht="99.75" hidden="1">
      <c r="A17" s="2864"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06" t="s">
        <v>540</v>
      </c>
      <c r="Q17" s="1557" t="str">
        <f t="shared" si="6"/>
        <v>居住社区成熟度</v>
      </c>
      <c r="R17" s="1558" t="s">
        <v>8</v>
      </c>
      <c r="S17" s="1559">
        <f t="shared" si="0"/>
        <v>100</v>
      </c>
      <c r="T17" s="1558" t="s">
        <v>8</v>
      </c>
      <c r="U17" s="1559">
        <f t="shared" si="1"/>
        <v>100</v>
      </c>
      <c r="V17" s="1558" t="s">
        <v>8</v>
      </c>
      <c r="W17" s="1559">
        <f t="shared" si="2"/>
        <v>100</v>
      </c>
      <c r="X17" s="1552"/>
      <c r="Y17" s="3406" t="s">
        <v>540</v>
      </c>
      <c r="Z17" s="1560" t="str">
        <f t="shared" si="7"/>
        <v>居住社区成熟度</v>
      </c>
      <c r="AA17" s="1561">
        <f t="shared" si="3"/>
        <v>1</v>
      </c>
      <c r="AB17" s="1561">
        <f t="shared" si="4"/>
        <v>1</v>
      </c>
      <c r="AC17" s="1561">
        <f t="shared" si="5"/>
        <v>1</v>
      </c>
    </row>
    <row r="18" spans="1:29" ht="20.25" hidden="1">
      <c r="A18" s="532"/>
      <c r="B18" s="553"/>
      <c r="C18" s="554"/>
      <c r="D18" s="557"/>
      <c r="E18" s="558"/>
      <c r="F18" s="555"/>
      <c r="G18" s="556"/>
      <c r="H18" s="559"/>
      <c r="I18" s="558"/>
      <c r="J18" s="555"/>
      <c r="K18" s="531"/>
      <c r="L18" s="2126"/>
      <c r="M18" s="2116"/>
      <c r="N18" s="2116"/>
      <c r="O18" s="2125"/>
      <c r="P18" s="3407"/>
      <c r="Q18" s="1557"/>
      <c r="R18" s="1558"/>
      <c r="S18" s="1559"/>
      <c r="T18" s="1558"/>
      <c r="U18" s="1559"/>
      <c r="V18" s="1558"/>
      <c r="W18" s="1559"/>
      <c r="X18" s="1552"/>
      <c r="Y18" s="3407"/>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100</v>
      </c>
      <c r="I19" s="564"/>
      <c r="J19" s="565">
        <f>SUMIF(92:92,I20,93:93)-SUMIF(92:92,C20,93:93)+100</f>
        <v>100</v>
      </c>
      <c r="K19" s="535">
        <v>3</v>
      </c>
      <c r="L19" s="2126"/>
      <c r="M19" s="2116"/>
      <c r="N19" s="2116"/>
      <c r="O19" s="2125"/>
      <c r="P19" s="3407"/>
      <c r="Q19" s="1557" t="str">
        <f>B19</f>
        <v>商业繁华度</v>
      </c>
      <c r="R19" s="1558" t="s">
        <v>8</v>
      </c>
      <c r="S19" s="1559">
        <f>F19</f>
        <v>97</v>
      </c>
      <c r="T19" s="1558" t="s">
        <v>8</v>
      </c>
      <c r="U19" s="1559">
        <f>H19</f>
        <v>100</v>
      </c>
      <c r="V19" s="1558" t="s">
        <v>8</v>
      </c>
      <c r="W19" s="1559">
        <f>J19</f>
        <v>100</v>
      </c>
      <c r="X19" s="1552"/>
      <c r="Y19" s="3407"/>
      <c r="Z19" s="1560" t="str">
        <f>Q19</f>
        <v>商业繁华度</v>
      </c>
      <c r="AA19" s="1561">
        <f t="shared" si="3"/>
        <v>1.0309278350515463</v>
      </c>
      <c r="AB19" s="1561">
        <f t="shared" si="4"/>
        <v>1</v>
      </c>
      <c r="AC19" s="1561">
        <f t="shared" si="5"/>
        <v>1</v>
      </c>
    </row>
    <row r="20" spans="1:29" ht="20.25">
      <c r="A20" s="532"/>
      <c r="B20" s="566"/>
      <c r="C20" s="567" t="s">
        <v>3337</v>
      </c>
      <c r="D20" s="563"/>
      <c r="E20" s="569" t="s">
        <v>3338</v>
      </c>
      <c r="F20" s="559"/>
      <c r="G20" s="568" t="s">
        <v>3337</v>
      </c>
      <c r="H20" s="555"/>
      <c r="I20" s="569" t="s">
        <v>3337</v>
      </c>
      <c r="J20" s="555"/>
      <c r="K20" s="531"/>
      <c r="L20" s="2126"/>
      <c r="M20" s="2116"/>
      <c r="N20" s="2116"/>
      <c r="O20" s="2125"/>
      <c r="P20" s="3407"/>
      <c r="Q20" s="1557"/>
      <c r="R20" s="1558"/>
      <c r="S20" s="1559"/>
      <c r="T20" s="1558"/>
      <c r="U20" s="1559"/>
      <c r="V20" s="1558"/>
      <c r="W20" s="1559"/>
      <c r="X20" s="1552"/>
      <c r="Y20" s="3407"/>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07"/>
      <c r="Q21" s="1557" t="str">
        <f>B21</f>
        <v>办公集聚程度</v>
      </c>
      <c r="R21" s="1558" t="s">
        <v>8</v>
      </c>
      <c r="S21" s="1559">
        <f>F21</f>
        <v>100</v>
      </c>
      <c r="T21" s="1558" t="s">
        <v>8</v>
      </c>
      <c r="U21" s="1559">
        <f>H21</f>
        <v>100</v>
      </c>
      <c r="V21" s="1558" t="s">
        <v>8</v>
      </c>
      <c r="W21" s="1559">
        <f>J21</f>
        <v>100</v>
      </c>
      <c r="X21" s="1552"/>
      <c r="Y21" s="3407"/>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07"/>
      <c r="Q22" s="1557"/>
      <c r="R22" s="1558"/>
      <c r="S22" s="1559"/>
      <c r="T22" s="1558"/>
      <c r="U22" s="1559"/>
      <c r="V22" s="1558"/>
      <c r="W22" s="1559"/>
      <c r="X22" s="1552"/>
      <c r="Y22" s="3407"/>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07"/>
      <c r="Q23" s="1557" t="str">
        <f>B23</f>
        <v>交通便捷度</v>
      </c>
      <c r="R23" s="1558" t="s">
        <v>8</v>
      </c>
      <c r="S23" s="1559">
        <f>F23</f>
        <v>97</v>
      </c>
      <c r="T23" s="1558" t="s">
        <v>8</v>
      </c>
      <c r="U23" s="1559">
        <f>H23</f>
        <v>100</v>
      </c>
      <c r="V23" s="1558" t="s">
        <v>8</v>
      </c>
      <c r="W23" s="1559">
        <f>J23</f>
        <v>100</v>
      </c>
      <c r="X23" s="1552"/>
      <c r="Y23" s="3407"/>
      <c r="Z23" s="1560" t="str">
        <f>Q23</f>
        <v>交通便捷度</v>
      </c>
      <c r="AA23" s="1561">
        <f t="shared" si="3"/>
        <v>1.0309278350515463</v>
      </c>
      <c r="AB23" s="1561">
        <f t="shared" si="4"/>
        <v>1</v>
      </c>
      <c r="AC23" s="1561">
        <f t="shared" si="5"/>
        <v>1</v>
      </c>
    </row>
    <row r="24" spans="1:29" ht="20.25">
      <c r="A24" s="532"/>
      <c r="B24" s="578"/>
      <c r="C24" s="554" t="s">
        <v>3337</v>
      </c>
      <c r="D24" s="557"/>
      <c r="E24" s="558" t="s">
        <v>3338</v>
      </c>
      <c r="F24" s="555"/>
      <c r="G24" s="556" t="s">
        <v>3337</v>
      </c>
      <c r="H24" s="555"/>
      <c r="I24" s="558" t="s">
        <v>3337</v>
      </c>
      <c r="J24" s="555"/>
      <c r="K24" s="531"/>
      <c r="L24" s="2126"/>
      <c r="M24" s="2116"/>
      <c r="N24" s="2116"/>
      <c r="O24" s="2125"/>
      <c r="P24" s="3407"/>
      <c r="Q24" s="1557"/>
      <c r="R24" s="1558"/>
      <c r="S24" s="1559"/>
      <c r="T24" s="1558"/>
      <c r="U24" s="1559"/>
      <c r="V24" s="1558"/>
      <c r="W24" s="1559"/>
      <c r="X24" s="1552"/>
      <c r="Y24" s="3407"/>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6"/>
      <c r="M25" s="2116"/>
      <c r="N25" s="2116"/>
      <c r="O25" s="2125"/>
      <c r="P25" s="3407"/>
      <c r="Q25" s="1557" t="str">
        <f t="shared" ref="Q25:Q39" si="8">B25</f>
        <v>区域土地利用方向</v>
      </c>
      <c r="R25" s="1558" t="s">
        <v>8</v>
      </c>
      <c r="S25" s="1559">
        <f>F25</f>
        <v>100</v>
      </c>
      <c r="T25" s="1558" t="s">
        <v>8</v>
      </c>
      <c r="U25" s="1559">
        <f>H25</f>
        <v>100</v>
      </c>
      <c r="V25" s="1558" t="s">
        <v>8</v>
      </c>
      <c r="W25" s="1559">
        <f>J25</f>
        <v>100</v>
      </c>
      <c r="X25" s="1552"/>
      <c r="Y25" s="3407"/>
      <c r="Z25" s="1560" t="str">
        <f>Q25</f>
        <v>区域土地利用方向</v>
      </c>
      <c r="AA25" s="1561">
        <f t="shared" si="3"/>
        <v>1</v>
      </c>
      <c r="AB25" s="1561">
        <f t="shared" si="4"/>
        <v>1</v>
      </c>
      <c r="AC25" s="1561">
        <f t="shared" si="5"/>
        <v>1</v>
      </c>
    </row>
    <row r="26" spans="1:29" ht="20.25">
      <c r="A26" s="515"/>
      <c r="B26" s="1005"/>
      <c r="C26" s="554" t="s">
        <v>3338</v>
      </c>
      <c r="D26" s="557"/>
      <c r="E26" s="554" t="s">
        <v>3338</v>
      </c>
      <c r="F26" s="555"/>
      <c r="G26" s="554" t="s">
        <v>3338</v>
      </c>
      <c r="H26" s="555"/>
      <c r="I26" s="554" t="s">
        <v>3338</v>
      </c>
      <c r="J26" s="555"/>
      <c r="K26" s="531"/>
      <c r="L26" s="2126"/>
      <c r="M26" s="2116"/>
      <c r="N26" s="2116"/>
      <c r="O26" s="2125"/>
      <c r="P26" s="3407"/>
      <c r="Q26" s="1557"/>
      <c r="R26" s="1558"/>
      <c r="S26" s="1559"/>
      <c r="T26" s="1558"/>
      <c r="U26" s="1559"/>
      <c r="V26" s="1558"/>
      <c r="W26" s="1559"/>
      <c r="X26" s="1552"/>
      <c r="Y26" s="3407"/>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07"/>
      <c r="Q27" s="1557" t="str">
        <f t="shared" si="8"/>
        <v>自然及人文环境状况</v>
      </c>
      <c r="R27" s="1558" t="s">
        <v>8</v>
      </c>
      <c r="S27" s="1559">
        <f>F27</f>
        <v>100</v>
      </c>
      <c r="T27" s="1558" t="s">
        <v>8</v>
      </c>
      <c r="U27" s="1559">
        <f>H27</f>
        <v>98</v>
      </c>
      <c r="V27" s="1558" t="s">
        <v>8</v>
      </c>
      <c r="W27" s="1559">
        <f>J27</f>
        <v>98</v>
      </c>
      <c r="X27" s="1552"/>
      <c r="Y27" s="3407"/>
      <c r="Z27" s="1560" t="str">
        <f>Q27</f>
        <v>自然及人文环境状况</v>
      </c>
      <c r="AA27" s="1561">
        <f t="shared" si="3"/>
        <v>1</v>
      </c>
      <c r="AB27" s="1561">
        <f t="shared" si="4"/>
        <v>1.0204081632653061</v>
      </c>
      <c r="AC27" s="1561">
        <f t="shared" si="5"/>
        <v>1.0204081632653061</v>
      </c>
    </row>
    <row r="28" spans="1:29" ht="20.25">
      <c r="A28" s="515"/>
      <c r="B28" s="566"/>
      <c r="C28" s="554" t="s">
        <v>3337</v>
      </c>
      <c r="D28" s="557"/>
      <c r="E28" s="576" t="s">
        <v>3337</v>
      </c>
      <c r="F28" s="555"/>
      <c r="G28" s="554" t="s">
        <v>3338</v>
      </c>
      <c r="H28" s="555"/>
      <c r="I28" s="576" t="s">
        <v>3338</v>
      </c>
      <c r="J28" s="555"/>
      <c r="K28" s="531"/>
      <c r="L28" s="2126"/>
      <c r="M28" s="2116"/>
      <c r="N28" s="2116"/>
      <c r="O28" s="2125"/>
      <c r="P28" s="3407"/>
      <c r="Q28" s="1557"/>
      <c r="R28" s="1558"/>
      <c r="S28" s="1559"/>
      <c r="T28" s="1558"/>
      <c r="U28" s="1559"/>
      <c r="V28" s="1558"/>
      <c r="W28" s="1559"/>
      <c r="X28" s="1552"/>
      <c r="Y28" s="3407"/>
      <c r="Z28" s="1560"/>
      <c r="AA28" s="1561">
        <v>1</v>
      </c>
      <c r="AB28" s="1561">
        <v>1</v>
      </c>
      <c r="AC28" s="1561">
        <v>1</v>
      </c>
    </row>
    <row r="29" spans="1:29" s="1214" customFormat="1" ht="42.75">
      <c r="A29" s="577"/>
      <c r="B29" s="2554" t="s">
        <v>2544</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535">
        <v>3</v>
      </c>
      <c r="L29" s="2119"/>
      <c r="M29" s="2116"/>
      <c r="N29" s="2116"/>
      <c r="O29" s="2121"/>
      <c r="P29" s="3407"/>
      <c r="Q29" s="1145" t="str">
        <f t="shared" si="8"/>
        <v>公共配套设施</v>
      </c>
      <c r="R29" s="1553" t="s">
        <v>8</v>
      </c>
      <c r="S29" s="1554">
        <f>F29</f>
        <v>97</v>
      </c>
      <c r="T29" s="1553" t="s">
        <v>8</v>
      </c>
      <c r="U29" s="1554">
        <f>H29</f>
        <v>100</v>
      </c>
      <c r="V29" s="1553" t="s">
        <v>8</v>
      </c>
      <c r="W29" s="1554">
        <f>J29</f>
        <v>100</v>
      </c>
      <c r="X29" s="1555"/>
      <c r="Y29" s="3407"/>
      <c r="Z29" s="1144" t="str">
        <f>Q29</f>
        <v>公共配套设施</v>
      </c>
      <c r="AA29" s="1561">
        <f>D29/F29</f>
        <v>1.0309278350515463</v>
      </c>
      <c r="AB29" s="1561">
        <f>D29/H29</f>
        <v>1</v>
      </c>
      <c r="AC29" s="1561">
        <f>D29/J29</f>
        <v>1</v>
      </c>
    </row>
    <row r="30" spans="1:29" s="1214" customFormat="1" ht="20.25">
      <c r="A30" s="577"/>
      <c r="B30" s="566"/>
      <c r="C30" s="579" t="s">
        <v>3337</v>
      </c>
      <c r="D30" s="557"/>
      <c r="E30" s="576" t="s">
        <v>3338</v>
      </c>
      <c r="F30" s="555"/>
      <c r="G30" s="554" t="s">
        <v>3337</v>
      </c>
      <c r="H30" s="555"/>
      <c r="I30" s="576" t="s">
        <v>3337</v>
      </c>
      <c r="J30" s="555"/>
      <c r="K30" s="531"/>
      <c r="L30" s="2119"/>
      <c r="M30" s="2116"/>
      <c r="N30" s="2116"/>
      <c r="O30" s="2121"/>
      <c r="P30" s="3407"/>
      <c r="Q30" s="1145"/>
      <c r="R30" s="1553"/>
      <c r="S30" s="1554"/>
      <c r="T30" s="1553"/>
      <c r="U30" s="1554"/>
      <c r="V30" s="1553"/>
      <c r="W30" s="1554"/>
      <c r="X30" s="1555"/>
      <c r="Y30" s="3407"/>
      <c r="Z30" s="1144"/>
      <c r="AA30" s="1561">
        <v>1</v>
      </c>
      <c r="AB30" s="1561">
        <v>1</v>
      </c>
      <c r="AC30" s="1561">
        <v>1</v>
      </c>
    </row>
    <row r="31" spans="1:29" s="1214" customFormat="1" ht="28.5">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7"/>
      <c r="Q31" s="2541" t="str">
        <f t="shared" ref="Q31" si="9">B31</f>
        <v>基础设施水平</v>
      </c>
      <c r="R31" s="1553" t="s">
        <v>8</v>
      </c>
      <c r="S31" s="1554">
        <f>F31</f>
        <v>100</v>
      </c>
      <c r="T31" s="1553" t="s">
        <v>8</v>
      </c>
      <c r="U31" s="1554">
        <f>H31</f>
        <v>100</v>
      </c>
      <c r="V31" s="1553" t="s">
        <v>8</v>
      </c>
      <c r="W31" s="1554">
        <f>J31</f>
        <v>100</v>
      </c>
      <c r="X31" s="1555"/>
      <c r="Y31" s="3407"/>
      <c r="Z31" s="2538" t="str">
        <f>Q31</f>
        <v>基础设施水平</v>
      </c>
      <c r="AA31" s="1561">
        <f>D31/F31</f>
        <v>1</v>
      </c>
      <c r="AB31" s="1561">
        <f>D31/H31</f>
        <v>1</v>
      </c>
      <c r="AC31" s="1561">
        <f>D31/J31</f>
        <v>1</v>
      </c>
    </row>
    <row r="32" spans="1:29" s="1214" customFormat="1" ht="20.25">
      <c r="A32" s="577"/>
      <c r="B32" s="566"/>
      <c r="C32" s="579" t="s">
        <v>3339</v>
      </c>
      <c r="D32" s="557"/>
      <c r="E32" s="2555" t="s">
        <v>3339</v>
      </c>
      <c r="F32" s="555"/>
      <c r="G32" s="2555" t="s">
        <v>3339</v>
      </c>
      <c r="H32" s="555"/>
      <c r="I32" s="2555" t="s">
        <v>3339</v>
      </c>
      <c r="J32" s="555"/>
      <c r="K32" s="531"/>
      <c r="L32" s="2119"/>
      <c r="M32" s="2116"/>
      <c r="N32" s="2116"/>
      <c r="O32" s="2121"/>
      <c r="P32" s="3407"/>
      <c r="Q32" s="2541"/>
      <c r="R32" s="1553"/>
      <c r="S32" s="1554"/>
      <c r="T32" s="1553"/>
      <c r="U32" s="1554"/>
      <c r="V32" s="1553"/>
      <c r="W32" s="1554"/>
      <c r="X32" s="1555"/>
      <c r="Y32" s="3407"/>
      <c r="Z32" s="2538"/>
      <c r="AA32" s="1561">
        <v>1</v>
      </c>
      <c r="AB32" s="1561">
        <v>1</v>
      </c>
      <c r="AC32" s="1561">
        <v>1</v>
      </c>
    </row>
    <row r="33" spans="1:29" ht="20.25">
      <c r="A33" s="532"/>
      <c r="B33" s="566" t="s">
        <v>547</v>
      </c>
      <c r="C33" s="580" t="s">
        <v>3340</v>
      </c>
      <c r="D33" s="575">
        <v>100</v>
      </c>
      <c r="E33" s="583" t="s">
        <v>3340</v>
      </c>
      <c r="F33" s="540">
        <f>SUMIF(106:106,E33,107:107)-SUMIF(106:106,C33,107:107)+100</f>
        <v>100</v>
      </c>
      <c r="G33" s="580" t="s">
        <v>3340</v>
      </c>
      <c r="H33" s="540">
        <f>SUMIF(106:106,G33,107:107)-SUMIF(106:106,C33,107:107)+100</f>
        <v>100</v>
      </c>
      <c r="I33" s="580" t="s">
        <v>3340</v>
      </c>
      <c r="J33" s="540">
        <f>SUMIF(106:106,I33,107:107)-SUMIF(106:106,C33,107:107)+100</f>
        <v>100</v>
      </c>
      <c r="K33" s="535">
        <v>3</v>
      </c>
      <c r="L33" s="2126"/>
      <c r="M33" s="2116"/>
      <c r="N33" s="2116"/>
      <c r="O33" s="2125"/>
      <c r="P33" s="340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7"/>
      <c r="Z33" s="1560" t="str">
        <f t="shared" ref="Z33:Z47" si="13">Q33</f>
        <v>临街状况</v>
      </c>
      <c r="AA33" s="1561">
        <f t="shared" si="3"/>
        <v>1</v>
      </c>
      <c r="AB33" s="1561">
        <f t="shared" si="4"/>
        <v>1</v>
      </c>
      <c r="AC33" s="1561">
        <f t="shared" si="5"/>
        <v>1</v>
      </c>
    </row>
    <row r="34" spans="1:29" ht="27">
      <c r="A34" s="532"/>
      <c r="B34" s="578" t="s">
        <v>548</v>
      </c>
      <c r="C34" s="3201" t="s">
        <v>3344</v>
      </c>
      <c r="D34" s="563">
        <v>100</v>
      </c>
      <c r="E34" s="564"/>
      <c r="F34" s="559">
        <f>SUMIF(108:108,E35,109:109)-SUMIF(108:108,C35,109:109)+100</f>
        <v>96</v>
      </c>
      <c r="G34" s="3201" t="s">
        <v>3343</v>
      </c>
      <c r="H34" s="559">
        <f>SUMIF(108:108,G35,109:109)-SUMIF(108:108,C35,109:109)+100</f>
        <v>98</v>
      </c>
      <c r="I34" s="3200" t="s">
        <v>3342</v>
      </c>
      <c r="J34" s="559">
        <f>SUMIF(108:108,I35,109:109)-SUMIF(108:108,C35,109:109)+100</f>
        <v>98</v>
      </c>
      <c r="K34" s="535">
        <v>2</v>
      </c>
      <c r="L34" s="2126"/>
      <c r="M34" s="2116"/>
      <c r="N34" s="2116"/>
      <c r="O34" s="2125"/>
      <c r="P34" s="3407"/>
      <c r="Q34" s="1557" t="str">
        <f t="shared" si="8"/>
        <v>毗邻道路的类型与等级</v>
      </c>
      <c r="R34" s="1558" t="s">
        <v>8</v>
      </c>
      <c r="S34" s="1559">
        <f t="shared" si="10"/>
        <v>96</v>
      </c>
      <c r="T34" s="1558" t="s">
        <v>8</v>
      </c>
      <c r="U34" s="1559">
        <f t="shared" si="11"/>
        <v>98</v>
      </c>
      <c r="V34" s="1558" t="s">
        <v>8</v>
      </c>
      <c r="W34" s="1559">
        <f t="shared" si="12"/>
        <v>98</v>
      </c>
      <c r="X34" s="1552"/>
      <c r="Y34" s="3407"/>
      <c r="Z34" s="1560" t="str">
        <f t="shared" si="13"/>
        <v>毗邻道路的类型与等级</v>
      </c>
      <c r="AA34" s="1561">
        <f t="shared" si="3"/>
        <v>1.0416666666666667</v>
      </c>
      <c r="AB34" s="1561">
        <f t="shared" si="4"/>
        <v>1.0204081632653061</v>
      </c>
      <c r="AC34" s="1561">
        <f t="shared" si="5"/>
        <v>1.0204081632653061</v>
      </c>
    </row>
    <row r="35" spans="1:29" ht="21" thickBot="1">
      <c r="A35" s="532"/>
      <c r="B35" s="566"/>
      <c r="C35" s="554" t="s">
        <v>3345</v>
      </c>
      <c r="D35" s="557"/>
      <c r="E35" s="576" t="s">
        <v>3349</v>
      </c>
      <c r="F35" s="555"/>
      <c r="G35" s="554" t="s">
        <v>3341</v>
      </c>
      <c r="H35" s="555"/>
      <c r="I35" s="576" t="s">
        <v>3341</v>
      </c>
      <c r="J35" s="555"/>
      <c r="K35" s="581"/>
      <c r="L35" s="2126"/>
      <c r="M35" s="2116"/>
      <c r="N35" s="2116"/>
      <c r="O35" s="2125"/>
      <c r="P35" s="3407"/>
      <c r="Q35" s="1557"/>
      <c r="R35" s="1558"/>
      <c r="S35" s="1559"/>
      <c r="T35" s="1558"/>
      <c r="U35" s="1559"/>
      <c r="V35" s="1558"/>
      <c r="W35" s="1559"/>
      <c r="X35" s="1552"/>
      <c r="Y35" s="3407"/>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7"/>
      <c r="Q36" s="1557" t="str">
        <f t="shared" si="8"/>
        <v>土地级别</v>
      </c>
      <c r="R36" s="1558" t="s">
        <v>8</v>
      </c>
      <c r="S36" s="1559">
        <f t="shared" si="10"/>
        <v>100</v>
      </c>
      <c r="T36" s="1558" t="s">
        <v>8</v>
      </c>
      <c r="U36" s="1559">
        <f t="shared" si="11"/>
        <v>100</v>
      </c>
      <c r="V36" s="1558" t="s">
        <v>8</v>
      </c>
      <c r="W36" s="1559">
        <f t="shared" si="12"/>
        <v>100</v>
      </c>
      <c r="X36" s="1552"/>
      <c r="Y36" s="3407"/>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7"/>
      <c r="Q37" s="1557">
        <f t="shared" si="8"/>
        <v>111</v>
      </c>
      <c r="R37" s="1558" t="s">
        <v>8</v>
      </c>
      <c r="S37" s="1559">
        <f t="shared" si="10"/>
        <v>100</v>
      </c>
      <c r="T37" s="1558" t="s">
        <v>8</v>
      </c>
      <c r="U37" s="1559">
        <f t="shared" si="11"/>
        <v>100</v>
      </c>
      <c r="V37" s="1558" t="s">
        <v>8</v>
      </c>
      <c r="W37" s="1559">
        <f t="shared" si="12"/>
        <v>100</v>
      </c>
      <c r="X37" s="1552"/>
      <c r="Y37" s="3407"/>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8" t="s">
        <v>550</v>
      </c>
      <c r="Q38" s="1557">
        <f t="shared" si="8"/>
        <v>111</v>
      </c>
      <c r="R38" s="1558" t="s">
        <v>8</v>
      </c>
      <c r="S38" s="1559">
        <f t="shared" si="10"/>
        <v>100</v>
      </c>
      <c r="T38" s="1558" t="s">
        <v>8</v>
      </c>
      <c r="U38" s="1559">
        <f t="shared" si="11"/>
        <v>100</v>
      </c>
      <c r="V38" s="1558" t="s">
        <v>8</v>
      </c>
      <c r="W38" s="1559">
        <f t="shared" si="12"/>
        <v>100</v>
      </c>
      <c r="X38" s="1552"/>
      <c r="Y38" s="3409" t="s">
        <v>550</v>
      </c>
      <c r="Z38" s="1560">
        <f t="shared" si="13"/>
        <v>111</v>
      </c>
      <c r="AA38" s="1561">
        <f t="shared" si="3"/>
        <v>1</v>
      </c>
      <c r="AB38" s="1561">
        <f t="shared" si="4"/>
        <v>1</v>
      </c>
      <c r="AC38" s="1561">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9"/>
      <c r="Q39" s="1557">
        <f t="shared" si="8"/>
        <v>111</v>
      </c>
      <c r="R39" s="1562" t="s">
        <v>8</v>
      </c>
      <c r="S39" s="1563">
        <f t="shared" si="10"/>
        <v>100</v>
      </c>
      <c r="T39" s="1562" t="s">
        <v>8</v>
      </c>
      <c r="U39" s="1563">
        <f t="shared" si="11"/>
        <v>100</v>
      </c>
      <c r="V39" s="1562" t="s">
        <v>8</v>
      </c>
      <c r="W39" s="1563">
        <f t="shared" si="12"/>
        <v>100</v>
      </c>
      <c r="X39" s="1564"/>
      <c r="Y39" s="3409"/>
      <c r="Z39" s="1565">
        <f t="shared" si="13"/>
        <v>111</v>
      </c>
      <c r="AA39" s="1561">
        <f t="shared" si="3"/>
        <v>1</v>
      </c>
      <c r="AB39" s="1561">
        <f t="shared" si="4"/>
        <v>1</v>
      </c>
      <c r="AC39" s="1561">
        <f t="shared" si="5"/>
        <v>1</v>
      </c>
    </row>
    <row r="40" spans="1:29" ht="20.25">
      <c r="A40" s="2861" t="s">
        <v>2751</v>
      </c>
      <c r="B40" s="595" t="s">
        <v>552</v>
      </c>
      <c r="C40" s="596">
        <f>'数据-基础表'!A3</f>
        <v>37520</v>
      </c>
      <c r="D40" s="597">
        <v>100</v>
      </c>
      <c r="E40" s="596">
        <v>104161</v>
      </c>
      <c r="F40" s="597">
        <f>LOOKUP(E40,119:119,120:120)-LOOKUP(C40,119:119,120:120)+100</f>
        <v>102</v>
      </c>
      <c r="G40" s="596">
        <v>333</v>
      </c>
      <c r="H40" s="597">
        <f>LOOKUP(G40,119:119,120:120)-LOOKUP(C40,119:119,120:120)+100</f>
        <v>99</v>
      </c>
      <c r="I40" s="598">
        <v>22010</v>
      </c>
      <c r="J40" s="597">
        <f>LOOKUP(I40,119:119,120:120)-LOOKUP(C40,119:119,120:120)+100</f>
        <v>99</v>
      </c>
      <c r="K40" s="581"/>
      <c r="L40" s="2126"/>
      <c r="M40" s="2116"/>
      <c r="N40" s="2116"/>
      <c r="O40" s="2125"/>
      <c r="P40" s="3409"/>
      <c r="Q40" s="1557" t="str">
        <f>B40</f>
        <v>宗地面积</v>
      </c>
      <c r="R40" s="1558" t="s">
        <v>8</v>
      </c>
      <c r="S40" s="1559">
        <f t="shared" si="10"/>
        <v>102</v>
      </c>
      <c r="T40" s="1558" t="s">
        <v>8</v>
      </c>
      <c r="U40" s="1559">
        <f t="shared" si="11"/>
        <v>99</v>
      </c>
      <c r="V40" s="1558" t="s">
        <v>8</v>
      </c>
      <c r="W40" s="1559">
        <f t="shared" si="12"/>
        <v>99</v>
      </c>
      <c r="X40" s="1552"/>
      <c r="Y40" s="3409"/>
      <c r="Z40" s="1560" t="str">
        <f t="shared" si="13"/>
        <v>宗地面积</v>
      </c>
      <c r="AA40" s="1561">
        <f t="shared" si="3"/>
        <v>0.98039215686274506</v>
      </c>
      <c r="AB40" s="1561">
        <f t="shared" si="4"/>
        <v>1.0101010101010102</v>
      </c>
      <c r="AC40" s="1561">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09"/>
      <c r="Q41" s="1557" t="str">
        <f t="shared" ref="Q41:Q47" si="14">B41</f>
        <v>宗地形状</v>
      </c>
      <c r="R41" s="1558" t="s">
        <v>8</v>
      </c>
      <c r="S41" s="1559">
        <f t="shared" si="10"/>
        <v>100</v>
      </c>
      <c r="T41" s="1558" t="s">
        <v>8</v>
      </c>
      <c r="U41" s="1559">
        <f t="shared" si="11"/>
        <v>100</v>
      </c>
      <c r="V41" s="1558" t="s">
        <v>8</v>
      </c>
      <c r="W41" s="1559">
        <f t="shared" si="12"/>
        <v>100</v>
      </c>
      <c r="X41" s="1552"/>
      <c r="Y41" s="3409"/>
      <c r="Z41" s="1560" t="str">
        <f t="shared" si="13"/>
        <v>宗地形状</v>
      </c>
      <c r="AA41" s="1561">
        <f t="shared" si="3"/>
        <v>1</v>
      </c>
      <c r="AB41" s="1561">
        <f t="shared" si="4"/>
        <v>1</v>
      </c>
      <c r="AC41" s="1561">
        <f t="shared" si="5"/>
        <v>1</v>
      </c>
    </row>
    <row r="42" spans="1:29" ht="20.25">
      <c r="A42" s="594"/>
      <c r="B42" s="527" t="s">
        <v>554</v>
      </c>
      <c r="C42" s="599" t="s">
        <v>3362</v>
      </c>
      <c r="D42" s="540">
        <v>100</v>
      </c>
      <c r="E42" s="599" t="s">
        <v>3362</v>
      </c>
      <c r="F42" s="540">
        <f>SUMIF(123:123,E42,124:124)-SUMIF(123:123,C42,124:124)+100</f>
        <v>100</v>
      </c>
      <c r="G42" s="599" t="s">
        <v>3362</v>
      </c>
      <c r="H42" s="540">
        <f>SUMIF(123:123,G42,124:124)-SUMIF(123:123,C42,124:124)+100</f>
        <v>100</v>
      </c>
      <c r="I42" s="599" t="s">
        <v>3362</v>
      </c>
      <c r="J42" s="540">
        <f>SUMIF(123:123,I42,124:124)-SUMIF(123:123,C42,124:124)+100</f>
        <v>100</v>
      </c>
      <c r="K42" s="584">
        <v>1</v>
      </c>
      <c r="L42" s="2126"/>
      <c r="M42" s="2116"/>
      <c r="N42" s="2116"/>
      <c r="O42" s="2125"/>
      <c r="P42" s="3409"/>
      <c r="Q42" s="1557" t="str">
        <f t="shared" si="14"/>
        <v>临街宽度及深度</v>
      </c>
      <c r="R42" s="1558" t="s">
        <v>8</v>
      </c>
      <c r="S42" s="1559">
        <f t="shared" si="10"/>
        <v>100</v>
      </c>
      <c r="T42" s="1558" t="s">
        <v>8</v>
      </c>
      <c r="U42" s="1559">
        <f t="shared" si="11"/>
        <v>100</v>
      </c>
      <c r="V42" s="1558" t="s">
        <v>8</v>
      </c>
      <c r="W42" s="1559">
        <f t="shared" si="12"/>
        <v>100</v>
      </c>
      <c r="X42" s="1552"/>
      <c r="Y42" s="3409"/>
      <c r="Z42" s="1560" t="str">
        <f t="shared" si="13"/>
        <v>临街宽度及深度</v>
      </c>
      <c r="AA42" s="1561">
        <f t="shared" si="3"/>
        <v>1</v>
      </c>
      <c r="AB42" s="1561">
        <f t="shared" si="4"/>
        <v>1</v>
      </c>
      <c r="AC42" s="1561">
        <f t="shared" si="5"/>
        <v>1</v>
      </c>
    </row>
    <row r="43" spans="1:29" s="1214" customFormat="1" ht="20.25">
      <c r="A43" s="600"/>
      <c r="B43" s="1879" t="s">
        <v>2420</v>
      </c>
      <c r="C43" s="601" t="s">
        <v>3357</v>
      </c>
      <c r="D43" s="255">
        <v>100</v>
      </c>
      <c r="E43" s="601" t="s">
        <v>3357</v>
      </c>
      <c r="F43" s="540">
        <f>SUMIF(125:125,E43,126:126)-SUMIF(125:125,C43,126:126)+100</f>
        <v>100</v>
      </c>
      <c r="G43" s="601" t="s">
        <v>3357</v>
      </c>
      <c r="H43" s="540">
        <f>SUMIF(125:125,G43,126:126)-SUMIF(125:125,C43,126:126)+100</f>
        <v>100</v>
      </c>
      <c r="I43" s="601" t="s">
        <v>3357</v>
      </c>
      <c r="J43" s="540">
        <f>SUMIF(125:125,I43,126:126)-SUMIF(125:125,C43,126:126)+100</f>
        <v>100</v>
      </c>
      <c r="K43" s="584">
        <v>1</v>
      </c>
      <c r="L43" s="2119"/>
      <c r="M43" s="2116"/>
      <c r="N43" s="2116"/>
      <c r="O43" s="2121"/>
      <c r="P43" s="3409"/>
      <c r="Q43" s="1557" t="str">
        <f t="shared" si="14"/>
        <v>宗地开发程度</v>
      </c>
      <c r="R43" s="1553" t="s">
        <v>8</v>
      </c>
      <c r="S43" s="1554">
        <f t="shared" si="10"/>
        <v>100</v>
      </c>
      <c r="T43" s="1553" t="s">
        <v>8</v>
      </c>
      <c r="U43" s="1554">
        <f t="shared" si="11"/>
        <v>100</v>
      </c>
      <c r="V43" s="1553" t="s">
        <v>8</v>
      </c>
      <c r="W43" s="1554">
        <f t="shared" si="12"/>
        <v>100</v>
      </c>
      <c r="X43" s="1555"/>
      <c r="Y43" s="3409"/>
      <c r="Z43" s="1144" t="str">
        <f t="shared" si="13"/>
        <v>宗地开发程度</v>
      </c>
      <c r="AA43" s="1556">
        <f t="shared" si="3"/>
        <v>1</v>
      </c>
      <c r="AB43" s="1556">
        <f t="shared" si="4"/>
        <v>1</v>
      </c>
      <c r="AC43" s="1556">
        <f t="shared" si="5"/>
        <v>1</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c r="L44" s="2126"/>
      <c r="M44" s="2116"/>
      <c r="N44" s="2116"/>
      <c r="O44" s="2125"/>
      <c r="P44" s="3409" t="s">
        <v>550</v>
      </c>
      <c r="Q44" s="1557" t="str">
        <f t="shared" si="14"/>
        <v>工程地质条件</v>
      </c>
      <c r="R44" s="1558" t="s">
        <v>8</v>
      </c>
      <c r="S44" s="1559">
        <f t="shared" si="10"/>
        <v>100</v>
      </c>
      <c r="T44" s="1558" t="s">
        <v>8</v>
      </c>
      <c r="U44" s="1559">
        <f t="shared" si="11"/>
        <v>100</v>
      </c>
      <c r="V44" s="1558" t="s">
        <v>8</v>
      </c>
      <c r="W44" s="1559">
        <f t="shared" si="12"/>
        <v>100</v>
      </c>
      <c r="X44" s="1552"/>
      <c r="Y44" s="3409" t="s">
        <v>550</v>
      </c>
      <c r="Z44" s="1560" t="str">
        <f t="shared" si="13"/>
        <v>工程地质条件</v>
      </c>
      <c r="AA44" s="1561">
        <f t="shared" si="3"/>
        <v>1</v>
      </c>
      <c r="AB44" s="1561">
        <f t="shared" si="4"/>
        <v>1</v>
      </c>
      <c r="AC44" s="1561">
        <f t="shared" si="5"/>
        <v>1</v>
      </c>
    </row>
    <row r="45" spans="1:29" ht="20.25">
      <c r="A45" s="594"/>
      <c r="B45" s="3210" t="s">
        <v>3368</v>
      </c>
      <c r="C45" s="3211" t="s">
        <v>3355</v>
      </c>
      <c r="D45" s="540">
        <v>100</v>
      </c>
      <c r="E45" s="3211" t="s">
        <v>3369</v>
      </c>
      <c r="F45" s="540">
        <f>SUMIF(129:129,E45,130:130)-SUMIF(129:129,C45,130:130)+100</f>
        <v>102</v>
      </c>
      <c r="G45" s="3211" t="s">
        <v>3369</v>
      </c>
      <c r="H45" s="540">
        <f>SUMIF(129:129,G45,130:130)-SUMIF(129:129,C45,130:130)+100</f>
        <v>102</v>
      </c>
      <c r="I45" s="3212" t="s">
        <v>3369</v>
      </c>
      <c r="J45" s="540">
        <f>SUMIF(129:129,I45,130:130)-SUMIF(129:129,C45,130:130)+100</f>
        <v>102</v>
      </c>
      <c r="K45" s="581"/>
      <c r="L45" s="2126"/>
      <c r="M45" s="2116"/>
      <c r="N45" s="2116"/>
      <c r="O45" s="2125"/>
      <c r="P45" s="3409"/>
      <c r="Q45" s="1557" t="str">
        <f t="shared" si="14"/>
        <v>可利用程度</v>
      </c>
      <c r="R45" s="1558" t="s">
        <v>8</v>
      </c>
      <c r="S45" s="1559">
        <f t="shared" si="10"/>
        <v>102</v>
      </c>
      <c r="T45" s="1558" t="s">
        <v>8</v>
      </c>
      <c r="U45" s="1559">
        <f t="shared" si="11"/>
        <v>102</v>
      </c>
      <c r="V45" s="1558" t="s">
        <v>8</v>
      </c>
      <c r="W45" s="1559">
        <f t="shared" si="12"/>
        <v>102</v>
      </c>
      <c r="X45" s="1552"/>
      <c r="Y45" s="3409"/>
      <c r="Z45" s="1560" t="str">
        <f t="shared" si="13"/>
        <v>可利用程度</v>
      </c>
      <c r="AA45" s="1561">
        <f t="shared" si="3"/>
        <v>0.98039215686274506</v>
      </c>
      <c r="AB45" s="1561">
        <f t="shared" si="4"/>
        <v>0.98039215686274506</v>
      </c>
      <c r="AC45" s="1561">
        <f t="shared" si="5"/>
        <v>0.98039215686274506</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9"/>
      <c r="Q46" s="1557">
        <f t="shared" si="14"/>
        <v>111</v>
      </c>
      <c r="R46" s="1558" t="s">
        <v>8</v>
      </c>
      <c r="S46" s="1559">
        <f t="shared" si="10"/>
        <v>100</v>
      </c>
      <c r="T46" s="1558" t="s">
        <v>8</v>
      </c>
      <c r="U46" s="1559">
        <f t="shared" si="11"/>
        <v>100</v>
      </c>
      <c r="V46" s="1558" t="s">
        <v>8</v>
      </c>
      <c r="W46" s="1559">
        <f t="shared" si="12"/>
        <v>100</v>
      </c>
      <c r="X46" s="1552"/>
      <c r="Y46" s="3409"/>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9"/>
      <c r="Q47" s="1557">
        <f t="shared" si="14"/>
        <v>111</v>
      </c>
      <c r="R47" s="1562" t="s">
        <v>8</v>
      </c>
      <c r="S47" s="1563">
        <f t="shared" si="10"/>
        <v>100</v>
      </c>
      <c r="T47" s="1562" t="s">
        <v>8</v>
      </c>
      <c r="U47" s="1563">
        <f t="shared" si="11"/>
        <v>100</v>
      </c>
      <c r="V47" s="1562" t="s">
        <v>8</v>
      </c>
      <c r="W47" s="1563">
        <f t="shared" si="12"/>
        <v>100</v>
      </c>
      <c r="X47" s="1564"/>
      <c r="Y47" s="3409"/>
      <c r="Z47" s="1565">
        <f t="shared" si="13"/>
        <v>111</v>
      </c>
      <c r="AA47" s="1561">
        <f t="shared" si="3"/>
        <v>1</v>
      </c>
      <c r="AB47" s="1561">
        <f t="shared" si="4"/>
        <v>1</v>
      </c>
      <c r="AC47" s="1561">
        <f t="shared" si="5"/>
        <v>1</v>
      </c>
    </row>
    <row r="48" spans="1:29" ht="20.25">
      <c r="A48" s="607" t="s">
        <v>556</v>
      </c>
      <c r="B48" s="608" t="s">
        <v>3327</v>
      </c>
      <c r="C48" s="609" t="s">
        <v>1</v>
      </c>
      <c r="D48" s="610"/>
      <c r="E48" s="611">
        <v>750</v>
      </c>
      <c r="F48" s="612"/>
      <c r="G48" s="613">
        <v>703</v>
      </c>
      <c r="H48" s="614"/>
      <c r="I48" s="611">
        <v>825</v>
      </c>
      <c r="J48" s="614"/>
      <c r="K48" s="1334"/>
      <c r="L48" s="2128"/>
      <c r="M48" s="2116"/>
      <c r="N48" s="2116"/>
      <c r="O48" s="2129"/>
      <c r="P48" s="3404" t="str">
        <f>A48</f>
        <v>成交单价</v>
      </c>
      <c r="Q48" s="3404"/>
      <c r="R48" s="3418">
        <f>E48</f>
        <v>750</v>
      </c>
      <c r="S48" s="3418"/>
      <c r="T48" s="3418">
        <f>G48</f>
        <v>703</v>
      </c>
      <c r="U48" s="3418"/>
      <c r="V48" s="3418">
        <f>I48</f>
        <v>825</v>
      </c>
      <c r="W48" s="3418"/>
      <c r="X48" s="1544"/>
      <c r="Y48" s="1566"/>
      <c r="Z48" s="1544"/>
      <c r="AA48" s="1544"/>
      <c r="AB48" s="1544"/>
      <c r="AC48" s="1544"/>
    </row>
    <row r="49" spans="1:29" ht="21" thickBot="1">
      <c r="A49" s="615" t="s">
        <v>2689</v>
      </c>
      <c r="B49" s="616"/>
      <c r="C49" s="617">
        <f>R50</f>
        <v>789</v>
      </c>
      <c r="D49" s="618"/>
      <c r="E49" s="617">
        <f>R49</f>
        <v>792</v>
      </c>
      <c r="F49" s="619"/>
      <c r="G49" s="620">
        <f>T49</f>
        <v>723</v>
      </c>
      <c r="H49" s="618"/>
      <c r="I49" s="617">
        <f>V49</f>
        <v>853</v>
      </c>
      <c r="J49" s="618"/>
      <c r="K49" s="1335"/>
      <c r="L49" s="2128"/>
      <c r="M49" s="2116"/>
      <c r="N49" s="2116"/>
      <c r="O49" s="2129"/>
      <c r="P49" s="3404" t="str">
        <f>A49</f>
        <v>比较价格（元/平方米）</v>
      </c>
      <c r="Q49" s="3404"/>
      <c r="R49" s="3429">
        <f>ROUND(PRODUCT(R48,AA9:AA47),0)</f>
        <v>792</v>
      </c>
      <c r="S49" s="3429"/>
      <c r="T49" s="3429">
        <f>ROUND(PRODUCT(T48,AB9:AB47),0)</f>
        <v>723</v>
      </c>
      <c r="U49" s="3429"/>
      <c r="V49" s="3429">
        <f>ROUND(PRODUCT(V48,AC9:AC47),0)</f>
        <v>853</v>
      </c>
      <c r="W49" s="3429"/>
      <c r="X49" s="1544"/>
      <c r="Y49" s="1544"/>
      <c r="Z49" s="1544"/>
      <c r="AA49" s="1544"/>
      <c r="AB49" s="1544"/>
      <c r="AC49" s="1544"/>
    </row>
    <row r="50" spans="1:29" ht="21" thickBot="1">
      <c r="A50" s="621" t="s">
        <v>2930</v>
      </c>
      <c r="B50" s="622"/>
      <c r="C50" s="623">
        <f>R50</f>
        <v>789</v>
      </c>
      <c r="D50" s="623"/>
      <c r="E50" s="623"/>
      <c r="F50" s="623"/>
      <c r="G50" s="623"/>
      <c r="H50" s="623"/>
      <c r="I50" s="623"/>
      <c r="J50" s="623"/>
      <c r="K50" s="1336"/>
      <c r="L50" s="2128"/>
      <c r="M50" s="2116"/>
      <c r="N50" s="2116"/>
      <c r="O50" s="2129"/>
      <c r="P50" s="3426" t="str">
        <f>A50</f>
        <v>估价对象XX用房的比较价格（楼面单价，元/平方米）</v>
      </c>
      <c r="Q50" s="3427"/>
      <c r="R50" s="3428">
        <f>ROUND(AVERAGE(R49:V49),0)</f>
        <v>789</v>
      </c>
      <c r="S50" s="3428"/>
      <c r="T50" s="3428"/>
      <c r="U50" s="3428"/>
      <c r="V50" s="3428"/>
      <c r="W50" s="342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5.600000000000005E-2</v>
      </c>
      <c r="F53" s="627" t="str">
        <f>IF(OR(E53&gt;=0.3,E53&lt;=-0.3),"超过30%","")</f>
        <v/>
      </c>
      <c r="G53" s="626">
        <f>IF(G48&lt;G49,G49/G48-1,G48/G49-1)</f>
        <v>2.8449502133712556E-2</v>
      </c>
      <c r="H53" s="627" t="str">
        <f>IF(OR(G53&gt;=0.3,G53&lt;=-0.3),"超过30%","")</f>
        <v/>
      </c>
      <c r="I53" s="626">
        <f>IF(I48&lt;I49,I49/I48-1,I48/I49-1)</f>
        <v>3.3939393939393936E-2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9.543568464730301E-2</v>
      </c>
      <c r="F54" s="627" t="str">
        <f>IF(OR(E54&gt;=0.2,E54&lt;=-0.2),"超过20%","")</f>
        <v/>
      </c>
      <c r="G54" s="626">
        <f>IF(G49&lt;I49,I49/G49-1,G49/I49-1)</f>
        <v>0.17980636237897651</v>
      </c>
      <c r="H54" s="627" t="str">
        <f>IF(OR(G54&gt;=0.2,G54&lt;=-0.2),"超过20%","")</f>
        <v/>
      </c>
      <c r="I54" s="626">
        <f>IF(I49&lt;E49,E49/I49-1,I49/E49-1)</f>
        <v>7.7020202020201989E-2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6.6856330014224641E-2</v>
      </c>
      <c r="F55" s="627" t="str">
        <f>IF(OR(E55&gt;=0.3,E55&lt;=-0.3),"超过30%","")</f>
        <v/>
      </c>
      <c r="G55" s="626">
        <f>IF(G48&lt;I48,I48/G48-1,G48/I48-1)</f>
        <v>0.17354196301564717</v>
      </c>
      <c r="H55" s="627" t="str">
        <f>IF(OR(G55&gt;=0.3,G55&lt;=-0.3),"超过30%","")</f>
        <v/>
      </c>
      <c r="I55" s="626">
        <f>IF(I48&lt;E48,E48/I48-1,I48/E48-1)</f>
        <v>0.10000000000000009</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2291</v>
      </c>
      <c r="E57" s="631" t="s">
        <v>562</v>
      </c>
      <c r="F57" s="632" t="s">
        <v>563</v>
      </c>
      <c r="G57" s="3388" t="s">
        <v>2279</v>
      </c>
      <c r="H57" s="3389"/>
      <c r="I57" s="1540" t="s">
        <v>1720</v>
      </c>
      <c r="J57" s="1540" t="str">
        <f>项目基本情况!F41</f>
        <v>山东诸城</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789</v>
      </c>
      <c r="C58" s="635">
        <v>1</v>
      </c>
      <c r="D58" s="2212">
        <v>1</v>
      </c>
      <c r="E58" s="635">
        <f>'数据-汇总表'!E8+'数据-汇总表'!E9</f>
        <v>56280</v>
      </c>
      <c r="F58" s="636">
        <f t="shared" ref="F58:F67" si="15">ROUND(B58*E58/10000,0)</f>
        <v>4440</v>
      </c>
      <c r="G58" s="3390"/>
      <c r="H58" s="339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392"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39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39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39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2324</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2292</v>
      </c>
      <c r="E68" s="643">
        <f>IF(B48="楼面地价",SUM(E58:E67),'数据-汇总表'!D3)</f>
        <v>56280</v>
      </c>
      <c r="F68" s="644">
        <f>IF(B48="楼面地价",SUM(F58:F67),ROUND(C50*E68/10000,0))</f>
        <v>4440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2019-5-1</v>
      </c>
      <c r="D70" s="2753">
        <f>EDATE(C70,-3)</f>
        <v>43497</v>
      </c>
      <c r="E70" s="2753">
        <f t="shared" ref="E70:N70" si="18">EDATE(D70,-3)</f>
        <v>43405</v>
      </c>
      <c r="F70" s="2753">
        <f t="shared" si="18"/>
        <v>43313</v>
      </c>
      <c r="G70" s="2753">
        <f t="shared" si="18"/>
        <v>43221</v>
      </c>
      <c r="H70" s="2753">
        <f t="shared" si="18"/>
        <v>43132</v>
      </c>
      <c r="I70" s="2753">
        <f t="shared" si="18"/>
        <v>43040</v>
      </c>
      <c r="J70" s="2753">
        <f t="shared" si="18"/>
        <v>42948</v>
      </c>
      <c r="K70" s="2753">
        <f t="shared" si="18"/>
        <v>42856</v>
      </c>
      <c r="L70" s="2753">
        <f t="shared" si="18"/>
        <v>42767</v>
      </c>
      <c r="M70" s="2753">
        <f t="shared" si="18"/>
        <v>42675</v>
      </c>
      <c r="N70" s="2753">
        <f t="shared" si="18"/>
        <v>42583</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2528</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2643</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2747">
        <v>95</v>
      </c>
      <c r="N73" s="2748">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9" t="s">
        <v>3335</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2</v>
      </c>
      <c r="E82" s="541">
        <v>4</v>
      </c>
      <c r="F82" s="541">
        <v>6</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97</v>
      </c>
      <c r="E99" s="679">
        <f>D99-$K25</f>
        <v>94</v>
      </c>
      <c r="F99" s="679">
        <f>E99-$K25</f>
        <v>91</v>
      </c>
      <c r="G99" s="679">
        <f>F99-$K25</f>
        <v>88</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203" t="s">
        <v>3351</v>
      </c>
      <c r="D108" s="3202" t="s">
        <v>3346</v>
      </c>
      <c r="E108" s="3202" t="s">
        <v>3347</v>
      </c>
      <c r="F108" s="3202" t="s">
        <v>3348</v>
      </c>
      <c r="G108" s="3202" t="s">
        <v>3350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60000</v>
      </c>
      <c r="F119" s="730">
        <v>90000</v>
      </c>
      <c r="G119" s="730">
        <v>120000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96</v>
      </c>
      <c r="D120" s="726">
        <v>97</v>
      </c>
      <c r="E120" s="700">
        <v>98</v>
      </c>
      <c r="F120" s="726">
        <v>99</v>
      </c>
      <c r="G120" s="700">
        <v>100</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4" t="s">
        <v>3352</v>
      </c>
      <c r="D121" s="3204" t="s">
        <v>3354</v>
      </c>
      <c r="E121" s="3204" t="s">
        <v>3355</v>
      </c>
      <c r="F121" s="3204" t="s">
        <v>3356</v>
      </c>
      <c r="G121" s="3204" t="s">
        <v>3366</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t="s">
        <v>3359</v>
      </c>
      <c r="D123" s="688" t="s">
        <v>3360</v>
      </c>
      <c r="E123" s="688" t="s">
        <v>3361</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2421</v>
      </c>
      <c r="C125" s="1370" t="s">
        <v>3358</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2" t="s">
        <v>3384</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可利用程度</v>
      </c>
      <c r="C129" s="3202" t="s">
        <v>3370</v>
      </c>
      <c r="D129" s="3202" t="s">
        <v>3369</v>
      </c>
      <c r="E129" s="3202" t="s">
        <v>3355</v>
      </c>
      <c r="F129" s="3202" t="s">
        <v>3371</v>
      </c>
      <c r="G129" s="3202" t="s">
        <v>3372</v>
      </c>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98</v>
      </c>
      <c r="E130" s="692">
        <v>96</v>
      </c>
      <c r="F130" s="692">
        <v>94</v>
      </c>
      <c r="G130" s="671">
        <v>92</v>
      </c>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23" t="str">
        <f>项目基本情况!B1</f>
        <v>山东诸城出让国有建设用地使用权抵押价格预评估</v>
      </c>
      <c r="C37" s="3223"/>
      <c r="D37" s="3223"/>
      <c r="E37" s="3223"/>
      <c r="F37" s="3223"/>
      <c r="G37" s="3223"/>
      <c r="H37" s="3223"/>
      <c r="I37" s="3223"/>
    </row>
    <row r="38" spans="1:9">
      <c r="A38" s="1640"/>
      <c r="B38" s="1640"/>
    </row>
    <row r="39" spans="1:9">
      <c r="A39" s="1638" t="s">
        <v>1899</v>
      </c>
      <c r="B39" s="1638" t="s">
        <v>2044</v>
      </c>
    </row>
    <row r="40" spans="1:9">
      <c r="A40" s="1638"/>
      <c r="B40" s="1638" t="str">
        <f>项目基本情况!B5</f>
        <v>五矿信托</v>
      </c>
    </row>
    <row r="41" spans="1:9">
      <c r="A41" s="1638"/>
      <c r="B41" s="1638"/>
    </row>
    <row r="42" spans="1:9">
      <c r="A42" s="1638" t="s">
        <v>1899</v>
      </c>
      <c r="B42" s="1638" t="s">
        <v>2045</v>
      </c>
    </row>
    <row r="43" spans="1:9">
      <c r="A43" s="1638"/>
      <c r="B43" s="1638" t="s">
        <v>1901</v>
      </c>
    </row>
    <row r="44" spans="1:9">
      <c r="A44" s="1638"/>
      <c r="B44" s="1638"/>
    </row>
    <row r="45" spans="1:9">
      <c r="A45" s="1638" t="s">
        <v>1899</v>
      </c>
      <c r="B45" s="1638" t="s">
        <v>2043</v>
      </c>
    </row>
    <row r="46" spans="1:9" s="1638" customFormat="1" ht="12.75">
      <c r="B46" s="1638" t="str">
        <f>项目基本情况!K4</f>
        <v>土地估价师、土地估价师</v>
      </c>
    </row>
    <row r="47" spans="1:9">
      <c r="A47" s="1638"/>
      <c r="B47" s="1638"/>
    </row>
    <row r="48" spans="1:9">
      <c r="A48" s="1638" t="s">
        <v>1899</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80"/>
  <sheetViews>
    <sheetView topLeftCell="A204" workbookViewId="0">
      <selection activeCell="M222" sqref="M222"/>
    </sheetView>
  </sheetViews>
  <sheetFormatPr defaultRowHeight="13.5"/>
  <cols>
    <col min="1" max="1" width="38.875" style="2893" customWidth="1"/>
    <col min="2" max="2" width="6.25" style="2893" hidden="1" customWidth="1"/>
    <col min="3" max="3" width="14.375" style="2893" customWidth="1"/>
    <col min="4" max="4" width="10" style="2893" customWidth="1"/>
    <col min="5" max="5" width="11.125" style="2893" customWidth="1"/>
    <col min="6" max="6" width="4.75" style="2893" customWidth="1"/>
    <col min="7" max="7" width="5.25" style="2893" customWidth="1"/>
    <col min="8" max="8" width="7.875" style="2893" hidden="1" customWidth="1"/>
    <col min="9" max="9" width="12.375" style="2893" customWidth="1"/>
    <col min="10" max="10" width="10.625" style="2893" hidden="1" customWidth="1"/>
    <col min="11" max="11" width="10.625" style="2893" customWidth="1"/>
    <col min="12" max="12" width="14.375" style="2893" customWidth="1"/>
    <col min="13" max="13" width="6.25" style="2893" customWidth="1"/>
    <col min="14" max="14" width="35.75" style="2893" customWidth="1"/>
    <col min="15" max="15" width="7.875" style="2893" customWidth="1"/>
    <col min="16" max="257" width="9" style="2893"/>
    <col min="258" max="258" width="26.125" style="2893" customWidth="1"/>
    <col min="259" max="259" width="6.25" style="2893" customWidth="1"/>
    <col min="260" max="260" width="11.75" style="2893" customWidth="1"/>
    <col min="261" max="262" width="13.875" style="2893" customWidth="1"/>
    <col min="263" max="263" width="27" style="2893" customWidth="1"/>
    <col min="264" max="264" width="7.875" style="2893" customWidth="1"/>
    <col min="265" max="265" width="9" style="2893" customWidth="1"/>
    <col min="266" max="267" width="10.625" style="2893" customWidth="1"/>
    <col min="268" max="268" width="14.375" style="2893" customWidth="1"/>
    <col min="269" max="269" width="6.25" style="2893" customWidth="1"/>
    <col min="270" max="270" width="29.375" style="2893" customWidth="1"/>
    <col min="271" max="271" width="7.875" style="2893" customWidth="1"/>
    <col min="272" max="513" width="9" style="2893"/>
    <col min="514" max="514" width="26.125" style="2893" customWidth="1"/>
    <col min="515" max="515" width="6.25" style="2893" customWidth="1"/>
    <col min="516" max="516" width="11.75" style="2893" customWidth="1"/>
    <col min="517" max="518" width="13.875" style="2893" customWidth="1"/>
    <col min="519" max="519" width="27" style="2893" customWidth="1"/>
    <col min="520" max="520" width="7.875" style="2893" customWidth="1"/>
    <col min="521" max="521" width="9" style="2893" customWidth="1"/>
    <col min="522" max="523" width="10.625" style="2893" customWidth="1"/>
    <col min="524" max="524" width="14.375" style="2893" customWidth="1"/>
    <col min="525" max="525" width="6.25" style="2893" customWidth="1"/>
    <col min="526" max="526" width="29.375" style="2893" customWidth="1"/>
    <col min="527" max="527" width="7.875" style="2893" customWidth="1"/>
    <col min="528" max="769" width="9" style="2893"/>
    <col min="770" max="770" width="26.125" style="2893" customWidth="1"/>
    <col min="771" max="771" width="6.25" style="2893" customWidth="1"/>
    <col min="772" max="772" width="11.75" style="2893" customWidth="1"/>
    <col min="773" max="774" width="13.875" style="2893" customWidth="1"/>
    <col min="775" max="775" width="27" style="2893" customWidth="1"/>
    <col min="776" max="776" width="7.875" style="2893" customWidth="1"/>
    <col min="777" max="777" width="9" style="2893" customWidth="1"/>
    <col min="778" max="779" width="10.625" style="2893" customWidth="1"/>
    <col min="780" max="780" width="14.375" style="2893" customWidth="1"/>
    <col min="781" max="781" width="6.25" style="2893" customWidth="1"/>
    <col min="782" max="782" width="29.375" style="2893" customWidth="1"/>
    <col min="783" max="783" width="7.875" style="2893" customWidth="1"/>
    <col min="784" max="1025" width="9" style="2893"/>
    <col min="1026" max="1026" width="26.125" style="2893" customWidth="1"/>
    <col min="1027" max="1027" width="6.25" style="2893" customWidth="1"/>
    <col min="1028" max="1028" width="11.75" style="2893" customWidth="1"/>
    <col min="1029" max="1030" width="13.875" style="2893" customWidth="1"/>
    <col min="1031" max="1031" width="27" style="2893" customWidth="1"/>
    <col min="1032" max="1032" width="7.875" style="2893" customWidth="1"/>
    <col min="1033" max="1033" width="9" style="2893" customWidth="1"/>
    <col min="1034" max="1035" width="10.625" style="2893" customWidth="1"/>
    <col min="1036" max="1036" width="14.375" style="2893" customWidth="1"/>
    <col min="1037" max="1037" width="6.25" style="2893" customWidth="1"/>
    <col min="1038" max="1038" width="29.375" style="2893" customWidth="1"/>
    <col min="1039" max="1039" width="7.875" style="2893" customWidth="1"/>
    <col min="1040" max="1281" width="9" style="2893"/>
    <col min="1282" max="1282" width="26.125" style="2893" customWidth="1"/>
    <col min="1283" max="1283" width="6.25" style="2893" customWidth="1"/>
    <col min="1284" max="1284" width="11.75" style="2893" customWidth="1"/>
    <col min="1285" max="1286" width="13.875" style="2893" customWidth="1"/>
    <col min="1287" max="1287" width="27" style="2893" customWidth="1"/>
    <col min="1288" max="1288" width="7.875" style="2893" customWidth="1"/>
    <col min="1289" max="1289" width="9" style="2893" customWidth="1"/>
    <col min="1290" max="1291" width="10.625" style="2893" customWidth="1"/>
    <col min="1292" max="1292" width="14.375" style="2893" customWidth="1"/>
    <col min="1293" max="1293" width="6.25" style="2893" customWidth="1"/>
    <col min="1294" max="1294" width="29.375" style="2893" customWidth="1"/>
    <col min="1295" max="1295" width="7.875" style="2893" customWidth="1"/>
    <col min="1296" max="1537" width="9" style="2893"/>
    <col min="1538" max="1538" width="26.125" style="2893" customWidth="1"/>
    <col min="1539" max="1539" width="6.25" style="2893" customWidth="1"/>
    <col min="1540" max="1540" width="11.75" style="2893" customWidth="1"/>
    <col min="1541" max="1542" width="13.875" style="2893" customWidth="1"/>
    <col min="1543" max="1543" width="27" style="2893" customWidth="1"/>
    <col min="1544" max="1544" width="7.875" style="2893" customWidth="1"/>
    <col min="1545" max="1545" width="9" style="2893" customWidth="1"/>
    <col min="1546" max="1547" width="10.625" style="2893" customWidth="1"/>
    <col min="1548" max="1548" width="14.375" style="2893" customWidth="1"/>
    <col min="1549" max="1549" width="6.25" style="2893" customWidth="1"/>
    <col min="1550" max="1550" width="29.375" style="2893" customWidth="1"/>
    <col min="1551" max="1551" width="7.875" style="2893" customWidth="1"/>
    <col min="1552" max="1793" width="9" style="2893"/>
    <col min="1794" max="1794" width="26.125" style="2893" customWidth="1"/>
    <col min="1795" max="1795" width="6.25" style="2893" customWidth="1"/>
    <col min="1796" max="1796" width="11.75" style="2893" customWidth="1"/>
    <col min="1797" max="1798" width="13.875" style="2893" customWidth="1"/>
    <col min="1799" max="1799" width="27" style="2893" customWidth="1"/>
    <col min="1800" max="1800" width="7.875" style="2893" customWidth="1"/>
    <col min="1801" max="1801" width="9" style="2893" customWidth="1"/>
    <col min="1802" max="1803" width="10.625" style="2893" customWidth="1"/>
    <col min="1804" max="1804" width="14.375" style="2893" customWidth="1"/>
    <col min="1805" max="1805" width="6.25" style="2893" customWidth="1"/>
    <col min="1806" max="1806" width="29.375" style="2893" customWidth="1"/>
    <col min="1807" max="1807" width="7.875" style="2893" customWidth="1"/>
    <col min="1808" max="2049" width="9" style="2893"/>
    <col min="2050" max="2050" width="26.125" style="2893" customWidth="1"/>
    <col min="2051" max="2051" width="6.25" style="2893" customWidth="1"/>
    <col min="2052" max="2052" width="11.75" style="2893" customWidth="1"/>
    <col min="2053" max="2054" width="13.875" style="2893" customWidth="1"/>
    <col min="2055" max="2055" width="27" style="2893" customWidth="1"/>
    <col min="2056" max="2056" width="7.875" style="2893" customWidth="1"/>
    <col min="2057" max="2057" width="9" style="2893" customWidth="1"/>
    <col min="2058" max="2059" width="10.625" style="2893" customWidth="1"/>
    <col min="2060" max="2060" width="14.375" style="2893" customWidth="1"/>
    <col min="2061" max="2061" width="6.25" style="2893" customWidth="1"/>
    <col min="2062" max="2062" width="29.375" style="2893" customWidth="1"/>
    <col min="2063" max="2063" width="7.875" style="2893" customWidth="1"/>
    <col min="2064" max="2305" width="9" style="2893"/>
    <col min="2306" max="2306" width="26.125" style="2893" customWidth="1"/>
    <col min="2307" max="2307" width="6.25" style="2893" customWidth="1"/>
    <col min="2308" max="2308" width="11.75" style="2893" customWidth="1"/>
    <col min="2309" max="2310" width="13.875" style="2893" customWidth="1"/>
    <col min="2311" max="2311" width="27" style="2893" customWidth="1"/>
    <col min="2312" max="2312" width="7.875" style="2893" customWidth="1"/>
    <col min="2313" max="2313" width="9" style="2893" customWidth="1"/>
    <col min="2314" max="2315" width="10.625" style="2893" customWidth="1"/>
    <col min="2316" max="2316" width="14.375" style="2893" customWidth="1"/>
    <col min="2317" max="2317" width="6.25" style="2893" customWidth="1"/>
    <col min="2318" max="2318" width="29.375" style="2893" customWidth="1"/>
    <col min="2319" max="2319" width="7.875" style="2893" customWidth="1"/>
    <col min="2320" max="2561" width="9" style="2893"/>
    <col min="2562" max="2562" width="26.125" style="2893" customWidth="1"/>
    <col min="2563" max="2563" width="6.25" style="2893" customWidth="1"/>
    <col min="2564" max="2564" width="11.75" style="2893" customWidth="1"/>
    <col min="2565" max="2566" width="13.875" style="2893" customWidth="1"/>
    <col min="2567" max="2567" width="27" style="2893" customWidth="1"/>
    <col min="2568" max="2568" width="7.875" style="2893" customWidth="1"/>
    <col min="2569" max="2569" width="9" style="2893" customWidth="1"/>
    <col min="2570" max="2571" width="10.625" style="2893" customWidth="1"/>
    <col min="2572" max="2572" width="14.375" style="2893" customWidth="1"/>
    <col min="2573" max="2573" width="6.25" style="2893" customWidth="1"/>
    <col min="2574" max="2574" width="29.375" style="2893" customWidth="1"/>
    <col min="2575" max="2575" width="7.875" style="2893" customWidth="1"/>
    <col min="2576" max="2817" width="9" style="2893"/>
    <col min="2818" max="2818" width="26.125" style="2893" customWidth="1"/>
    <col min="2819" max="2819" width="6.25" style="2893" customWidth="1"/>
    <col min="2820" max="2820" width="11.75" style="2893" customWidth="1"/>
    <col min="2821" max="2822" width="13.875" style="2893" customWidth="1"/>
    <col min="2823" max="2823" width="27" style="2893" customWidth="1"/>
    <col min="2824" max="2824" width="7.875" style="2893" customWidth="1"/>
    <col min="2825" max="2825" width="9" style="2893" customWidth="1"/>
    <col min="2826" max="2827" width="10.625" style="2893" customWidth="1"/>
    <col min="2828" max="2828" width="14.375" style="2893" customWidth="1"/>
    <col min="2829" max="2829" width="6.25" style="2893" customWidth="1"/>
    <col min="2830" max="2830" width="29.375" style="2893" customWidth="1"/>
    <col min="2831" max="2831" width="7.875" style="2893" customWidth="1"/>
    <col min="2832" max="3073" width="9" style="2893"/>
    <col min="3074" max="3074" width="26.125" style="2893" customWidth="1"/>
    <col min="3075" max="3075" width="6.25" style="2893" customWidth="1"/>
    <col min="3076" max="3076" width="11.75" style="2893" customWidth="1"/>
    <col min="3077" max="3078" width="13.875" style="2893" customWidth="1"/>
    <col min="3079" max="3079" width="27" style="2893" customWidth="1"/>
    <col min="3080" max="3080" width="7.875" style="2893" customWidth="1"/>
    <col min="3081" max="3081" width="9" style="2893" customWidth="1"/>
    <col min="3082" max="3083" width="10.625" style="2893" customWidth="1"/>
    <col min="3084" max="3084" width="14.375" style="2893" customWidth="1"/>
    <col min="3085" max="3085" width="6.25" style="2893" customWidth="1"/>
    <col min="3086" max="3086" width="29.375" style="2893" customWidth="1"/>
    <col min="3087" max="3087" width="7.875" style="2893" customWidth="1"/>
    <col min="3088" max="3329" width="9" style="2893"/>
    <col min="3330" max="3330" width="26.125" style="2893" customWidth="1"/>
    <col min="3331" max="3331" width="6.25" style="2893" customWidth="1"/>
    <col min="3332" max="3332" width="11.75" style="2893" customWidth="1"/>
    <col min="3333" max="3334" width="13.875" style="2893" customWidth="1"/>
    <col min="3335" max="3335" width="27" style="2893" customWidth="1"/>
    <col min="3336" max="3336" width="7.875" style="2893" customWidth="1"/>
    <col min="3337" max="3337" width="9" style="2893" customWidth="1"/>
    <col min="3338" max="3339" width="10.625" style="2893" customWidth="1"/>
    <col min="3340" max="3340" width="14.375" style="2893" customWidth="1"/>
    <col min="3341" max="3341" width="6.25" style="2893" customWidth="1"/>
    <col min="3342" max="3342" width="29.375" style="2893" customWidth="1"/>
    <col min="3343" max="3343" width="7.875" style="2893" customWidth="1"/>
    <col min="3344" max="3585" width="9" style="2893"/>
    <col min="3586" max="3586" width="26.125" style="2893" customWidth="1"/>
    <col min="3587" max="3587" width="6.25" style="2893" customWidth="1"/>
    <col min="3588" max="3588" width="11.75" style="2893" customWidth="1"/>
    <col min="3589" max="3590" width="13.875" style="2893" customWidth="1"/>
    <col min="3591" max="3591" width="27" style="2893" customWidth="1"/>
    <col min="3592" max="3592" width="7.875" style="2893" customWidth="1"/>
    <col min="3593" max="3593" width="9" style="2893" customWidth="1"/>
    <col min="3594" max="3595" width="10.625" style="2893" customWidth="1"/>
    <col min="3596" max="3596" width="14.375" style="2893" customWidth="1"/>
    <col min="3597" max="3597" width="6.25" style="2893" customWidth="1"/>
    <col min="3598" max="3598" width="29.375" style="2893" customWidth="1"/>
    <col min="3599" max="3599" width="7.875" style="2893" customWidth="1"/>
    <col min="3600" max="3841" width="9" style="2893"/>
    <col min="3842" max="3842" width="26.125" style="2893" customWidth="1"/>
    <col min="3843" max="3843" width="6.25" style="2893" customWidth="1"/>
    <col min="3844" max="3844" width="11.75" style="2893" customWidth="1"/>
    <col min="3845" max="3846" width="13.875" style="2893" customWidth="1"/>
    <col min="3847" max="3847" width="27" style="2893" customWidth="1"/>
    <col min="3848" max="3848" width="7.875" style="2893" customWidth="1"/>
    <col min="3849" max="3849" width="9" style="2893" customWidth="1"/>
    <col min="3850" max="3851" width="10.625" style="2893" customWidth="1"/>
    <col min="3852" max="3852" width="14.375" style="2893" customWidth="1"/>
    <col min="3853" max="3853" width="6.25" style="2893" customWidth="1"/>
    <col min="3854" max="3854" width="29.375" style="2893" customWidth="1"/>
    <col min="3855" max="3855" width="7.875" style="2893" customWidth="1"/>
    <col min="3856" max="4097" width="9" style="2893"/>
    <col min="4098" max="4098" width="26.125" style="2893" customWidth="1"/>
    <col min="4099" max="4099" width="6.25" style="2893" customWidth="1"/>
    <col min="4100" max="4100" width="11.75" style="2893" customWidth="1"/>
    <col min="4101" max="4102" width="13.875" style="2893" customWidth="1"/>
    <col min="4103" max="4103" width="27" style="2893" customWidth="1"/>
    <col min="4104" max="4104" width="7.875" style="2893" customWidth="1"/>
    <col min="4105" max="4105" width="9" style="2893" customWidth="1"/>
    <col min="4106" max="4107" width="10.625" style="2893" customWidth="1"/>
    <col min="4108" max="4108" width="14.375" style="2893" customWidth="1"/>
    <col min="4109" max="4109" width="6.25" style="2893" customWidth="1"/>
    <col min="4110" max="4110" width="29.375" style="2893" customWidth="1"/>
    <col min="4111" max="4111" width="7.875" style="2893" customWidth="1"/>
    <col min="4112" max="4353" width="9" style="2893"/>
    <col min="4354" max="4354" width="26.125" style="2893" customWidth="1"/>
    <col min="4355" max="4355" width="6.25" style="2893" customWidth="1"/>
    <col min="4356" max="4356" width="11.75" style="2893" customWidth="1"/>
    <col min="4357" max="4358" width="13.875" style="2893" customWidth="1"/>
    <col min="4359" max="4359" width="27" style="2893" customWidth="1"/>
    <col min="4360" max="4360" width="7.875" style="2893" customWidth="1"/>
    <col min="4361" max="4361" width="9" style="2893" customWidth="1"/>
    <col min="4362" max="4363" width="10.625" style="2893" customWidth="1"/>
    <col min="4364" max="4364" width="14.375" style="2893" customWidth="1"/>
    <col min="4365" max="4365" width="6.25" style="2893" customWidth="1"/>
    <col min="4366" max="4366" width="29.375" style="2893" customWidth="1"/>
    <col min="4367" max="4367" width="7.875" style="2893" customWidth="1"/>
    <col min="4368" max="4609" width="9" style="2893"/>
    <col min="4610" max="4610" width="26.125" style="2893" customWidth="1"/>
    <col min="4611" max="4611" width="6.25" style="2893" customWidth="1"/>
    <col min="4612" max="4612" width="11.75" style="2893" customWidth="1"/>
    <col min="4613" max="4614" width="13.875" style="2893" customWidth="1"/>
    <col min="4615" max="4615" width="27" style="2893" customWidth="1"/>
    <col min="4616" max="4616" width="7.875" style="2893" customWidth="1"/>
    <col min="4617" max="4617" width="9" style="2893" customWidth="1"/>
    <col min="4618" max="4619" width="10.625" style="2893" customWidth="1"/>
    <col min="4620" max="4620" width="14.375" style="2893" customWidth="1"/>
    <col min="4621" max="4621" width="6.25" style="2893" customWidth="1"/>
    <col min="4622" max="4622" width="29.375" style="2893" customWidth="1"/>
    <col min="4623" max="4623" width="7.875" style="2893" customWidth="1"/>
    <col min="4624" max="4865" width="9" style="2893"/>
    <col min="4866" max="4866" width="26.125" style="2893" customWidth="1"/>
    <col min="4867" max="4867" width="6.25" style="2893" customWidth="1"/>
    <col min="4868" max="4868" width="11.75" style="2893" customWidth="1"/>
    <col min="4869" max="4870" width="13.875" style="2893" customWidth="1"/>
    <col min="4871" max="4871" width="27" style="2893" customWidth="1"/>
    <col min="4872" max="4872" width="7.875" style="2893" customWidth="1"/>
    <col min="4873" max="4873" width="9" style="2893" customWidth="1"/>
    <col min="4874" max="4875" width="10.625" style="2893" customWidth="1"/>
    <col min="4876" max="4876" width="14.375" style="2893" customWidth="1"/>
    <col min="4877" max="4877" width="6.25" style="2893" customWidth="1"/>
    <col min="4878" max="4878" width="29.375" style="2893" customWidth="1"/>
    <col min="4879" max="4879" width="7.875" style="2893" customWidth="1"/>
    <col min="4880" max="5121" width="9" style="2893"/>
    <col min="5122" max="5122" width="26.125" style="2893" customWidth="1"/>
    <col min="5123" max="5123" width="6.25" style="2893" customWidth="1"/>
    <col min="5124" max="5124" width="11.75" style="2893" customWidth="1"/>
    <col min="5125" max="5126" width="13.875" style="2893" customWidth="1"/>
    <col min="5127" max="5127" width="27" style="2893" customWidth="1"/>
    <col min="5128" max="5128" width="7.875" style="2893" customWidth="1"/>
    <col min="5129" max="5129" width="9" style="2893" customWidth="1"/>
    <col min="5130" max="5131" width="10.625" style="2893" customWidth="1"/>
    <col min="5132" max="5132" width="14.375" style="2893" customWidth="1"/>
    <col min="5133" max="5133" width="6.25" style="2893" customWidth="1"/>
    <col min="5134" max="5134" width="29.375" style="2893" customWidth="1"/>
    <col min="5135" max="5135" width="7.875" style="2893" customWidth="1"/>
    <col min="5136" max="5377" width="9" style="2893"/>
    <col min="5378" max="5378" width="26.125" style="2893" customWidth="1"/>
    <col min="5379" max="5379" width="6.25" style="2893" customWidth="1"/>
    <col min="5380" max="5380" width="11.75" style="2893" customWidth="1"/>
    <col min="5381" max="5382" width="13.875" style="2893" customWidth="1"/>
    <col min="5383" max="5383" width="27" style="2893" customWidth="1"/>
    <col min="5384" max="5384" width="7.875" style="2893" customWidth="1"/>
    <col min="5385" max="5385" width="9" style="2893" customWidth="1"/>
    <col min="5386" max="5387" width="10.625" style="2893" customWidth="1"/>
    <col min="5388" max="5388" width="14.375" style="2893" customWidth="1"/>
    <col min="5389" max="5389" width="6.25" style="2893" customWidth="1"/>
    <col min="5390" max="5390" width="29.375" style="2893" customWidth="1"/>
    <col min="5391" max="5391" width="7.875" style="2893" customWidth="1"/>
    <col min="5392" max="5633" width="9" style="2893"/>
    <col min="5634" max="5634" width="26.125" style="2893" customWidth="1"/>
    <col min="5635" max="5635" width="6.25" style="2893" customWidth="1"/>
    <col min="5636" max="5636" width="11.75" style="2893" customWidth="1"/>
    <col min="5637" max="5638" width="13.875" style="2893" customWidth="1"/>
    <col min="5639" max="5639" width="27" style="2893" customWidth="1"/>
    <col min="5640" max="5640" width="7.875" style="2893" customWidth="1"/>
    <col min="5641" max="5641" width="9" style="2893" customWidth="1"/>
    <col min="5642" max="5643" width="10.625" style="2893" customWidth="1"/>
    <col min="5644" max="5644" width="14.375" style="2893" customWidth="1"/>
    <col min="5645" max="5645" width="6.25" style="2893" customWidth="1"/>
    <col min="5646" max="5646" width="29.375" style="2893" customWidth="1"/>
    <col min="5647" max="5647" width="7.875" style="2893" customWidth="1"/>
    <col min="5648" max="5889" width="9" style="2893"/>
    <col min="5890" max="5890" width="26.125" style="2893" customWidth="1"/>
    <col min="5891" max="5891" width="6.25" style="2893" customWidth="1"/>
    <col min="5892" max="5892" width="11.75" style="2893" customWidth="1"/>
    <col min="5893" max="5894" width="13.875" style="2893" customWidth="1"/>
    <col min="5895" max="5895" width="27" style="2893" customWidth="1"/>
    <col min="5896" max="5896" width="7.875" style="2893" customWidth="1"/>
    <col min="5897" max="5897" width="9" style="2893" customWidth="1"/>
    <col min="5898" max="5899" width="10.625" style="2893" customWidth="1"/>
    <col min="5900" max="5900" width="14.375" style="2893" customWidth="1"/>
    <col min="5901" max="5901" width="6.25" style="2893" customWidth="1"/>
    <col min="5902" max="5902" width="29.375" style="2893" customWidth="1"/>
    <col min="5903" max="5903" width="7.875" style="2893" customWidth="1"/>
    <col min="5904" max="6145" width="9" style="2893"/>
    <col min="6146" max="6146" width="26.125" style="2893" customWidth="1"/>
    <col min="6147" max="6147" width="6.25" style="2893" customWidth="1"/>
    <col min="6148" max="6148" width="11.75" style="2893" customWidth="1"/>
    <col min="6149" max="6150" width="13.875" style="2893" customWidth="1"/>
    <col min="6151" max="6151" width="27" style="2893" customWidth="1"/>
    <col min="6152" max="6152" width="7.875" style="2893" customWidth="1"/>
    <col min="6153" max="6153" width="9" style="2893" customWidth="1"/>
    <col min="6154" max="6155" width="10.625" style="2893" customWidth="1"/>
    <col min="6156" max="6156" width="14.375" style="2893" customWidth="1"/>
    <col min="6157" max="6157" width="6.25" style="2893" customWidth="1"/>
    <col min="6158" max="6158" width="29.375" style="2893" customWidth="1"/>
    <col min="6159" max="6159" width="7.875" style="2893" customWidth="1"/>
    <col min="6160" max="6401" width="9" style="2893"/>
    <col min="6402" max="6402" width="26.125" style="2893" customWidth="1"/>
    <col min="6403" max="6403" width="6.25" style="2893" customWidth="1"/>
    <col min="6404" max="6404" width="11.75" style="2893" customWidth="1"/>
    <col min="6405" max="6406" width="13.875" style="2893" customWidth="1"/>
    <col min="6407" max="6407" width="27" style="2893" customWidth="1"/>
    <col min="6408" max="6408" width="7.875" style="2893" customWidth="1"/>
    <col min="6409" max="6409" width="9" style="2893" customWidth="1"/>
    <col min="6410" max="6411" width="10.625" style="2893" customWidth="1"/>
    <col min="6412" max="6412" width="14.375" style="2893" customWidth="1"/>
    <col min="6413" max="6413" width="6.25" style="2893" customWidth="1"/>
    <col min="6414" max="6414" width="29.375" style="2893" customWidth="1"/>
    <col min="6415" max="6415" width="7.875" style="2893" customWidth="1"/>
    <col min="6416" max="6657" width="9" style="2893"/>
    <col min="6658" max="6658" width="26.125" style="2893" customWidth="1"/>
    <col min="6659" max="6659" width="6.25" style="2893" customWidth="1"/>
    <col min="6660" max="6660" width="11.75" style="2893" customWidth="1"/>
    <col min="6661" max="6662" width="13.875" style="2893" customWidth="1"/>
    <col min="6663" max="6663" width="27" style="2893" customWidth="1"/>
    <col min="6664" max="6664" width="7.875" style="2893" customWidth="1"/>
    <col min="6665" max="6665" width="9" style="2893" customWidth="1"/>
    <col min="6666" max="6667" width="10.625" style="2893" customWidth="1"/>
    <col min="6668" max="6668" width="14.375" style="2893" customWidth="1"/>
    <col min="6669" max="6669" width="6.25" style="2893" customWidth="1"/>
    <col min="6670" max="6670" width="29.375" style="2893" customWidth="1"/>
    <col min="6671" max="6671" width="7.875" style="2893" customWidth="1"/>
    <col min="6672" max="6913" width="9" style="2893"/>
    <col min="6914" max="6914" width="26.125" style="2893" customWidth="1"/>
    <col min="6915" max="6915" width="6.25" style="2893" customWidth="1"/>
    <col min="6916" max="6916" width="11.75" style="2893" customWidth="1"/>
    <col min="6917" max="6918" width="13.875" style="2893" customWidth="1"/>
    <col min="6919" max="6919" width="27" style="2893" customWidth="1"/>
    <col min="6920" max="6920" width="7.875" style="2893" customWidth="1"/>
    <col min="6921" max="6921" width="9" style="2893" customWidth="1"/>
    <col min="6922" max="6923" width="10.625" style="2893" customWidth="1"/>
    <col min="6924" max="6924" width="14.375" style="2893" customWidth="1"/>
    <col min="6925" max="6925" width="6.25" style="2893" customWidth="1"/>
    <col min="6926" max="6926" width="29.375" style="2893" customWidth="1"/>
    <col min="6927" max="6927" width="7.875" style="2893" customWidth="1"/>
    <col min="6928" max="7169" width="9" style="2893"/>
    <col min="7170" max="7170" width="26.125" style="2893" customWidth="1"/>
    <col min="7171" max="7171" width="6.25" style="2893" customWidth="1"/>
    <col min="7172" max="7172" width="11.75" style="2893" customWidth="1"/>
    <col min="7173" max="7174" width="13.875" style="2893" customWidth="1"/>
    <col min="7175" max="7175" width="27" style="2893" customWidth="1"/>
    <col min="7176" max="7176" width="7.875" style="2893" customWidth="1"/>
    <col min="7177" max="7177" width="9" style="2893" customWidth="1"/>
    <col min="7178" max="7179" width="10.625" style="2893" customWidth="1"/>
    <col min="7180" max="7180" width="14.375" style="2893" customWidth="1"/>
    <col min="7181" max="7181" width="6.25" style="2893" customWidth="1"/>
    <col min="7182" max="7182" width="29.375" style="2893" customWidth="1"/>
    <col min="7183" max="7183" width="7.875" style="2893" customWidth="1"/>
    <col min="7184" max="7425" width="9" style="2893"/>
    <col min="7426" max="7426" width="26.125" style="2893" customWidth="1"/>
    <col min="7427" max="7427" width="6.25" style="2893" customWidth="1"/>
    <col min="7428" max="7428" width="11.75" style="2893" customWidth="1"/>
    <col min="7429" max="7430" width="13.875" style="2893" customWidth="1"/>
    <col min="7431" max="7431" width="27" style="2893" customWidth="1"/>
    <col min="7432" max="7432" width="7.875" style="2893" customWidth="1"/>
    <col min="7433" max="7433" width="9" style="2893" customWidth="1"/>
    <col min="7434" max="7435" width="10.625" style="2893" customWidth="1"/>
    <col min="7436" max="7436" width="14.375" style="2893" customWidth="1"/>
    <col min="7437" max="7437" width="6.25" style="2893" customWidth="1"/>
    <col min="7438" max="7438" width="29.375" style="2893" customWidth="1"/>
    <col min="7439" max="7439" width="7.875" style="2893" customWidth="1"/>
    <col min="7440" max="7681" width="9" style="2893"/>
    <col min="7682" max="7682" width="26.125" style="2893" customWidth="1"/>
    <col min="7683" max="7683" width="6.25" style="2893" customWidth="1"/>
    <col min="7684" max="7684" width="11.75" style="2893" customWidth="1"/>
    <col min="7685" max="7686" width="13.875" style="2893" customWidth="1"/>
    <col min="7687" max="7687" width="27" style="2893" customWidth="1"/>
    <col min="7688" max="7688" width="7.875" style="2893" customWidth="1"/>
    <col min="7689" max="7689" width="9" style="2893" customWidth="1"/>
    <col min="7690" max="7691" width="10.625" style="2893" customWidth="1"/>
    <col min="7692" max="7692" width="14.375" style="2893" customWidth="1"/>
    <col min="7693" max="7693" width="6.25" style="2893" customWidth="1"/>
    <col min="7694" max="7694" width="29.375" style="2893" customWidth="1"/>
    <col min="7695" max="7695" width="7.875" style="2893" customWidth="1"/>
    <col min="7696" max="7937" width="9" style="2893"/>
    <col min="7938" max="7938" width="26.125" style="2893" customWidth="1"/>
    <col min="7939" max="7939" width="6.25" style="2893" customWidth="1"/>
    <col min="7940" max="7940" width="11.75" style="2893" customWidth="1"/>
    <col min="7941" max="7942" width="13.875" style="2893" customWidth="1"/>
    <col min="7943" max="7943" width="27" style="2893" customWidth="1"/>
    <col min="7944" max="7944" width="7.875" style="2893" customWidth="1"/>
    <col min="7945" max="7945" width="9" style="2893" customWidth="1"/>
    <col min="7946" max="7947" width="10.625" style="2893" customWidth="1"/>
    <col min="7948" max="7948" width="14.375" style="2893" customWidth="1"/>
    <col min="7949" max="7949" width="6.25" style="2893" customWidth="1"/>
    <col min="7950" max="7950" width="29.375" style="2893" customWidth="1"/>
    <col min="7951" max="7951" width="7.875" style="2893" customWidth="1"/>
    <col min="7952" max="8193" width="9" style="2893"/>
    <col min="8194" max="8194" width="26.125" style="2893" customWidth="1"/>
    <col min="8195" max="8195" width="6.25" style="2893" customWidth="1"/>
    <col min="8196" max="8196" width="11.75" style="2893" customWidth="1"/>
    <col min="8197" max="8198" width="13.875" style="2893" customWidth="1"/>
    <col min="8199" max="8199" width="27" style="2893" customWidth="1"/>
    <col min="8200" max="8200" width="7.875" style="2893" customWidth="1"/>
    <col min="8201" max="8201" width="9" style="2893" customWidth="1"/>
    <col min="8202" max="8203" width="10.625" style="2893" customWidth="1"/>
    <col min="8204" max="8204" width="14.375" style="2893" customWidth="1"/>
    <col min="8205" max="8205" width="6.25" style="2893" customWidth="1"/>
    <col min="8206" max="8206" width="29.375" style="2893" customWidth="1"/>
    <col min="8207" max="8207" width="7.875" style="2893" customWidth="1"/>
    <col min="8208" max="8449" width="9" style="2893"/>
    <col min="8450" max="8450" width="26.125" style="2893" customWidth="1"/>
    <col min="8451" max="8451" width="6.25" style="2893" customWidth="1"/>
    <col min="8452" max="8452" width="11.75" style="2893" customWidth="1"/>
    <col min="8453" max="8454" width="13.875" style="2893" customWidth="1"/>
    <col min="8455" max="8455" width="27" style="2893" customWidth="1"/>
    <col min="8456" max="8456" width="7.875" style="2893" customWidth="1"/>
    <col min="8457" max="8457" width="9" style="2893" customWidth="1"/>
    <col min="8458" max="8459" width="10.625" style="2893" customWidth="1"/>
    <col min="8460" max="8460" width="14.375" style="2893" customWidth="1"/>
    <col min="8461" max="8461" width="6.25" style="2893" customWidth="1"/>
    <col min="8462" max="8462" width="29.375" style="2893" customWidth="1"/>
    <col min="8463" max="8463" width="7.875" style="2893" customWidth="1"/>
    <col min="8464" max="8705" width="9" style="2893"/>
    <col min="8706" max="8706" width="26.125" style="2893" customWidth="1"/>
    <col min="8707" max="8707" width="6.25" style="2893" customWidth="1"/>
    <col min="8708" max="8708" width="11.75" style="2893" customWidth="1"/>
    <col min="8709" max="8710" width="13.875" style="2893" customWidth="1"/>
    <col min="8711" max="8711" width="27" style="2893" customWidth="1"/>
    <col min="8712" max="8712" width="7.875" style="2893" customWidth="1"/>
    <col min="8713" max="8713" width="9" style="2893" customWidth="1"/>
    <col min="8714" max="8715" width="10.625" style="2893" customWidth="1"/>
    <col min="8716" max="8716" width="14.375" style="2893" customWidth="1"/>
    <col min="8717" max="8717" width="6.25" style="2893" customWidth="1"/>
    <col min="8718" max="8718" width="29.375" style="2893" customWidth="1"/>
    <col min="8719" max="8719" width="7.875" style="2893" customWidth="1"/>
    <col min="8720" max="8961" width="9" style="2893"/>
    <col min="8962" max="8962" width="26.125" style="2893" customWidth="1"/>
    <col min="8963" max="8963" width="6.25" style="2893" customWidth="1"/>
    <col min="8964" max="8964" width="11.75" style="2893" customWidth="1"/>
    <col min="8965" max="8966" width="13.875" style="2893" customWidth="1"/>
    <col min="8967" max="8967" width="27" style="2893" customWidth="1"/>
    <col min="8968" max="8968" width="7.875" style="2893" customWidth="1"/>
    <col min="8969" max="8969" width="9" style="2893" customWidth="1"/>
    <col min="8970" max="8971" width="10.625" style="2893" customWidth="1"/>
    <col min="8972" max="8972" width="14.375" style="2893" customWidth="1"/>
    <col min="8973" max="8973" width="6.25" style="2893" customWidth="1"/>
    <col min="8974" max="8974" width="29.375" style="2893" customWidth="1"/>
    <col min="8975" max="8975" width="7.875" style="2893" customWidth="1"/>
    <col min="8976" max="9217" width="9" style="2893"/>
    <col min="9218" max="9218" width="26.125" style="2893" customWidth="1"/>
    <col min="9219" max="9219" width="6.25" style="2893" customWidth="1"/>
    <col min="9220" max="9220" width="11.75" style="2893" customWidth="1"/>
    <col min="9221" max="9222" width="13.875" style="2893" customWidth="1"/>
    <col min="9223" max="9223" width="27" style="2893" customWidth="1"/>
    <col min="9224" max="9224" width="7.875" style="2893" customWidth="1"/>
    <col min="9225" max="9225" width="9" style="2893" customWidth="1"/>
    <col min="9226" max="9227" width="10.625" style="2893" customWidth="1"/>
    <col min="9228" max="9228" width="14.375" style="2893" customWidth="1"/>
    <col min="9229" max="9229" width="6.25" style="2893" customWidth="1"/>
    <col min="9230" max="9230" width="29.375" style="2893" customWidth="1"/>
    <col min="9231" max="9231" width="7.875" style="2893" customWidth="1"/>
    <col min="9232" max="9473" width="9" style="2893"/>
    <col min="9474" max="9474" width="26.125" style="2893" customWidth="1"/>
    <col min="9475" max="9475" width="6.25" style="2893" customWidth="1"/>
    <col min="9476" max="9476" width="11.75" style="2893" customWidth="1"/>
    <col min="9477" max="9478" width="13.875" style="2893" customWidth="1"/>
    <col min="9479" max="9479" width="27" style="2893" customWidth="1"/>
    <col min="9480" max="9480" width="7.875" style="2893" customWidth="1"/>
    <col min="9481" max="9481" width="9" style="2893" customWidth="1"/>
    <col min="9482" max="9483" width="10.625" style="2893" customWidth="1"/>
    <col min="9484" max="9484" width="14.375" style="2893" customWidth="1"/>
    <col min="9485" max="9485" width="6.25" style="2893" customWidth="1"/>
    <col min="9486" max="9486" width="29.375" style="2893" customWidth="1"/>
    <col min="9487" max="9487" width="7.875" style="2893" customWidth="1"/>
    <col min="9488" max="9729" width="9" style="2893"/>
    <col min="9730" max="9730" width="26.125" style="2893" customWidth="1"/>
    <col min="9731" max="9731" width="6.25" style="2893" customWidth="1"/>
    <col min="9732" max="9732" width="11.75" style="2893" customWidth="1"/>
    <col min="9733" max="9734" width="13.875" style="2893" customWidth="1"/>
    <col min="9735" max="9735" width="27" style="2893" customWidth="1"/>
    <col min="9736" max="9736" width="7.875" style="2893" customWidth="1"/>
    <col min="9737" max="9737" width="9" style="2893" customWidth="1"/>
    <col min="9738" max="9739" width="10.625" style="2893" customWidth="1"/>
    <col min="9740" max="9740" width="14.375" style="2893" customWidth="1"/>
    <col min="9741" max="9741" width="6.25" style="2893" customWidth="1"/>
    <col min="9742" max="9742" width="29.375" style="2893" customWidth="1"/>
    <col min="9743" max="9743" width="7.875" style="2893" customWidth="1"/>
    <col min="9744" max="9985" width="9" style="2893"/>
    <col min="9986" max="9986" width="26.125" style="2893" customWidth="1"/>
    <col min="9987" max="9987" width="6.25" style="2893" customWidth="1"/>
    <col min="9988" max="9988" width="11.75" style="2893" customWidth="1"/>
    <col min="9989" max="9990" width="13.875" style="2893" customWidth="1"/>
    <col min="9991" max="9991" width="27" style="2893" customWidth="1"/>
    <col min="9992" max="9992" width="7.875" style="2893" customWidth="1"/>
    <col min="9993" max="9993" width="9" style="2893" customWidth="1"/>
    <col min="9994" max="9995" width="10.625" style="2893" customWidth="1"/>
    <col min="9996" max="9996" width="14.375" style="2893" customWidth="1"/>
    <col min="9997" max="9997" width="6.25" style="2893" customWidth="1"/>
    <col min="9998" max="9998" width="29.375" style="2893" customWidth="1"/>
    <col min="9999" max="9999" width="7.875" style="2893" customWidth="1"/>
    <col min="10000" max="10241" width="9" style="2893"/>
    <col min="10242" max="10242" width="26.125" style="2893" customWidth="1"/>
    <col min="10243" max="10243" width="6.25" style="2893" customWidth="1"/>
    <col min="10244" max="10244" width="11.75" style="2893" customWidth="1"/>
    <col min="10245" max="10246" width="13.875" style="2893" customWidth="1"/>
    <col min="10247" max="10247" width="27" style="2893" customWidth="1"/>
    <col min="10248" max="10248" width="7.875" style="2893" customWidth="1"/>
    <col min="10249" max="10249" width="9" style="2893" customWidth="1"/>
    <col min="10250" max="10251" width="10.625" style="2893" customWidth="1"/>
    <col min="10252" max="10252" width="14.375" style="2893" customWidth="1"/>
    <col min="10253" max="10253" width="6.25" style="2893" customWidth="1"/>
    <col min="10254" max="10254" width="29.375" style="2893" customWidth="1"/>
    <col min="10255" max="10255" width="7.875" style="2893" customWidth="1"/>
    <col min="10256" max="10497" width="9" style="2893"/>
    <col min="10498" max="10498" width="26.125" style="2893" customWidth="1"/>
    <col min="10499" max="10499" width="6.25" style="2893" customWidth="1"/>
    <col min="10500" max="10500" width="11.75" style="2893" customWidth="1"/>
    <col min="10501" max="10502" width="13.875" style="2893" customWidth="1"/>
    <col min="10503" max="10503" width="27" style="2893" customWidth="1"/>
    <col min="10504" max="10504" width="7.875" style="2893" customWidth="1"/>
    <col min="10505" max="10505" width="9" style="2893" customWidth="1"/>
    <col min="10506" max="10507" width="10.625" style="2893" customWidth="1"/>
    <col min="10508" max="10508" width="14.375" style="2893" customWidth="1"/>
    <col min="10509" max="10509" width="6.25" style="2893" customWidth="1"/>
    <col min="10510" max="10510" width="29.375" style="2893" customWidth="1"/>
    <col min="10511" max="10511" width="7.875" style="2893" customWidth="1"/>
    <col min="10512" max="10753" width="9" style="2893"/>
    <col min="10754" max="10754" width="26.125" style="2893" customWidth="1"/>
    <col min="10755" max="10755" width="6.25" style="2893" customWidth="1"/>
    <col min="10756" max="10756" width="11.75" style="2893" customWidth="1"/>
    <col min="10757" max="10758" width="13.875" style="2893" customWidth="1"/>
    <col min="10759" max="10759" width="27" style="2893" customWidth="1"/>
    <col min="10760" max="10760" width="7.875" style="2893" customWidth="1"/>
    <col min="10761" max="10761" width="9" style="2893" customWidth="1"/>
    <col min="10762" max="10763" width="10.625" style="2893" customWidth="1"/>
    <col min="10764" max="10764" width="14.375" style="2893" customWidth="1"/>
    <col min="10765" max="10765" width="6.25" style="2893" customWidth="1"/>
    <col min="10766" max="10766" width="29.375" style="2893" customWidth="1"/>
    <col min="10767" max="10767" width="7.875" style="2893" customWidth="1"/>
    <col min="10768" max="11009" width="9" style="2893"/>
    <col min="11010" max="11010" width="26.125" style="2893" customWidth="1"/>
    <col min="11011" max="11011" width="6.25" style="2893" customWidth="1"/>
    <col min="11012" max="11012" width="11.75" style="2893" customWidth="1"/>
    <col min="11013" max="11014" width="13.875" style="2893" customWidth="1"/>
    <col min="11015" max="11015" width="27" style="2893" customWidth="1"/>
    <col min="11016" max="11016" width="7.875" style="2893" customWidth="1"/>
    <col min="11017" max="11017" width="9" style="2893" customWidth="1"/>
    <col min="11018" max="11019" width="10.625" style="2893" customWidth="1"/>
    <col min="11020" max="11020" width="14.375" style="2893" customWidth="1"/>
    <col min="11021" max="11021" width="6.25" style="2893" customWidth="1"/>
    <col min="11022" max="11022" width="29.375" style="2893" customWidth="1"/>
    <col min="11023" max="11023" width="7.875" style="2893" customWidth="1"/>
    <col min="11024" max="11265" width="9" style="2893"/>
    <col min="11266" max="11266" width="26.125" style="2893" customWidth="1"/>
    <col min="11267" max="11267" width="6.25" style="2893" customWidth="1"/>
    <col min="11268" max="11268" width="11.75" style="2893" customWidth="1"/>
    <col min="11269" max="11270" width="13.875" style="2893" customWidth="1"/>
    <col min="11271" max="11271" width="27" style="2893" customWidth="1"/>
    <col min="11272" max="11272" width="7.875" style="2893" customWidth="1"/>
    <col min="11273" max="11273" width="9" style="2893" customWidth="1"/>
    <col min="11274" max="11275" width="10.625" style="2893" customWidth="1"/>
    <col min="11276" max="11276" width="14.375" style="2893" customWidth="1"/>
    <col min="11277" max="11277" width="6.25" style="2893" customWidth="1"/>
    <col min="11278" max="11278" width="29.375" style="2893" customWidth="1"/>
    <col min="11279" max="11279" width="7.875" style="2893" customWidth="1"/>
    <col min="11280" max="11521" width="9" style="2893"/>
    <col min="11522" max="11522" width="26.125" style="2893" customWidth="1"/>
    <col min="11523" max="11523" width="6.25" style="2893" customWidth="1"/>
    <col min="11524" max="11524" width="11.75" style="2893" customWidth="1"/>
    <col min="11525" max="11526" width="13.875" style="2893" customWidth="1"/>
    <col min="11527" max="11527" width="27" style="2893" customWidth="1"/>
    <col min="11528" max="11528" width="7.875" style="2893" customWidth="1"/>
    <col min="11529" max="11529" width="9" style="2893" customWidth="1"/>
    <col min="11530" max="11531" width="10.625" style="2893" customWidth="1"/>
    <col min="11532" max="11532" width="14.375" style="2893" customWidth="1"/>
    <col min="11533" max="11533" width="6.25" style="2893" customWidth="1"/>
    <col min="11534" max="11534" width="29.375" style="2893" customWidth="1"/>
    <col min="11535" max="11535" width="7.875" style="2893" customWidth="1"/>
    <col min="11536" max="11777" width="9" style="2893"/>
    <col min="11778" max="11778" width="26.125" style="2893" customWidth="1"/>
    <col min="11779" max="11779" width="6.25" style="2893" customWidth="1"/>
    <col min="11780" max="11780" width="11.75" style="2893" customWidth="1"/>
    <col min="11781" max="11782" width="13.875" style="2893" customWidth="1"/>
    <col min="11783" max="11783" width="27" style="2893" customWidth="1"/>
    <col min="11784" max="11784" width="7.875" style="2893" customWidth="1"/>
    <col min="11785" max="11785" width="9" style="2893" customWidth="1"/>
    <col min="11786" max="11787" width="10.625" style="2893" customWidth="1"/>
    <col min="11788" max="11788" width="14.375" style="2893" customWidth="1"/>
    <col min="11789" max="11789" width="6.25" style="2893" customWidth="1"/>
    <col min="11790" max="11790" width="29.375" style="2893" customWidth="1"/>
    <col min="11791" max="11791" width="7.875" style="2893" customWidth="1"/>
    <col min="11792" max="12033" width="9" style="2893"/>
    <col min="12034" max="12034" width="26.125" style="2893" customWidth="1"/>
    <col min="12035" max="12035" width="6.25" style="2893" customWidth="1"/>
    <col min="12036" max="12036" width="11.75" style="2893" customWidth="1"/>
    <col min="12037" max="12038" width="13.875" style="2893" customWidth="1"/>
    <col min="12039" max="12039" width="27" style="2893" customWidth="1"/>
    <col min="12040" max="12040" width="7.875" style="2893" customWidth="1"/>
    <col min="12041" max="12041" width="9" style="2893" customWidth="1"/>
    <col min="12042" max="12043" width="10.625" style="2893" customWidth="1"/>
    <col min="12044" max="12044" width="14.375" style="2893" customWidth="1"/>
    <col min="12045" max="12045" width="6.25" style="2893" customWidth="1"/>
    <col min="12046" max="12046" width="29.375" style="2893" customWidth="1"/>
    <col min="12047" max="12047" width="7.875" style="2893" customWidth="1"/>
    <col min="12048" max="12289" width="9" style="2893"/>
    <col min="12290" max="12290" width="26.125" style="2893" customWidth="1"/>
    <col min="12291" max="12291" width="6.25" style="2893" customWidth="1"/>
    <col min="12292" max="12292" width="11.75" style="2893" customWidth="1"/>
    <col min="12293" max="12294" width="13.875" style="2893" customWidth="1"/>
    <col min="12295" max="12295" width="27" style="2893" customWidth="1"/>
    <col min="12296" max="12296" width="7.875" style="2893" customWidth="1"/>
    <col min="12297" max="12297" width="9" style="2893" customWidth="1"/>
    <col min="12298" max="12299" width="10.625" style="2893" customWidth="1"/>
    <col min="12300" max="12300" width="14.375" style="2893" customWidth="1"/>
    <col min="12301" max="12301" width="6.25" style="2893" customWidth="1"/>
    <col min="12302" max="12302" width="29.375" style="2893" customWidth="1"/>
    <col min="12303" max="12303" width="7.875" style="2893" customWidth="1"/>
    <col min="12304" max="12545" width="9" style="2893"/>
    <col min="12546" max="12546" width="26.125" style="2893" customWidth="1"/>
    <col min="12547" max="12547" width="6.25" style="2893" customWidth="1"/>
    <col min="12548" max="12548" width="11.75" style="2893" customWidth="1"/>
    <col min="12549" max="12550" width="13.875" style="2893" customWidth="1"/>
    <col min="12551" max="12551" width="27" style="2893" customWidth="1"/>
    <col min="12552" max="12552" width="7.875" style="2893" customWidth="1"/>
    <col min="12553" max="12553" width="9" style="2893" customWidth="1"/>
    <col min="12554" max="12555" width="10.625" style="2893" customWidth="1"/>
    <col min="12556" max="12556" width="14.375" style="2893" customWidth="1"/>
    <col min="12557" max="12557" width="6.25" style="2893" customWidth="1"/>
    <col min="12558" max="12558" width="29.375" style="2893" customWidth="1"/>
    <col min="12559" max="12559" width="7.875" style="2893" customWidth="1"/>
    <col min="12560" max="12801" width="9" style="2893"/>
    <col min="12802" max="12802" width="26.125" style="2893" customWidth="1"/>
    <col min="12803" max="12803" width="6.25" style="2893" customWidth="1"/>
    <col min="12804" max="12804" width="11.75" style="2893" customWidth="1"/>
    <col min="12805" max="12806" width="13.875" style="2893" customWidth="1"/>
    <col min="12807" max="12807" width="27" style="2893" customWidth="1"/>
    <col min="12808" max="12808" width="7.875" style="2893" customWidth="1"/>
    <col min="12809" max="12809" width="9" style="2893" customWidth="1"/>
    <col min="12810" max="12811" width="10.625" style="2893" customWidth="1"/>
    <col min="12812" max="12812" width="14.375" style="2893" customWidth="1"/>
    <col min="12813" max="12813" width="6.25" style="2893" customWidth="1"/>
    <col min="12814" max="12814" width="29.375" style="2893" customWidth="1"/>
    <col min="12815" max="12815" width="7.875" style="2893" customWidth="1"/>
    <col min="12816" max="13057" width="9" style="2893"/>
    <col min="13058" max="13058" width="26.125" style="2893" customWidth="1"/>
    <col min="13059" max="13059" width="6.25" style="2893" customWidth="1"/>
    <col min="13060" max="13060" width="11.75" style="2893" customWidth="1"/>
    <col min="13061" max="13062" width="13.875" style="2893" customWidth="1"/>
    <col min="13063" max="13063" width="27" style="2893" customWidth="1"/>
    <col min="13064" max="13064" width="7.875" style="2893" customWidth="1"/>
    <col min="13065" max="13065" width="9" style="2893" customWidth="1"/>
    <col min="13066" max="13067" width="10.625" style="2893" customWidth="1"/>
    <col min="13068" max="13068" width="14.375" style="2893" customWidth="1"/>
    <col min="13069" max="13069" width="6.25" style="2893" customWidth="1"/>
    <col min="13070" max="13070" width="29.375" style="2893" customWidth="1"/>
    <col min="13071" max="13071" width="7.875" style="2893" customWidth="1"/>
    <col min="13072" max="13313" width="9" style="2893"/>
    <col min="13314" max="13314" width="26.125" style="2893" customWidth="1"/>
    <col min="13315" max="13315" width="6.25" style="2893" customWidth="1"/>
    <col min="13316" max="13316" width="11.75" style="2893" customWidth="1"/>
    <col min="13317" max="13318" width="13.875" style="2893" customWidth="1"/>
    <col min="13319" max="13319" width="27" style="2893" customWidth="1"/>
    <col min="13320" max="13320" width="7.875" style="2893" customWidth="1"/>
    <col min="13321" max="13321" width="9" style="2893" customWidth="1"/>
    <col min="13322" max="13323" width="10.625" style="2893" customWidth="1"/>
    <col min="13324" max="13324" width="14.375" style="2893" customWidth="1"/>
    <col min="13325" max="13325" width="6.25" style="2893" customWidth="1"/>
    <col min="13326" max="13326" width="29.375" style="2893" customWidth="1"/>
    <col min="13327" max="13327" width="7.875" style="2893" customWidth="1"/>
    <col min="13328" max="13569" width="9" style="2893"/>
    <col min="13570" max="13570" width="26.125" style="2893" customWidth="1"/>
    <col min="13571" max="13571" width="6.25" style="2893" customWidth="1"/>
    <col min="13572" max="13572" width="11.75" style="2893" customWidth="1"/>
    <col min="13573" max="13574" width="13.875" style="2893" customWidth="1"/>
    <col min="13575" max="13575" width="27" style="2893" customWidth="1"/>
    <col min="13576" max="13576" width="7.875" style="2893" customWidth="1"/>
    <col min="13577" max="13577" width="9" style="2893" customWidth="1"/>
    <col min="13578" max="13579" width="10.625" style="2893" customWidth="1"/>
    <col min="13580" max="13580" width="14.375" style="2893" customWidth="1"/>
    <col min="13581" max="13581" width="6.25" style="2893" customWidth="1"/>
    <col min="13582" max="13582" width="29.375" style="2893" customWidth="1"/>
    <col min="13583" max="13583" width="7.875" style="2893" customWidth="1"/>
    <col min="13584" max="13825" width="9" style="2893"/>
    <col min="13826" max="13826" width="26.125" style="2893" customWidth="1"/>
    <col min="13827" max="13827" width="6.25" style="2893" customWidth="1"/>
    <col min="13828" max="13828" width="11.75" style="2893" customWidth="1"/>
    <col min="13829" max="13830" width="13.875" style="2893" customWidth="1"/>
    <col min="13831" max="13831" width="27" style="2893" customWidth="1"/>
    <col min="13832" max="13832" width="7.875" style="2893" customWidth="1"/>
    <col min="13833" max="13833" width="9" style="2893" customWidth="1"/>
    <col min="13834" max="13835" width="10.625" style="2893" customWidth="1"/>
    <col min="13836" max="13836" width="14.375" style="2893" customWidth="1"/>
    <col min="13837" max="13837" width="6.25" style="2893" customWidth="1"/>
    <col min="13838" max="13838" width="29.375" style="2893" customWidth="1"/>
    <col min="13839" max="13839" width="7.875" style="2893" customWidth="1"/>
    <col min="13840" max="14081" width="9" style="2893"/>
    <col min="14082" max="14082" width="26.125" style="2893" customWidth="1"/>
    <col min="14083" max="14083" width="6.25" style="2893" customWidth="1"/>
    <col min="14084" max="14084" width="11.75" style="2893" customWidth="1"/>
    <col min="14085" max="14086" width="13.875" style="2893" customWidth="1"/>
    <col min="14087" max="14087" width="27" style="2893" customWidth="1"/>
    <col min="14088" max="14088" width="7.875" style="2893" customWidth="1"/>
    <col min="14089" max="14089" width="9" style="2893" customWidth="1"/>
    <col min="14090" max="14091" width="10.625" style="2893" customWidth="1"/>
    <col min="14092" max="14092" width="14.375" style="2893" customWidth="1"/>
    <col min="14093" max="14093" width="6.25" style="2893" customWidth="1"/>
    <col min="14094" max="14094" width="29.375" style="2893" customWidth="1"/>
    <col min="14095" max="14095" width="7.875" style="2893" customWidth="1"/>
    <col min="14096" max="14337" width="9" style="2893"/>
    <col min="14338" max="14338" width="26.125" style="2893" customWidth="1"/>
    <col min="14339" max="14339" width="6.25" style="2893" customWidth="1"/>
    <col min="14340" max="14340" width="11.75" style="2893" customWidth="1"/>
    <col min="14341" max="14342" width="13.875" style="2893" customWidth="1"/>
    <col min="14343" max="14343" width="27" style="2893" customWidth="1"/>
    <col min="14344" max="14344" width="7.875" style="2893" customWidth="1"/>
    <col min="14345" max="14345" width="9" style="2893" customWidth="1"/>
    <col min="14346" max="14347" width="10.625" style="2893" customWidth="1"/>
    <col min="14348" max="14348" width="14.375" style="2893" customWidth="1"/>
    <col min="14349" max="14349" width="6.25" style="2893" customWidth="1"/>
    <col min="14350" max="14350" width="29.375" style="2893" customWidth="1"/>
    <col min="14351" max="14351" width="7.875" style="2893" customWidth="1"/>
    <col min="14352" max="14593" width="9" style="2893"/>
    <col min="14594" max="14594" width="26.125" style="2893" customWidth="1"/>
    <col min="14595" max="14595" width="6.25" style="2893" customWidth="1"/>
    <col min="14596" max="14596" width="11.75" style="2893" customWidth="1"/>
    <col min="14597" max="14598" width="13.875" style="2893" customWidth="1"/>
    <col min="14599" max="14599" width="27" style="2893" customWidth="1"/>
    <col min="14600" max="14600" width="7.875" style="2893" customWidth="1"/>
    <col min="14601" max="14601" width="9" style="2893" customWidth="1"/>
    <col min="14602" max="14603" width="10.625" style="2893" customWidth="1"/>
    <col min="14604" max="14604" width="14.375" style="2893" customWidth="1"/>
    <col min="14605" max="14605" width="6.25" style="2893" customWidth="1"/>
    <col min="14606" max="14606" width="29.375" style="2893" customWidth="1"/>
    <col min="14607" max="14607" width="7.875" style="2893" customWidth="1"/>
    <col min="14608" max="14849" width="9" style="2893"/>
    <col min="14850" max="14850" width="26.125" style="2893" customWidth="1"/>
    <col min="14851" max="14851" width="6.25" style="2893" customWidth="1"/>
    <col min="14852" max="14852" width="11.75" style="2893" customWidth="1"/>
    <col min="14853" max="14854" width="13.875" style="2893" customWidth="1"/>
    <col min="14855" max="14855" width="27" style="2893" customWidth="1"/>
    <col min="14856" max="14856" width="7.875" style="2893" customWidth="1"/>
    <col min="14857" max="14857" width="9" style="2893" customWidth="1"/>
    <col min="14858" max="14859" width="10.625" style="2893" customWidth="1"/>
    <col min="14860" max="14860" width="14.375" style="2893" customWidth="1"/>
    <col min="14861" max="14861" width="6.25" style="2893" customWidth="1"/>
    <col min="14862" max="14862" width="29.375" style="2893" customWidth="1"/>
    <col min="14863" max="14863" width="7.875" style="2893" customWidth="1"/>
    <col min="14864" max="15105" width="9" style="2893"/>
    <col min="15106" max="15106" width="26.125" style="2893" customWidth="1"/>
    <col min="15107" max="15107" width="6.25" style="2893" customWidth="1"/>
    <col min="15108" max="15108" width="11.75" style="2893" customWidth="1"/>
    <col min="15109" max="15110" width="13.875" style="2893" customWidth="1"/>
    <col min="15111" max="15111" width="27" style="2893" customWidth="1"/>
    <col min="15112" max="15112" width="7.875" style="2893" customWidth="1"/>
    <col min="15113" max="15113" width="9" style="2893" customWidth="1"/>
    <col min="15114" max="15115" width="10.625" style="2893" customWidth="1"/>
    <col min="15116" max="15116" width="14.375" style="2893" customWidth="1"/>
    <col min="15117" max="15117" width="6.25" style="2893" customWidth="1"/>
    <col min="15118" max="15118" width="29.375" style="2893" customWidth="1"/>
    <col min="15119" max="15119" width="7.875" style="2893" customWidth="1"/>
    <col min="15120" max="15361" width="9" style="2893"/>
    <col min="15362" max="15362" width="26.125" style="2893" customWidth="1"/>
    <col min="15363" max="15363" width="6.25" style="2893" customWidth="1"/>
    <col min="15364" max="15364" width="11.75" style="2893" customWidth="1"/>
    <col min="15365" max="15366" width="13.875" style="2893" customWidth="1"/>
    <col min="15367" max="15367" width="27" style="2893" customWidth="1"/>
    <col min="15368" max="15368" width="7.875" style="2893" customWidth="1"/>
    <col min="15369" max="15369" width="9" style="2893" customWidth="1"/>
    <col min="15370" max="15371" width="10.625" style="2893" customWidth="1"/>
    <col min="15372" max="15372" width="14.375" style="2893" customWidth="1"/>
    <col min="15373" max="15373" width="6.25" style="2893" customWidth="1"/>
    <col min="15374" max="15374" width="29.375" style="2893" customWidth="1"/>
    <col min="15375" max="15375" width="7.875" style="2893" customWidth="1"/>
    <col min="15376" max="15617" width="9" style="2893"/>
    <col min="15618" max="15618" width="26.125" style="2893" customWidth="1"/>
    <col min="15619" max="15619" width="6.25" style="2893" customWidth="1"/>
    <col min="15620" max="15620" width="11.75" style="2893" customWidth="1"/>
    <col min="15621" max="15622" width="13.875" style="2893" customWidth="1"/>
    <col min="15623" max="15623" width="27" style="2893" customWidth="1"/>
    <col min="15624" max="15624" width="7.875" style="2893" customWidth="1"/>
    <col min="15625" max="15625" width="9" style="2893" customWidth="1"/>
    <col min="15626" max="15627" width="10.625" style="2893" customWidth="1"/>
    <col min="15628" max="15628" width="14.375" style="2893" customWidth="1"/>
    <col min="15629" max="15629" width="6.25" style="2893" customWidth="1"/>
    <col min="15630" max="15630" width="29.375" style="2893" customWidth="1"/>
    <col min="15631" max="15631" width="7.875" style="2893" customWidth="1"/>
    <col min="15632" max="15873" width="9" style="2893"/>
    <col min="15874" max="15874" width="26.125" style="2893" customWidth="1"/>
    <col min="15875" max="15875" width="6.25" style="2893" customWidth="1"/>
    <col min="15876" max="15876" width="11.75" style="2893" customWidth="1"/>
    <col min="15877" max="15878" width="13.875" style="2893" customWidth="1"/>
    <col min="15879" max="15879" width="27" style="2893" customWidth="1"/>
    <col min="15880" max="15880" width="7.875" style="2893" customWidth="1"/>
    <col min="15881" max="15881" width="9" style="2893" customWidth="1"/>
    <col min="15882" max="15883" width="10.625" style="2893" customWidth="1"/>
    <col min="15884" max="15884" width="14.375" style="2893" customWidth="1"/>
    <col min="15885" max="15885" width="6.25" style="2893" customWidth="1"/>
    <col min="15886" max="15886" width="29.375" style="2893" customWidth="1"/>
    <col min="15887" max="15887" width="7.875" style="2893" customWidth="1"/>
    <col min="15888" max="16129" width="9" style="2893"/>
    <col min="16130" max="16130" width="26.125" style="2893" customWidth="1"/>
    <col min="16131" max="16131" width="6.25" style="2893" customWidth="1"/>
    <col min="16132" max="16132" width="11.75" style="2893" customWidth="1"/>
    <col min="16133" max="16134" width="13.875" style="2893" customWidth="1"/>
    <col min="16135" max="16135" width="27" style="2893" customWidth="1"/>
    <col min="16136" max="16136" width="7.875" style="2893" customWidth="1"/>
    <col min="16137" max="16137" width="9" style="2893" customWidth="1"/>
    <col min="16138" max="16139" width="10.625" style="2893" customWidth="1"/>
    <col min="16140" max="16140" width="14.375" style="2893" customWidth="1"/>
    <col min="16141" max="16141" width="6.25" style="2893" customWidth="1"/>
    <col min="16142" max="16142" width="29.375" style="2893" customWidth="1"/>
    <col min="16143" max="16143" width="7.875" style="2893" customWidth="1"/>
    <col min="16144" max="16384" width="9" style="2893"/>
  </cols>
  <sheetData>
    <row r="1" spans="1:15">
      <c r="A1" s="2893" t="s">
        <v>3058</v>
      </c>
      <c r="B1" s="2893" t="s">
        <v>3059</v>
      </c>
      <c r="C1" s="2893" t="s">
        <v>3060</v>
      </c>
      <c r="D1" s="2893" t="s">
        <v>3061</v>
      </c>
      <c r="E1" s="2893" t="s">
        <v>3062</v>
      </c>
      <c r="G1" s="2893" t="s">
        <v>2030</v>
      </c>
      <c r="H1" s="2893" t="s">
        <v>3063</v>
      </c>
      <c r="I1" s="2893" t="s">
        <v>3064</v>
      </c>
      <c r="J1" s="2893" t="s">
        <v>3065</v>
      </c>
      <c r="K1" s="2893" t="s">
        <v>3066</v>
      </c>
      <c r="L1" s="2893" t="s">
        <v>3067</v>
      </c>
      <c r="M1" s="2893" t="s">
        <v>3068</v>
      </c>
      <c r="N1" s="2893" t="s">
        <v>3069</v>
      </c>
      <c r="O1" s="2893" t="s">
        <v>3070</v>
      </c>
    </row>
    <row r="2" spans="1:15" s="3192" customFormat="1">
      <c r="A2" s="3192" t="s">
        <v>3071</v>
      </c>
      <c r="B2" s="3192" t="s">
        <v>3072</v>
      </c>
      <c r="C2" s="3192" t="s">
        <v>3073</v>
      </c>
      <c r="D2" s="3192">
        <v>35536</v>
      </c>
      <c r="E2" s="3192">
        <v>53304</v>
      </c>
      <c r="F2" s="3192">
        <f>E2/D2</f>
        <v>1.5</v>
      </c>
      <c r="G2" s="3192" t="s">
        <v>3074</v>
      </c>
      <c r="H2" s="3192" t="s">
        <v>3075</v>
      </c>
      <c r="I2" s="3192" t="s">
        <v>3076</v>
      </c>
      <c r="J2" s="3192">
        <v>3198.23</v>
      </c>
      <c r="K2" s="3192">
        <v>3198.23</v>
      </c>
      <c r="L2" s="3192">
        <v>600</v>
      </c>
      <c r="M2" s="3192">
        <v>0</v>
      </c>
      <c r="N2" s="3192" t="s">
        <v>3077</v>
      </c>
      <c r="O2" s="3192" t="s">
        <v>3078</v>
      </c>
    </row>
    <row r="3" spans="1:15">
      <c r="A3" s="2893" t="s">
        <v>3079</v>
      </c>
      <c r="B3" s="2893" t="s">
        <v>3072</v>
      </c>
      <c r="C3" s="2893" t="s">
        <v>3073</v>
      </c>
      <c r="D3" s="2893">
        <v>2813</v>
      </c>
      <c r="E3" s="2893">
        <v>6188.6</v>
      </c>
      <c r="F3" s="3192">
        <f t="shared" ref="F3:F5" si="0">E3/D3</f>
        <v>2.2000000000000002</v>
      </c>
      <c r="G3" s="2893" t="s">
        <v>3080</v>
      </c>
      <c r="H3" s="2893" t="s">
        <v>3075</v>
      </c>
      <c r="I3" s="2893" t="s">
        <v>3081</v>
      </c>
      <c r="J3" s="2893">
        <v>50</v>
      </c>
      <c r="K3" s="2893">
        <v>210.97</v>
      </c>
      <c r="L3" s="2893">
        <v>340.92</v>
      </c>
      <c r="M3" s="2893">
        <v>321.95999999999998</v>
      </c>
      <c r="N3" s="2893" t="s">
        <v>3082</v>
      </c>
      <c r="O3" s="2893" t="s">
        <v>3078</v>
      </c>
    </row>
    <row r="4" spans="1:15">
      <c r="A4" s="2893" t="s">
        <v>3079</v>
      </c>
      <c r="B4" s="2893" t="s">
        <v>3072</v>
      </c>
      <c r="C4" s="2893" t="s">
        <v>3073</v>
      </c>
      <c r="D4" s="2893">
        <v>3390</v>
      </c>
      <c r="E4" s="2893">
        <v>7458</v>
      </c>
      <c r="F4" s="3192">
        <f t="shared" si="0"/>
        <v>2.2000000000000002</v>
      </c>
      <c r="G4" s="2893" t="s">
        <v>3080</v>
      </c>
      <c r="H4" s="2893" t="s">
        <v>3075</v>
      </c>
      <c r="I4" s="2893" t="s">
        <v>3081</v>
      </c>
      <c r="J4" s="2893">
        <v>50</v>
      </c>
      <c r="K4" s="2893">
        <v>254.25</v>
      </c>
      <c r="L4" s="2893">
        <v>340.91</v>
      </c>
      <c r="M4" s="2893">
        <v>408.5</v>
      </c>
      <c r="N4" s="2893" t="s">
        <v>3082</v>
      </c>
      <c r="O4" s="2893" t="s">
        <v>3078</v>
      </c>
    </row>
    <row r="5" spans="1:15">
      <c r="A5" s="2893" t="s">
        <v>3079</v>
      </c>
      <c r="B5" s="2893" t="s">
        <v>3072</v>
      </c>
      <c r="C5" s="2893" t="s">
        <v>3073</v>
      </c>
      <c r="D5" s="2893">
        <v>4218</v>
      </c>
      <c r="E5" s="2893">
        <v>9279.6</v>
      </c>
      <c r="F5" s="3192">
        <f t="shared" si="0"/>
        <v>2.2000000000000002</v>
      </c>
      <c r="G5" s="2893" t="s">
        <v>3080</v>
      </c>
      <c r="H5" s="2893" t="s">
        <v>3075</v>
      </c>
      <c r="I5" s="2893" t="s">
        <v>3081</v>
      </c>
      <c r="J5" s="2893">
        <v>50</v>
      </c>
      <c r="K5" s="2893">
        <v>316.35000000000002</v>
      </c>
      <c r="L5" s="2893">
        <v>340.91</v>
      </c>
      <c r="M5" s="2893">
        <v>532.70000000000005</v>
      </c>
      <c r="N5" s="2893" t="s">
        <v>3082</v>
      </c>
      <c r="O5" s="2893" t="s">
        <v>3078</v>
      </c>
    </row>
    <row r="6" spans="1:15" ht="13.5" hidden="1" customHeight="1">
      <c r="A6" s="2893" t="s">
        <v>3079</v>
      </c>
      <c r="B6" s="2893" t="s">
        <v>3072</v>
      </c>
      <c r="C6" s="2893" t="s">
        <v>3073</v>
      </c>
      <c r="D6" s="2893">
        <v>31946</v>
      </c>
      <c r="E6" s="2893">
        <v>79865</v>
      </c>
      <c r="G6" s="2893" t="s">
        <v>3083</v>
      </c>
      <c r="H6" s="2893" t="s">
        <v>3075</v>
      </c>
      <c r="I6" s="2893" t="s">
        <v>3081</v>
      </c>
      <c r="J6" s="2893">
        <v>2395.94</v>
      </c>
      <c r="K6" s="2893">
        <v>2395.94</v>
      </c>
      <c r="L6" s="2893">
        <v>300</v>
      </c>
      <c r="M6" s="2893">
        <v>0</v>
      </c>
      <c r="N6" s="2893" t="s">
        <v>3082</v>
      </c>
      <c r="O6" s="2893" t="s">
        <v>3078</v>
      </c>
    </row>
    <row r="7" spans="1:15" ht="13.5" hidden="1" customHeight="1">
      <c r="A7" s="2893" t="s">
        <v>3079</v>
      </c>
      <c r="B7" s="2893" t="s">
        <v>3072</v>
      </c>
      <c r="C7" s="2893" t="s">
        <v>3073</v>
      </c>
      <c r="D7" s="2893">
        <v>3487</v>
      </c>
      <c r="E7" s="2893">
        <v>8717.5</v>
      </c>
      <c r="G7" s="2893" t="s">
        <v>3083</v>
      </c>
      <c r="H7" s="2893" t="s">
        <v>3075</v>
      </c>
      <c r="I7" s="2893" t="s">
        <v>3081</v>
      </c>
      <c r="J7" s="2893">
        <v>50</v>
      </c>
      <c r="K7" s="2893">
        <v>261.52</v>
      </c>
      <c r="L7" s="2893">
        <v>300</v>
      </c>
      <c r="M7" s="2893">
        <v>423.06</v>
      </c>
      <c r="N7" s="2893" t="s">
        <v>3082</v>
      </c>
      <c r="O7" s="2893" t="s">
        <v>3078</v>
      </c>
    </row>
    <row r="8" spans="1:15">
      <c r="A8" s="2893" t="s">
        <v>3079</v>
      </c>
      <c r="B8" s="2893" t="s">
        <v>3072</v>
      </c>
      <c r="C8" s="2893" t="s">
        <v>3073</v>
      </c>
      <c r="D8" s="2893">
        <v>23614</v>
      </c>
      <c r="E8" s="2893">
        <v>51950.8</v>
      </c>
      <c r="F8" s="3192">
        <f t="shared" ref="F8:F9" si="1">E8/D8</f>
        <v>2.2000000000000002</v>
      </c>
      <c r="G8" s="2893" t="s">
        <v>3080</v>
      </c>
      <c r="H8" s="2893" t="s">
        <v>3075</v>
      </c>
      <c r="I8" s="2893" t="s">
        <v>3081</v>
      </c>
      <c r="J8" s="2893">
        <v>1771.04</v>
      </c>
      <c r="K8" s="2893">
        <v>1771.04</v>
      </c>
      <c r="L8" s="2893">
        <v>340.91</v>
      </c>
      <c r="M8" s="2893">
        <v>0</v>
      </c>
      <c r="N8" s="2893" t="s">
        <v>3082</v>
      </c>
      <c r="O8" s="2893" t="s">
        <v>3078</v>
      </c>
    </row>
    <row r="9" spans="1:15">
      <c r="A9" s="2893" t="s">
        <v>3079</v>
      </c>
      <c r="B9" s="2893" t="s">
        <v>3072</v>
      </c>
      <c r="C9" s="2893" t="s">
        <v>3073</v>
      </c>
      <c r="D9" s="2893">
        <v>10700</v>
      </c>
      <c r="E9" s="2893">
        <v>23540</v>
      </c>
      <c r="F9" s="3192">
        <f t="shared" si="1"/>
        <v>2.2000000000000002</v>
      </c>
      <c r="G9" s="2893" t="s">
        <v>3080</v>
      </c>
      <c r="H9" s="2893" t="s">
        <v>3075</v>
      </c>
      <c r="I9" s="2893" t="s">
        <v>3081</v>
      </c>
      <c r="J9" s="2893">
        <v>802.5</v>
      </c>
      <c r="K9" s="2893">
        <v>802.5</v>
      </c>
      <c r="L9" s="2893">
        <v>340.91</v>
      </c>
      <c r="M9" s="2893">
        <v>0</v>
      </c>
      <c r="N9" s="2893" t="s">
        <v>3082</v>
      </c>
      <c r="O9" s="2893" t="s">
        <v>3078</v>
      </c>
    </row>
    <row r="10" spans="1:15" ht="13.5" hidden="1" customHeight="1">
      <c r="A10" s="2893" t="s">
        <v>3084</v>
      </c>
      <c r="B10" s="2893" t="s">
        <v>3072</v>
      </c>
      <c r="C10" s="2893" t="s">
        <v>3085</v>
      </c>
      <c r="D10" s="2893">
        <v>94</v>
      </c>
      <c r="E10" s="2893">
        <v>470</v>
      </c>
      <c r="G10" s="2893" t="s">
        <v>3086</v>
      </c>
      <c r="H10" s="2893" t="s">
        <v>3075</v>
      </c>
      <c r="I10" s="2893" t="s">
        <v>3087</v>
      </c>
      <c r="J10" s="2893">
        <v>14.09</v>
      </c>
      <c r="K10" s="2893">
        <v>14.09</v>
      </c>
      <c r="L10" s="2893">
        <v>300</v>
      </c>
      <c r="M10" s="2893">
        <v>0</v>
      </c>
      <c r="N10" s="2893" t="s">
        <v>3088</v>
      </c>
      <c r="O10" s="2893" t="s">
        <v>3078</v>
      </c>
    </row>
    <row r="11" spans="1:15" ht="13.5" hidden="1" customHeight="1">
      <c r="A11" s="2893" t="s">
        <v>3084</v>
      </c>
      <c r="B11" s="2893" t="s">
        <v>3072</v>
      </c>
      <c r="C11" s="2893" t="s">
        <v>3085</v>
      </c>
      <c r="D11" s="2893">
        <v>112</v>
      </c>
      <c r="E11" s="2893">
        <v>560</v>
      </c>
      <c r="G11" s="2893" t="s">
        <v>3086</v>
      </c>
      <c r="H11" s="2893" t="s">
        <v>3075</v>
      </c>
      <c r="I11" s="2893" t="s">
        <v>3087</v>
      </c>
      <c r="J11" s="2893">
        <v>16.8</v>
      </c>
      <c r="K11" s="2893">
        <v>16.8</v>
      </c>
      <c r="L11" s="2893">
        <v>300</v>
      </c>
      <c r="M11" s="2893">
        <v>0</v>
      </c>
      <c r="N11" s="2893" t="s">
        <v>3089</v>
      </c>
      <c r="O11" s="2893" t="s">
        <v>3078</v>
      </c>
    </row>
    <row r="12" spans="1:15" ht="13.5" hidden="1" customHeight="1">
      <c r="A12" s="2893" t="s">
        <v>3084</v>
      </c>
      <c r="B12" s="2893" t="s">
        <v>3072</v>
      </c>
      <c r="C12" s="2893" t="s">
        <v>3085</v>
      </c>
      <c r="D12" s="2893">
        <v>123</v>
      </c>
      <c r="E12" s="2893">
        <v>615</v>
      </c>
      <c r="G12" s="2893" t="s">
        <v>3086</v>
      </c>
      <c r="H12" s="2893" t="s">
        <v>3075</v>
      </c>
      <c r="I12" s="2893" t="s">
        <v>3087</v>
      </c>
      <c r="J12" s="2893">
        <v>18.440000000000001</v>
      </c>
      <c r="K12" s="2893">
        <v>18.440000000000001</v>
      </c>
      <c r="L12" s="2893">
        <v>300</v>
      </c>
      <c r="M12" s="2893">
        <v>0</v>
      </c>
      <c r="N12" s="2893" t="s">
        <v>3090</v>
      </c>
      <c r="O12" s="2893" t="s">
        <v>3078</v>
      </c>
    </row>
    <row r="13" spans="1:15" ht="13.5" hidden="1" customHeight="1">
      <c r="A13" s="2893" t="s">
        <v>3084</v>
      </c>
      <c r="B13" s="2893" t="s">
        <v>3072</v>
      </c>
      <c r="C13" s="2893" t="s">
        <v>3085</v>
      </c>
      <c r="D13" s="2893">
        <v>122</v>
      </c>
      <c r="E13" s="2893">
        <v>610</v>
      </c>
      <c r="G13" s="2893" t="s">
        <v>3086</v>
      </c>
      <c r="H13" s="2893" t="s">
        <v>3075</v>
      </c>
      <c r="I13" s="2893" t="s">
        <v>3087</v>
      </c>
      <c r="J13" s="2893">
        <v>18.3</v>
      </c>
      <c r="K13" s="2893">
        <v>18.3</v>
      </c>
      <c r="L13" s="2893">
        <v>300</v>
      </c>
      <c r="M13" s="2893">
        <v>0</v>
      </c>
      <c r="N13" s="2893" t="s">
        <v>3091</v>
      </c>
      <c r="O13" s="2893" t="s">
        <v>3078</v>
      </c>
    </row>
    <row r="14" spans="1:15" ht="13.5" hidden="1" customHeight="1">
      <c r="A14" s="2893" t="s">
        <v>3084</v>
      </c>
      <c r="B14" s="2893" t="s">
        <v>3072</v>
      </c>
      <c r="C14" s="2893" t="s">
        <v>3085</v>
      </c>
      <c r="D14" s="2893">
        <v>120</v>
      </c>
      <c r="E14" s="2893">
        <v>600</v>
      </c>
      <c r="G14" s="2893" t="s">
        <v>3086</v>
      </c>
      <c r="H14" s="2893" t="s">
        <v>3075</v>
      </c>
      <c r="I14" s="2893" t="s">
        <v>3087</v>
      </c>
      <c r="J14" s="2893">
        <v>18</v>
      </c>
      <c r="K14" s="2893">
        <v>18</v>
      </c>
      <c r="L14" s="2893">
        <v>300</v>
      </c>
      <c r="M14" s="2893">
        <v>0</v>
      </c>
      <c r="N14" s="2893" t="s">
        <v>3092</v>
      </c>
      <c r="O14" s="2893" t="s">
        <v>3078</v>
      </c>
    </row>
    <row r="15" spans="1:15" ht="13.5" hidden="1" customHeight="1">
      <c r="A15" s="2893" t="s">
        <v>3084</v>
      </c>
      <c r="B15" s="2893" t="s">
        <v>3072</v>
      </c>
      <c r="C15" s="2893" t="s">
        <v>3085</v>
      </c>
      <c r="D15" s="2893">
        <v>126</v>
      </c>
      <c r="E15" s="2893">
        <v>630</v>
      </c>
      <c r="G15" s="2893" t="s">
        <v>3086</v>
      </c>
      <c r="H15" s="2893" t="s">
        <v>3075</v>
      </c>
      <c r="I15" s="2893" t="s">
        <v>3087</v>
      </c>
      <c r="J15" s="2893">
        <v>18.89</v>
      </c>
      <c r="K15" s="2893">
        <v>18.89</v>
      </c>
      <c r="L15" s="2893">
        <v>300</v>
      </c>
      <c r="M15" s="2893">
        <v>0</v>
      </c>
      <c r="N15" s="2893" t="s">
        <v>3093</v>
      </c>
      <c r="O15" s="2893" t="s">
        <v>3078</v>
      </c>
    </row>
    <row r="16" spans="1:15" ht="13.5" hidden="1" customHeight="1">
      <c r="A16" s="2893" t="s">
        <v>3084</v>
      </c>
      <c r="B16" s="2893" t="s">
        <v>3072</v>
      </c>
      <c r="C16" s="2893" t="s">
        <v>3085</v>
      </c>
      <c r="D16" s="2893">
        <v>97</v>
      </c>
      <c r="E16" s="2893">
        <v>485</v>
      </c>
      <c r="G16" s="2893" t="s">
        <v>3086</v>
      </c>
      <c r="H16" s="2893" t="s">
        <v>3075</v>
      </c>
      <c r="I16" s="2893" t="s">
        <v>3087</v>
      </c>
      <c r="J16" s="2893">
        <v>14.55</v>
      </c>
      <c r="K16" s="2893">
        <v>14.55</v>
      </c>
      <c r="L16" s="2893">
        <v>300</v>
      </c>
      <c r="M16" s="2893">
        <v>0</v>
      </c>
      <c r="N16" s="2893" t="s">
        <v>3094</v>
      </c>
      <c r="O16" s="2893" t="s">
        <v>3078</v>
      </c>
    </row>
    <row r="17" spans="1:15" ht="13.5" hidden="1" customHeight="1">
      <c r="A17" s="2893" t="s">
        <v>3084</v>
      </c>
      <c r="B17" s="2893" t="s">
        <v>3072</v>
      </c>
      <c r="C17" s="2893" t="s">
        <v>3085</v>
      </c>
      <c r="D17" s="2893">
        <v>107</v>
      </c>
      <c r="E17" s="2893">
        <v>535</v>
      </c>
      <c r="G17" s="2893" t="s">
        <v>3086</v>
      </c>
      <c r="H17" s="2893" t="s">
        <v>3075</v>
      </c>
      <c r="I17" s="2893" t="s">
        <v>3087</v>
      </c>
      <c r="J17" s="2893">
        <v>16.05</v>
      </c>
      <c r="K17" s="2893">
        <v>16.05</v>
      </c>
      <c r="L17" s="2893">
        <v>300</v>
      </c>
      <c r="M17" s="2893">
        <v>0</v>
      </c>
      <c r="N17" s="2893" t="s">
        <v>3095</v>
      </c>
      <c r="O17" s="2893" t="s">
        <v>3078</v>
      </c>
    </row>
    <row r="18" spans="1:15" ht="13.5" hidden="1" customHeight="1">
      <c r="A18" s="2893" t="s">
        <v>3084</v>
      </c>
      <c r="B18" s="2893" t="s">
        <v>3072</v>
      </c>
      <c r="C18" s="2893" t="s">
        <v>3085</v>
      </c>
      <c r="D18" s="2893">
        <v>97</v>
      </c>
      <c r="E18" s="2893">
        <v>485</v>
      </c>
      <c r="G18" s="2893" t="s">
        <v>3086</v>
      </c>
      <c r="H18" s="2893" t="s">
        <v>3075</v>
      </c>
      <c r="I18" s="2893" t="s">
        <v>3087</v>
      </c>
      <c r="J18" s="2893">
        <v>14.55</v>
      </c>
      <c r="K18" s="2893">
        <v>14.55</v>
      </c>
      <c r="L18" s="2893">
        <v>300</v>
      </c>
      <c r="M18" s="2893">
        <v>0</v>
      </c>
      <c r="N18" s="2893" t="s">
        <v>3096</v>
      </c>
      <c r="O18" s="2893" t="s">
        <v>3078</v>
      </c>
    </row>
    <row r="19" spans="1:15" ht="13.5" hidden="1" customHeight="1">
      <c r="A19" s="2893" t="s">
        <v>3084</v>
      </c>
      <c r="B19" s="2893" t="s">
        <v>3072</v>
      </c>
      <c r="C19" s="2893" t="s">
        <v>3085</v>
      </c>
      <c r="D19" s="2893">
        <v>134</v>
      </c>
      <c r="E19" s="2893">
        <v>670</v>
      </c>
      <c r="G19" s="2893" t="s">
        <v>3086</v>
      </c>
      <c r="H19" s="2893" t="s">
        <v>3075</v>
      </c>
      <c r="I19" s="2893" t="s">
        <v>3087</v>
      </c>
      <c r="J19" s="2893">
        <v>20.100000000000001</v>
      </c>
      <c r="K19" s="2893">
        <v>20.100000000000001</v>
      </c>
      <c r="L19" s="2893">
        <v>300</v>
      </c>
      <c r="M19" s="2893">
        <v>0</v>
      </c>
      <c r="N19" s="2893" t="s">
        <v>3097</v>
      </c>
      <c r="O19" s="2893" t="s">
        <v>3078</v>
      </c>
    </row>
    <row r="20" spans="1:15" ht="13.5" hidden="1" customHeight="1">
      <c r="A20" s="2893" t="s">
        <v>3084</v>
      </c>
      <c r="B20" s="2893" t="s">
        <v>3072</v>
      </c>
      <c r="C20" s="2893" t="s">
        <v>3085</v>
      </c>
      <c r="D20" s="2893">
        <v>120</v>
      </c>
      <c r="E20" s="2893">
        <v>600</v>
      </c>
      <c r="G20" s="2893" t="s">
        <v>3086</v>
      </c>
      <c r="H20" s="2893" t="s">
        <v>3075</v>
      </c>
      <c r="I20" s="2893" t="s">
        <v>3087</v>
      </c>
      <c r="J20" s="2893">
        <v>18</v>
      </c>
      <c r="K20" s="2893">
        <v>18</v>
      </c>
      <c r="L20" s="2893">
        <v>300</v>
      </c>
      <c r="M20" s="2893">
        <v>0</v>
      </c>
      <c r="N20" s="2893" t="s">
        <v>3098</v>
      </c>
      <c r="O20" s="2893" t="s">
        <v>3078</v>
      </c>
    </row>
    <row r="21" spans="1:15" ht="13.5" hidden="1" customHeight="1">
      <c r="A21" s="2893" t="s">
        <v>3084</v>
      </c>
      <c r="B21" s="2893" t="s">
        <v>3072</v>
      </c>
      <c r="C21" s="2893" t="s">
        <v>3085</v>
      </c>
      <c r="D21" s="2893">
        <v>96</v>
      </c>
      <c r="E21" s="2893">
        <v>480</v>
      </c>
      <c r="G21" s="2893" t="s">
        <v>3086</v>
      </c>
      <c r="H21" s="2893" t="s">
        <v>3075</v>
      </c>
      <c r="I21" s="2893" t="s">
        <v>3087</v>
      </c>
      <c r="J21" s="2893">
        <v>14.4</v>
      </c>
      <c r="K21" s="2893">
        <v>14.4</v>
      </c>
      <c r="L21" s="2893">
        <v>300</v>
      </c>
      <c r="M21" s="2893">
        <v>0</v>
      </c>
      <c r="N21" s="2893" t="s">
        <v>3099</v>
      </c>
      <c r="O21" s="2893" t="s">
        <v>3078</v>
      </c>
    </row>
    <row r="22" spans="1:15" ht="13.5" hidden="1" customHeight="1">
      <c r="A22" s="2893" t="s">
        <v>3084</v>
      </c>
      <c r="B22" s="2893" t="s">
        <v>3072</v>
      </c>
      <c r="C22" s="2893" t="s">
        <v>3085</v>
      </c>
      <c r="D22" s="2893">
        <v>108</v>
      </c>
      <c r="E22" s="2893">
        <v>540</v>
      </c>
      <c r="G22" s="2893" t="s">
        <v>3086</v>
      </c>
      <c r="H22" s="2893" t="s">
        <v>3075</v>
      </c>
      <c r="I22" s="2893" t="s">
        <v>3100</v>
      </c>
      <c r="J22" s="2893">
        <v>16.190000000000001</v>
      </c>
      <c r="K22" s="2893">
        <v>16.190000000000001</v>
      </c>
      <c r="L22" s="2893">
        <v>300</v>
      </c>
      <c r="M22" s="2893">
        <v>0</v>
      </c>
      <c r="N22" s="2893" t="s">
        <v>3101</v>
      </c>
      <c r="O22" s="2893" t="s">
        <v>3078</v>
      </c>
    </row>
    <row r="23" spans="1:15" ht="13.5" hidden="1" customHeight="1">
      <c r="A23" s="2893" t="s">
        <v>3084</v>
      </c>
      <c r="B23" s="2893" t="s">
        <v>3072</v>
      </c>
      <c r="C23" s="2893" t="s">
        <v>3085</v>
      </c>
      <c r="D23" s="2893">
        <v>85</v>
      </c>
      <c r="E23" s="2893">
        <v>425</v>
      </c>
      <c r="G23" s="2893" t="s">
        <v>3086</v>
      </c>
      <c r="H23" s="2893" t="s">
        <v>3075</v>
      </c>
      <c r="I23" s="2893" t="s">
        <v>3100</v>
      </c>
      <c r="J23" s="2893">
        <v>12.75</v>
      </c>
      <c r="K23" s="2893">
        <v>12.75</v>
      </c>
      <c r="L23" s="2893">
        <v>300</v>
      </c>
      <c r="M23" s="2893">
        <v>0</v>
      </c>
      <c r="N23" s="2893" t="s">
        <v>3102</v>
      </c>
      <c r="O23" s="2893" t="s">
        <v>3078</v>
      </c>
    </row>
    <row r="24" spans="1:15" ht="13.5" hidden="1" customHeight="1">
      <c r="A24" s="2893" t="s">
        <v>3084</v>
      </c>
      <c r="B24" s="2893" t="s">
        <v>3072</v>
      </c>
      <c r="C24" s="2893" t="s">
        <v>3085</v>
      </c>
      <c r="D24" s="2893">
        <v>99</v>
      </c>
      <c r="E24" s="2893">
        <v>495</v>
      </c>
      <c r="G24" s="2893" t="s">
        <v>3086</v>
      </c>
      <c r="H24" s="2893" t="s">
        <v>3075</v>
      </c>
      <c r="I24" s="2893" t="s">
        <v>3100</v>
      </c>
      <c r="J24" s="2893">
        <v>14.84</v>
      </c>
      <c r="K24" s="2893">
        <v>14.84</v>
      </c>
      <c r="L24" s="2893">
        <v>300</v>
      </c>
      <c r="M24" s="2893">
        <v>0</v>
      </c>
      <c r="N24" s="2893" t="s">
        <v>3103</v>
      </c>
      <c r="O24" s="2893" t="s">
        <v>3078</v>
      </c>
    </row>
    <row r="25" spans="1:15" ht="13.5" hidden="1" customHeight="1">
      <c r="A25" s="2893" t="s">
        <v>3084</v>
      </c>
      <c r="B25" s="2893" t="s">
        <v>3072</v>
      </c>
      <c r="C25" s="2893" t="s">
        <v>3085</v>
      </c>
      <c r="D25" s="2893">
        <v>91</v>
      </c>
      <c r="E25" s="2893">
        <v>455</v>
      </c>
      <c r="G25" s="2893" t="s">
        <v>3086</v>
      </c>
      <c r="H25" s="2893" t="s">
        <v>3075</v>
      </c>
      <c r="I25" s="2893" t="s">
        <v>3100</v>
      </c>
      <c r="J25" s="2893">
        <v>13.65</v>
      </c>
      <c r="K25" s="2893">
        <v>13.65</v>
      </c>
      <c r="L25" s="2893">
        <v>300</v>
      </c>
      <c r="M25" s="2893">
        <v>0</v>
      </c>
      <c r="N25" s="2893" t="s">
        <v>3104</v>
      </c>
      <c r="O25" s="2893" t="s">
        <v>3078</v>
      </c>
    </row>
    <row r="26" spans="1:15" ht="13.5" hidden="1" customHeight="1">
      <c r="A26" s="2893" t="s">
        <v>3084</v>
      </c>
      <c r="B26" s="2893" t="s">
        <v>3072</v>
      </c>
      <c r="C26" s="2893" t="s">
        <v>3085</v>
      </c>
      <c r="D26" s="2893">
        <v>99</v>
      </c>
      <c r="E26" s="2893">
        <v>495</v>
      </c>
      <c r="G26" s="2893" t="s">
        <v>3086</v>
      </c>
      <c r="H26" s="2893" t="s">
        <v>3075</v>
      </c>
      <c r="I26" s="2893" t="s">
        <v>3100</v>
      </c>
      <c r="J26" s="2893">
        <v>14.84</v>
      </c>
      <c r="K26" s="2893">
        <v>14.84</v>
      </c>
      <c r="L26" s="2893">
        <v>300</v>
      </c>
      <c r="M26" s="2893">
        <v>0</v>
      </c>
      <c r="N26" s="2893" t="s">
        <v>3105</v>
      </c>
      <c r="O26" s="2893" t="s">
        <v>3078</v>
      </c>
    </row>
    <row r="27" spans="1:15" ht="13.5" hidden="1" customHeight="1">
      <c r="A27" s="2893" t="s">
        <v>3084</v>
      </c>
      <c r="B27" s="2893" t="s">
        <v>3072</v>
      </c>
      <c r="C27" s="2893" t="s">
        <v>3085</v>
      </c>
      <c r="D27" s="2893">
        <v>101</v>
      </c>
      <c r="E27" s="2893">
        <v>505</v>
      </c>
      <c r="G27" s="2893" t="s">
        <v>3086</v>
      </c>
      <c r="H27" s="2893" t="s">
        <v>3075</v>
      </c>
      <c r="I27" s="2893" t="s">
        <v>3100</v>
      </c>
      <c r="J27" s="2893">
        <v>15.15</v>
      </c>
      <c r="K27" s="2893">
        <v>15.15</v>
      </c>
      <c r="L27" s="2893">
        <v>300</v>
      </c>
      <c r="M27" s="2893">
        <v>0</v>
      </c>
      <c r="N27" s="2893" t="s">
        <v>3106</v>
      </c>
      <c r="O27" s="2893" t="s">
        <v>3078</v>
      </c>
    </row>
    <row r="28" spans="1:15" ht="13.5" hidden="1" customHeight="1">
      <c r="A28" s="2893" t="s">
        <v>3107</v>
      </c>
      <c r="B28" s="2893" t="s">
        <v>3072</v>
      </c>
      <c r="C28" s="2893" t="s">
        <v>3085</v>
      </c>
      <c r="D28" s="2893">
        <v>133</v>
      </c>
      <c r="E28" s="2893">
        <v>665</v>
      </c>
      <c r="G28" s="2893" t="s">
        <v>3086</v>
      </c>
      <c r="H28" s="2893" t="s">
        <v>3075</v>
      </c>
      <c r="I28" s="2893" t="s">
        <v>3100</v>
      </c>
      <c r="J28" s="2893">
        <v>19.940000000000001</v>
      </c>
      <c r="K28" s="2893">
        <v>19.940000000000001</v>
      </c>
      <c r="L28" s="2893">
        <v>300</v>
      </c>
      <c r="M28" s="2893">
        <v>0</v>
      </c>
      <c r="N28" s="2893" t="s">
        <v>3108</v>
      </c>
      <c r="O28" s="2893" t="s">
        <v>3078</v>
      </c>
    </row>
    <row r="29" spans="1:15" ht="13.5" hidden="1" customHeight="1">
      <c r="A29" s="2893" t="s">
        <v>3084</v>
      </c>
      <c r="B29" s="2893" t="s">
        <v>3072</v>
      </c>
      <c r="C29" s="2893" t="s">
        <v>3085</v>
      </c>
      <c r="D29" s="2893">
        <v>99</v>
      </c>
      <c r="E29" s="2893">
        <v>495</v>
      </c>
      <c r="G29" s="2893" t="s">
        <v>3086</v>
      </c>
      <c r="H29" s="2893" t="s">
        <v>3075</v>
      </c>
      <c r="I29" s="2893" t="s">
        <v>3100</v>
      </c>
      <c r="J29" s="2893">
        <v>14.84</v>
      </c>
      <c r="K29" s="2893">
        <v>14.84</v>
      </c>
      <c r="L29" s="2893">
        <v>300</v>
      </c>
      <c r="M29" s="2893">
        <v>0</v>
      </c>
      <c r="N29" s="2893" t="s">
        <v>3109</v>
      </c>
      <c r="O29" s="2893" t="s">
        <v>3078</v>
      </c>
    </row>
    <row r="30" spans="1:15" ht="13.5" hidden="1" customHeight="1">
      <c r="A30" s="2893" t="s">
        <v>3084</v>
      </c>
      <c r="B30" s="2893" t="s">
        <v>3072</v>
      </c>
      <c r="C30" s="2893" t="s">
        <v>3085</v>
      </c>
      <c r="D30" s="2893">
        <v>91</v>
      </c>
      <c r="E30" s="2893">
        <v>455</v>
      </c>
      <c r="G30" s="2893" t="s">
        <v>3086</v>
      </c>
      <c r="H30" s="2893" t="s">
        <v>3075</v>
      </c>
      <c r="I30" s="2893" t="s">
        <v>3100</v>
      </c>
      <c r="J30" s="2893">
        <v>13.65</v>
      </c>
      <c r="K30" s="2893">
        <v>13.65</v>
      </c>
      <c r="L30" s="2893">
        <v>300</v>
      </c>
      <c r="M30" s="2893">
        <v>0</v>
      </c>
      <c r="N30" s="2893" t="s">
        <v>3104</v>
      </c>
      <c r="O30" s="2893" t="s">
        <v>3078</v>
      </c>
    </row>
    <row r="31" spans="1:15" ht="13.5" hidden="1" customHeight="1">
      <c r="A31" s="2893" t="s">
        <v>3084</v>
      </c>
      <c r="B31" s="2893" t="s">
        <v>3072</v>
      </c>
      <c r="C31" s="2893" t="s">
        <v>3085</v>
      </c>
      <c r="D31" s="2893">
        <v>99</v>
      </c>
      <c r="E31" s="2893">
        <v>495</v>
      </c>
      <c r="G31" s="2893" t="s">
        <v>3086</v>
      </c>
      <c r="H31" s="2893" t="s">
        <v>3075</v>
      </c>
      <c r="I31" s="2893" t="s">
        <v>3100</v>
      </c>
      <c r="J31" s="2893">
        <v>14.84</v>
      </c>
      <c r="K31" s="2893">
        <v>14.84</v>
      </c>
      <c r="L31" s="2893">
        <v>300</v>
      </c>
      <c r="M31" s="2893">
        <v>0</v>
      </c>
      <c r="N31" s="2893" t="s">
        <v>3110</v>
      </c>
      <c r="O31" s="2893" t="s">
        <v>3078</v>
      </c>
    </row>
    <row r="32" spans="1:15" ht="13.5" hidden="1" customHeight="1">
      <c r="A32" s="2893" t="s">
        <v>3084</v>
      </c>
      <c r="B32" s="2893" t="s">
        <v>3072</v>
      </c>
      <c r="C32" s="2893" t="s">
        <v>3085</v>
      </c>
      <c r="D32" s="2893">
        <v>99</v>
      </c>
      <c r="E32" s="2893">
        <v>495</v>
      </c>
      <c r="G32" s="2893" t="s">
        <v>3086</v>
      </c>
      <c r="H32" s="2893" t="s">
        <v>3075</v>
      </c>
      <c r="I32" s="2893" t="s">
        <v>3100</v>
      </c>
      <c r="J32" s="2893">
        <v>14.84</v>
      </c>
      <c r="K32" s="2893">
        <v>14.84</v>
      </c>
      <c r="L32" s="2893">
        <v>300</v>
      </c>
      <c r="M32" s="2893">
        <v>0</v>
      </c>
      <c r="N32" s="2893" t="s">
        <v>3111</v>
      </c>
      <c r="O32" s="2893" t="s">
        <v>3078</v>
      </c>
    </row>
    <row r="33" spans="1:15" ht="13.5" hidden="1" customHeight="1">
      <c r="A33" s="2893" t="s">
        <v>3084</v>
      </c>
      <c r="B33" s="2893" t="s">
        <v>3072</v>
      </c>
      <c r="C33" s="2893" t="s">
        <v>3085</v>
      </c>
      <c r="D33" s="2893">
        <v>96</v>
      </c>
      <c r="E33" s="2893">
        <v>480</v>
      </c>
      <c r="G33" s="2893" t="s">
        <v>3086</v>
      </c>
      <c r="H33" s="2893" t="s">
        <v>3075</v>
      </c>
      <c r="I33" s="2893" t="s">
        <v>3100</v>
      </c>
      <c r="J33" s="2893">
        <v>14.4</v>
      </c>
      <c r="K33" s="2893">
        <v>14.4</v>
      </c>
      <c r="L33" s="2893">
        <v>300</v>
      </c>
      <c r="M33" s="2893">
        <v>0</v>
      </c>
      <c r="N33" s="2893" t="s">
        <v>3112</v>
      </c>
      <c r="O33" s="2893" t="s">
        <v>3078</v>
      </c>
    </row>
    <row r="34" spans="1:15" ht="13.5" hidden="1" customHeight="1">
      <c r="A34" s="2893" t="s">
        <v>3084</v>
      </c>
      <c r="B34" s="2893" t="s">
        <v>3072</v>
      </c>
      <c r="C34" s="2893" t="s">
        <v>3085</v>
      </c>
      <c r="D34" s="2893">
        <v>129</v>
      </c>
      <c r="E34" s="2893">
        <v>645</v>
      </c>
      <c r="G34" s="2893" t="s">
        <v>3086</v>
      </c>
      <c r="H34" s="2893" t="s">
        <v>3075</v>
      </c>
      <c r="I34" s="2893" t="s">
        <v>3113</v>
      </c>
      <c r="J34" s="2893" t="s">
        <v>2814</v>
      </c>
      <c r="K34" s="2893">
        <v>19.350000000000001</v>
      </c>
      <c r="L34" s="2893">
        <v>300</v>
      </c>
      <c r="M34" s="2893" t="s">
        <v>2814</v>
      </c>
      <c r="N34" s="2893" t="s">
        <v>3114</v>
      </c>
      <c r="O34" s="2893" t="s">
        <v>3078</v>
      </c>
    </row>
    <row r="35" spans="1:15" ht="13.5" hidden="1" customHeight="1">
      <c r="A35" s="2893" t="s">
        <v>3084</v>
      </c>
      <c r="B35" s="2893" t="s">
        <v>3072</v>
      </c>
      <c r="C35" s="2893" t="s">
        <v>3085</v>
      </c>
      <c r="D35" s="2893">
        <v>93</v>
      </c>
      <c r="E35" s="2893">
        <v>465</v>
      </c>
      <c r="G35" s="2893" t="s">
        <v>3086</v>
      </c>
      <c r="H35" s="2893" t="s">
        <v>3075</v>
      </c>
      <c r="I35" s="2893" t="s">
        <v>3113</v>
      </c>
      <c r="J35" s="2893" t="s">
        <v>2814</v>
      </c>
      <c r="K35" s="2893">
        <v>13.94</v>
      </c>
      <c r="L35" s="2893">
        <v>300</v>
      </c>
      <c r="M35" s="2893" t="s">
        <v>2814</v>
      </c>
      <c r="N35" s="2893" t="s">
        <v>3115</v>
      </c>
      <c r="O35" s="2893" t="s">
        <v>3078</v>
      </c>
    </row>
    <row r="36" spans="1:15" ht="13.5" hidden="1" customHeight="1">
      <c r="A36" s="2893" t="s">
        <v>3084</v>
      </c>
      <c r="B36" s="2893" t="s">
        <v>3072</v>
      </c>
      <c r="C36" s="2893" t="s">
        <v>3085</v>
      </c>
      <c r="D36" s="2893">
        <v>102</v>
      </c>
      <c r="E36" s="2893">
        <v>510</v>
      </c>
      <c r="G36" s="2893" t="s">
        <v>3086</v>
      </c>
      <c r="H36" s="2893" t="s">
        <v>3075</v>
      </c>
      <c r="I36" s="2893" t="s">
        <v>3113</v>
      </c>
      <c r="J36" s="2893" t="s">
        <v>2814</v>
      </c>
      <c r="K36" s="2893">
        <v>15.3</v>
      </c>
      <c r="L36" s="2893">
        <v>300</v>
      </c>
      <c r="M36" s="2893" t="s">
        <v>2814</v>
      </c>
      <c r="N36" s="2893" t="s">
        <v>3116</v>
      </c>
      <c r="O36" s="2893" t="s">
        <v>3078</v>
      </c>
    </row>
    <row r="37" spans="1:15" ht="13.5" hidden="1" customHeight="1">
      <c r="A37" s="2893" t="s">
        <v>3084</v>
      </c>
      <c r="B37" s="2893" t="s">
        <v>3072</v>
      </c>
      <c r="C37" s="2893" t="s">
        <v>3085</v>
      </c>
      <c r="D37" s="2893">
        <v>102</v>
      </c>
      <c r="E37" s="2893">
        <v>510</v>
      </c>
      <c r="G37" s="2893" t="s">
        <v>3086</v>
      </c>
      <c r="H37" s="2893" t="s">
        <v>3075</v>
      </c>
      <c r="I37" s="2893" t="s">
        <v>3113</v>
      </c>
      <c r="J37" s="2893" t="s">
        <v>2814</v>
      </c>
      <c r="K37" s="2893">
        <v>15.3</v>
      </c>
      <c r="L37" s="2893">
        <v>300</v>
      </c>
      <c r="M37" s="2893" t="s">
        <v>2814</v>
      </c>
      <c r="N37" s="2893" t="s">
        <v>3116</v>
      </c>
      <c r="O37" s="2893" t="s">
        <v>3078</v>
      </c>
    </row>
    <row r="38" spans="1:15" ht="13.5" hidden="1" customHeight="1">
      <c r="A38" s="2893" t="s">
        <v>3084</v>
      </c>
      <c r="B38" s="2893" t="s">
        <v>3072</v>
      </c>
      <c r="C38" s="2893" t="s">
        <v>3085</v>
      </c>
      <c r="D38" s="2893">
        <v>95</v>
      </c>
      <c r="E38" s="2893">
        <v>475</v>
      </c>
      <c r="G38" s="2893" t="s">
        <v>3086</v>
      </c>
      <c r="H38" s="2893" t="s">
        <v>3075</v>
      </c>
      <c r="I38" s="2893" t="s">
        <v>3113</v>
      </c>
      <c r="J38" s="2893" t="s">
        <v>2814</v>
      </c>
      <c r="K38" s="2893">
        <v>14.25</v>
      </c>
      <c r="L38" s="2893">
        <v>300</v>
      </c>
      <c r="M38" s="2893" t="s">
        <v>2814</v>
      </c>
      <c r="N38" s="2893" t="s">
        <v>3117</v>
      </c>
      <c r="O38" s="2893" t="s">
        <v>3078</v>
      </c>
    </row>
    <row r="39" spans="1:15" ht="13.5" hidden="1" customHeight="1">
      <c r="A39" s="2893" t="s">
        <v>3084</v>
      </c>
      <c r="B39" s="2893" t="s">
        <v>3072</v>
      </c>
      <c r="C39" s="2893" t="s">
        <v>3085</v>
      </c>
      <c r="D39" s="2893">
        <v>96</v>
      </c>
      <c r="E39" s="2893">
        <v>480</v>
      </c>
      <c r="G39" s="2893" t="s">
        <v>3086</v>
      </c>
      <c r="H39" s="2893" t="s">
        <v>3075</v>
      </c>
      <c r="I39" s="2893" t="s">
        <v>3113</v>
      </c>
      <c r="J39" s="2893" t="s">
        <v>2814</v>
      </c>
      <c r="K39" s="2893">
        <v>14.4</v>
      </c>
      <c r="L39" s="2893">
        <v>300</v>
      </c>
      <c r="M39" s="2893" t="s">
        <v>2814</v>
      </c>
      <c r="N39" s="2893" t="s">
        <v>3118</v>
      </c>
      <c r="O39" s="2893" t="s">
        <v>3078</v>
      </c>
    </row>
    <row r="40" spans="1:15" ht="13.5" hidden="1" customHeight="1">
      <c r="A40" s="2893" t="s">
        <v>3084</v>
      </c>
      <c r="B40" s="2893" t="s">
        <v>3072</v>
      </c>
      <c r="C40" s="2893" t="s">
        <v>3085</v>
      </c>
      <c r="D40" s="2893">
        <v>99</v>
      </c>
      <c r="E40" s="2893">
        <v>495</v>
      </c>
      <c r="G40" s="2893" t="s">
        <v>3086</v>
      </c>
      <c r="H40" s="2893" t="s">
        <v>3075</v>
      </c>
      <c r="I40" s="2893" t="s">
        <v>3113</v>
      </c>
      <c r="J40" s="2893" t="s">
        <v>2814</v>
      </c>
      <c r="K40" s="2893">
        <v>14.84</v>
      </c>
      <c r="L40" s="2893">
        <v>300</v>
      </c>
      <c r="M40" s="2893" t="s">
        <v>2814</v>
      </c>
      <c r="N40" s="2893" t="s">
        <v>3119</v>
      </c>
      <c r="O40" s="2893" t="s">
        <v>3078</v>
      </c>
    </row>
    <row r="41" spans="1:15" ht="13.5" hidden="1" customHeight="1">
      <c r="A41" s="2893" t="s">
        <v>3084</v>
      </c>
      <c r="B41" s="2893" t="s">
        <v>3072</v>
      </c>
      <c r="C41" s="2893" t="s">
        <v>3085</v>
      </c>
      <c r="D41" s="2893">
        <v>131</v>
      </c>
      <c r="E41" s="2893">
        <v>655</v>
      </c>
      <c r="G41" s="2893" t="s">
        <v>3086</v>
      </c>
      <c r="H41" s="2893" t="s">
        <v>3075</v>
      </c>
      <c r="I41" s="2893" t="s">
        <v>3113</v>
      </c>
      <c r="J41" s="2893" t="s">
        <v>2814</v>
      </c>
      <c r="K41" s="2893">
        <v>19.64</v>
      </c>
      <c r="L41" s="2893">
        <v>300</v>
      </c>
      <c r="M41" s="2893" t="s">
        <v>2814</v>
      </c>
      <c r="N41" s="2893" t="s">
        <v>3120</v>
      </c>
      <c r="O41" s="2893" t="s">
        <v>3078</v>
      </c>
    </row>
    <row r="42" spans="1:15" ht="13.5" hidden="1" customHeight="1">
      <c r="A42" s="2893" t="s">
        <v>3084</v>
      </c>
      <c r="B42" s="2893" t="s">
        <v>3072</v>
      </c>
      <c r="C42" s="2893" t="s">
        <v>3085</v>
      </c>
      <c r="D42" s="2893">
        <v>100</v>
      </c>
      <c r="E42" s="2893">
        <v>500</v>
      </c>
      <c r="G42" s="2893" t="s">
        <v>3086</v>
      </c>
      <c r="H42" s="2893" t="s">
        <v>3075</v>
      </c>
      <c r="I42" s="2893" t="s">
        <v>3113</v>
      </c>
      <c r="J42" s="2893" t="s">
        <v>2814</v>
      </c>
      <c r="K42" s="2893">
        <v>15</v>
      </c>
      <c r="L42" s="2893">
        <v>300</v>
      </c>
      <c r="M42" s="2893" t="s">
        <v>2814</v>
      </c>
      <c r="N42" s="2893" t="s">
        <v>3121</v>
      </c>
      <c r="O42" s="2893" t="s">
        <v>3078</v>
      </c>
    </row>
    <row r="43" spans="1:15" ht="13.5" hidden="1" customHeight="1">
      <c r="A43" s="2893" t="s">
        <v>3084</v>
      </c>
      <c r="B43" s="2893" t="s">
        <v>3072</v>
      </c>
      <c r="C43" s="2893" t="s">
        <v>3085</v>
      </c>
      <c r="D43" s="2893">
        <v>98</v>
      </c>
      <c r="E43" s="2893">
        <v>490</v>
      </c>
      <c r="G43" s="2893" t="s">
        <v>3086</v>
      </c>
      <c r="H43" s="2893" t="s">
        <v>3075</v>
      </c>
      <c r="I43" s="2893" t="s">
        <v>3113</v>
      </c>
      <c r="J43" s="2893" t="s">
        <v>2814</v>
      </c>
      <c r="K43" s="2893">
        <v>14.69</v>
      </c>
      <c r="L43" s="2893">
        <v>300</v>
      </c>
      <c r="M43" s="2893" t="s">
        <v>2814</v>
      </c>
      <c r="N43" s="2893" t="s">
        <v>3122</v>
      </c>
      <c r="O43" s="2893" t="s">
        <v>3078</v>
      </c>
    </row>
    <row r="44" spans="1:15" ht="13.5" hidden="1" customHeight="1">
      <c r="A44" s="2893" t="s">
        <v>3123</v>
      </c>
      <c r="B44" s="2893" t="s">
        <v>3072</v>
      </c>
      <c r="C44" s="2893" t="s">
        <v>3073</v>
      </c>
      <c r="D44" s="2893">
        <v>6667</v>
      </c>
      <c r="E44" s="2893">
        <v>3733.52</v>
      </c>
      <c r="G44" s="2893" t="s">
        <v>3124</v>
      </c>
      <c r="H44" s="2893" t="s">
        <v>3075</v>
      </c>
      <c r="I44" s="2893" t="s">
        <v>3125</v>
      </c>
      <c r="J44" s="2893" t="s">
        <v>2814</v>
      </c>
      <c r="K44" s="2893">
        <v>1035.04</v>
      </c>
      <c r="L44" s="2893">
        <v>2772.32</v>
      </c>
      <c r="M44" s="2893" t="s">
        <v>2814</v>
      </c>
      <c r="N44" s="2893" t="s">
        <v>3126</v>
      </c>
      <c r="O44" s="2893" t="s">
        <v>3078</v>
      </c>
    </row>
    <row r="45" spans="1:15" ht="13.5" hidden="1" customHeight="1">
      <c r="A45" s="2893" t="s">
        <v>3127</v>
      </c>
      <c r="B45" s="2893" t="s">
        <v>3072</v>
      </c>
      <c r="C45" s="2893" t="s">
        <v>3073</v>
      </c>
      <c r="D45" s="2893">
        <v>5370</v>
      </c>
      <c r="E45" s="2893">
        <v>2685</v>
      </c>
      <c r="G45" s="2893" t="s">
        <v>3128</v>
      </c>
      <c r="H45" s="2893" t="s">
        <v>3075</v>
      </c>
      <c r="I45" s="2893" t="s">
        <v>3129</v>
      </c>
      <c r="J45" s="2893">
        <v>42.79</v>
      </c>
      <c r="K45" s="2893">
        <v>344.75</v>
      </c>
      <c r="L45" s="2893">
        <v>1283.99</v>
      </c>
      <c r="M45" s="2893">
        <v>705.49</v>
      </c>
      <c r="N45" s="2893" t="s">
        <v>3130</v>
      </c>
      <c r="O45" s="2893" t="s">
        <v>3078</v>
      </c>
    </row>
    <row r="46" spans="1:15" ht="13.5" hidden="1" customHeight="1">
      <c r="A46" s="2893" t="s">
        <v>3107</v>
      </c>
      <c r="B46" s="2893" t="s">
        <v>3072</v>
      </c>
      <c r="C46" s="2893" t="s">
        <v>3085</v>
      </c>
      <c r="D46" s="2893">
        <v>133</v>
      </c>
      <c r="E46" s="2893">
        <v>665</v>
      </c>
      <c r="G46" s="2893" t="s">
        <v>3086</v>
      </c>
      <c r="H46" s="2893" t="s">
        <v>3075</v>
      </c>
      <c r="I46" s="2893" t="s">
        <v>3131</v>
      </c>
      <c r="J46" s="2893" t="s">
        <v>2814</v>
      </c>
      <c r="K46" s="2893">
        <v>19.940000000000001</v>
      </c>
      <c r="L46" s="2893">
        <v>300</v>
      </c>
      <c r="M46" s="2893" t="s">
        <v>2814</v>
      </c>
      <c r="N46" s="2893" t="s">
        <v>3132</v>
      </c>
      <c r="O46" s="2893" t="s">
        <v>3078</v>
      </c>
    </row>
    <row r="47" spans="1:15" ht="13.5" hidden="1" customHeight="1">
      <c r="A47" s="2893" t="s">
        <v>3107</v>
      </c>
      <c r="B47" s="2893" t="s">
        <v>3072</v>
      </c>
      <c r="C47" s="2893" t="s">
        <v>3085</v>
      </c>
      <c r="D47" s="2893">
        <v>133</v>
      </c>
      <c r="E47" s="2893">
        <v>665</v>
      </c>
      <c r="G47" s="2893" t="s">
        <v>3086</v>
      </c>
      <c r="H47" s="2893" t="s">
        <v>3075</v>
      </c>
      <c r="I47" s="2893" t="s">
        <v>3131</v>
      </c>
      <c r="J47" s="2893" t="s">
        <v>2814</v>
      </c>
      <c r="K47" s="2893">
        <v>19.940000000000001</v>
      </c>
      <c r="L47" s="2893">
        <v>300</v>
      </c>
      <c r="M47" s="2893" t="s">
        <v>2814</v>
      </c>
      <c r="N47" s="2893" t="s">
        <v>3133</v>
      </c>
      <c r="O47" s="2893" t="s">
        <v>3078</v>
      </c>
    </row>
    <row r="48" spans="1:15" ht="13.5" hidden="1" customHeight="1">
      <c r="A48" s="2893" t="s">
        <v>3107</v>
      </c>
      <c r="B48" s="2893" t="s">
        <v>3072</v>
      </c>
      <c r="C48" s="2893" t="s">
        <v>3085</v>
      </c>
      <c r="D48" s="2893">
        <v>133</v>
      </c>
      <c r="E48" s="2893">
        <v>665</v>
      </c>
      <c r="G48" s="2893" t="s">
        <v>3086</v>
      </c>
      <c r="H48" s="2893" t="s">
        <v>3075</v>
      </c>
      <c r="I48" s="2893" t="s">
        <v>3131</v>
      </c>
      <c r="J48" s="2893" t="s">
        <v>2814</v>
      </c>
      <c r="K48" s="2893">
        <v>19.940000000000001</v>
      </c>
      <c r="L48" s="2893">
        <v>300</v>
      </c>
      <c r="M48" s="2893" t="s">
        <v>2814</v>
      </c>
      <c r="N48" s="2893" t="s">
        <v>3134</v>
      </c>
      <c r="O48" s="2893" t="s">
        <v>3078</v>
      </c>
    </row>
    <row r="49" spans="1:15" ht="13.5" hidden="1" customHeight="1">
      <c r="A49" s="2893" t="s">
        <v>3107</v>
      </c>
      <c r="B49" s="2893" t="s">
        <v>3072</v>
      </c>
      <c r="C49" s="2893" t="s">
        <v>3085</v>
      </c>
      <c r="D49" s="2893">
        <v>138</v>
      </c>
      <c r="E49" s="2893">
        <v>690</v>
      </c>
      <c r="G49" s="2893" t="s">
        <v>3086</v>
      </c>
      <c r="H49" s="2893" t="s">
        <v>3075</v>
      </c>
      <c r="I49" s="2893" t="s">
        <v>3131</v>
      </c>
      <c r="J49" s="2893" t="s">
        <v>2814</v>
      </c>
      <c r="K49" s="2893">
        <v>20.69</v>
      </c>
      <c r="L49" s="2893">
        <v>300</v>
      </c>
      <c r="M49" s="2893" t="s">
        <v>2814</v>
      </c>
      <c r="N49" s="2893" t="s">
        <v>3135</v>
      </c>
      <c r="O49" s="2893" t="s">
        <v>3078</v>
      </c>
    </row>
    <row r="50" spans="1:15" ht="13.5" hidden="1" customHeight="1">
      <c r="A50" s="2893" t="s">
        <v>3107</v>
      </c>
      <c r="B50" s="2893" t="s">
        <v>3072</v>
      </c>
      <c r="C50" s="2893" t="s">
        <v>3085</v>
      </c>
      <c r="D50" s="2893">
        <v>141</v>
      </c>
      <c r="E50" s="2893">
        <v>705</v>
      </c>
      <c r="G50" s="2893" t="s">
        <v>3086</v>
      </c>
      <c r="H50" s="2893" t="s">
        <v>3075</v>
      </c>
      <c r="I50" s="2893" t="s">
        <v>3131</v>
      </c>
      <c r="J50" s="2893" t="s">
        <v>2814</v>
      </c>
      <c r="K50" s="2893">
        <v>21.14</v>
      </c>
      <c r="L50" s="2893">
        <v>300</v>
      </c>
      <c r="M50" s="2893" t="s">
        <v>2814</v>
      </c>
      <c r="N50" s="2893" t="s">
        <v>3136</v>
      </c>
      <c r="O50" s="2893" t="s">
        <v>3078</v>
      </c>
    </row>
    <row r="51" spans="1:15" ht="13.5" hidden="1" customHeight="1">
      <c r="A51" s="2893" t="s">
        <v>3107</v>
      </c>
      <c r="B51" s="2893" t="s">
        <v>3072</v>
      </c>
      <c r="C51" s="2893" t="s">
        <v>3085</v>
      </c>
      <c r="D51" s="2893">
        <v>106</v>
      </c>
      <c r="E51" s="2893">
        <v>530</v>
      </c>
      <c r="G51" s="2893" t="s">
        <v>3086</v>
      </c>
      <c r="H51" s="2893" t="s">
        <v>3075</v>
      </c>
      <c r="I51" s="2893" t="s">
        <v>3131</v>
      </c>
      <c r="J51" s="2893" t="s">
        <v>2814</v>
      </c>
      <c r="K51" s="2893">
        <v>15.9</v>
      </c>
      <c r="L51" s="2893">
        <v>300</v>
      </c>
      <c r="M51" s="2893" t="s">
        <v>2814</v>
      </c>
      <c r="N51" s="2893" t="s">
        <v>3137</v>
      </c>
      <c r="O51" s="2893" t="s">
        <v>3078</v>
      </c>
    </row>
    <row r="52" spans="1:15" ht="13.5" hidden="1" customHeight="1">
      <c r="A52" s="2893" t="s">
        <v>3107</v>
      </c>
      <c r="B52" s="2893" t="s">
        <v>3072</v>
      </c>
      <c r="C52" s="2893" t="s">
        <v>3085</v>
      </c>
      <c r="D52" s="2893">
        <v>132</v>
      </c>
      <c r="E52" s="2893">
        <v>660</v>
      </c>
      <c r="G52" s="2893" t="s">
        <v>3086</v>
      </c>
      <c r="H52" s="2893" t="s">
        <v>3075</v>
      </c>
      <c r="I52" s="2893" t="s">
        <v>3131</v>
      </c>
      <c r="J52" s="2893" t="s">
        <v>2814</v>
      </c>
      <c r="K52" s="2893">
        <v>19.8</v>
      </c>
      <c r="L52" s="2893">
        <v>300</v>
      </c>
      <c r="M52" s="2893" t="s">
        <v>2814</v>
      </c>
      <c r="N52" s="2893" t="s">
        <v>3138</v>
      </c>
      <c r="O52" s="2893" t="s">
        <v>3078</v>
      </c>
    </row>
    <row r="53" spans="1:15" ht="13.5" hidden="1" customHeight="1">
      <c r="A53" s="2893" t="s">
        <v>3107</v>
      </c>
      <c r="B53" s="2893" t="s">
        <v>3072</v>
      </c>
      <c r="C53" s="2893" t="s">
        <v>3085</v>
      </c>
      <c r="D53" s="2893">
        <v>237</v>
      </c>
      <c r="E53" s="2893">
        <v>1185</v>
      </c>
      <c r="G53" s="2893" t="s">
        <v>3086</v>
      </c>
      <c r="H53" s="2893" t="s">
        <v>3075</v>
      </c>
      <c r="I53" s="2893" t="s">
        <v>3131</v>
      </c>
      <c r="J53" s="2893" t="s">
        <v>2814</v>
      </c>
      <c r="K53" s="2893">
        <v>35.54</v>
      </c>
      <c r="L53" s="2893">
        <v>300</v>
      </c>
      <c r="M53" s="2893" t="s">
        <v>2814</v>
      </c>
      <c r="N53" s="2893" t="s">
        <v>3139</v>
      </c>
      <c r="O53" s="2893" t="s">
        <v>3078</v>
      </c>
    </row>
    <row r="54" spans="1:15" ht="13.5" hidden="1" customHeight="1">
      <c r="A54" s="2893" t="s">
        <v>3107</v>
      </c>
      <c r="B54" s="2893" t="s">
        <v>3072</v>
      </c>
      <c r="C54" s="2893" t="s">
        <v>3085</v>
      </c>
      <c r="D54" s="2893">
        <v>135</v>
      </c>
      <c r="E54" s="2893">
        <v>675</v>
      </c>
      <c r="G54" s="2893" t="s">
        <v>3086</v>
      </c>
      <c r="H54" s="2893" t="s">
        <v>3075</v>
      </c>
      <c r="I54" s="2893" t="s">
        <v>3131</v>
      </c>
      <c r="J54" s="2893" t="s">
        <v>2814</v>
      </c>
      <c r="K54" s="2893">
        <v>20.25</v>
      </c>
      <c r="L54" s="2893">
        <v>300</v>
      </c>
      <c r="M54" s="2893" t="s">
        <v>2814</v>
      </c>
      <c r="N54" s="2893" t="s">
        <v>3140</v>
      </c>
      <c r="O54" s="2893" t="s">
        <v>3078</v>
      </c>
    </row>
    <row r="55" spans="1:15" ht="13.5" hidden="1" customHeight="1">
      <c r="A55" s="2893" t="s">
        <v>3107</v>
      </c>
      <c r="B55" s="2893" t="s">
        <v>3072</v>
      </c>
      <c r="C55" s="2893" t="s">
        <v>3085</v>
      </c>
      <c r="D55" s="2893">
        <v>134</v>
      </c>
      <c r="E55" s="2893">
        <v>670</v>
      </c>
      <c r="G55" s="2893" t="s">
        <v>3086</v>
      </c>
      <c r="H55" s="2893" t="s">
        <v>3075</v>
      </c>
      <c r="I55" s="2893" t="s">
        <v>3131</v>
      </c>
      <c r="J55" s="2893" t="s">
        <v>2814</v>
      </c>
      <c r="K55" s="2893">
        <v>20.100000000000001</v>
      </c>
      <c r="L55" s="2893">
        <v>300</v>
      </c>
      <c r="M55" s="2893" t="s">
        <v>2814</v>
      </c>
      <c r="N55" s="2893" t="s">
        <v>3141</v>
      </c>
      <c r="O55" s="2893" t="s">
        <v>3078</v>
      </c>
    </row>
    <row r="56" spans="1:15" ht="13.5" hidden="1" customHeight="1">
      <c r="A56" s="2893" t="s">
        <v>3107</v>
      </c>
      <c r="B56" s="2893" t="s">
        <v>3072</v>
      </c>
      <c r="C56" s="2893" t="s">
        <v>3085</v>
      </c>
      <c r="D56" s="2893">
        <v>129</v>
      </c>
      <c r="E56" s="2893">
        <v>645</v>
      </c>
      <c r="G56" s="2893" t="s">
        <v>3086</v>
      </c>
      <c r="H56" s="2893" t="s">
        <v>3075</v>
      </c>
      <c r="I56" s="2893" t="s">
        <v>3131</v>
      </c>
      <c r="J56" s="2893" t="s">
        <v>2814</v>
      </c>
      <c r="K56" s="2893">
        <v>19.350000000000001</v>
      </c>
      <c r="L56" s="2893">
        <v>300</v>
      </c>
      <c r="M56" s="2893" t="s">
        <v>2814</v>
      </c>
      <c r="N56" s="2893" t="s">
        <v>3142</v>
      </c>
      <c r="O56" s="2893" t="s">
        <v>3078</v>
      </c>
    </row>
    <row r="57" spans="1:15" ht="13.5" hidden="1" customHeight="1">
      <c r="A57" s="2893" t="s">
        <v>3107</v>
      </c>
      <c r="B57" s="2893" t="s">
        <v>3072</v>
      </c>
      <c r="C57" s="2893" t="s">
        <v>3085</v>
      </c>
      <c r="D57" s="2893">
        <v>113</v>
      </c>
      <c r="E57" s="2893">
        <v>565</v>
      </c>
      <c r="G57" s="2893" t="s">
        <v>3086</v>
      </c>
      <c r="H57" s="2893" t="s">
        <v>3075</v>
      </c>
      <c r="I57" s="2893" t="s">
        <v>3143</v>
      </c>
      <c r="J57" s="2893" t="s">
        <v>2814</v>
      </c>
      <c r="K57" s="2893">
        <v>16.940000000000001</v>
      </c>
      <c r="L57" s="2893">
        <v>300</v>
      </c>
      <c r="M57" s="2893" t="s">
        <v>2814</v>
      </c>
      <c r="N57" s="2893" t="s">
        <v>3144</v>
      </c>
      <c r="O57" s="2893" t="s">
        <v>3078</v>
      </c>
    </row>
    <row r="58" spans="1:15" ht="13.5" hidden="1" customHeight="1">
      <c r="A58" s="2893" t="s">
        <v>3107</v>
      </c>
      <c r="B58" s="2893" t="s">
        <v>3072</v>
      </c>
      <c r="C58" s="2893" t="s">
        <v>3085</v>
      </c>
      <c r="D58" s="2893">
        <v>115</v>
      </c>
      <c r="E58" s="2893">
        <v>575</v>
      </c>
      <c r="G58" s="2893" t="s">
        <v>3086</v>
      </c>
      <c r="H58" s="2893" t="s">
        <v>3075</v>
      </c>
      <c r="I58" s="2893" t="s">
        <v>3143</v>
      </c>
      <c r="J58" s="2893" t="s">
        <v>2814</v>
      </c>
      <c r="K58" s="2893">
        <v>17.25</v>
      </c>
      <c r="L58" s="2893">
        <v>300</v>
      </c>
      <c r="M58" s="2893" t="s">
        <v>2814</v>
      </c>
      <c r="N58" s="2893" t="s">
        <v>3145</v>
      </c>
      <c r="O58" s="2893" t="s">
        <v>3078</v>
      </c>
    </row>
    <row r="59" spans="1:15" ht="13.5" hidden="1" customHeight="1">
      <c r="A59" s="2893" t="s">
        <v>3107</v>
      </c>
      <c r="B59" s="2893" t="s">
        <v>3072</v>
      </c>
      <c r="C59" s="2893" t="s">
        <v>3085</v>
      </c>
      <c r="D59" s="2893">
        <v>127</v>
      </c>
      <c r="E59" s="2893">
        <v>635</v>
      </c>
      <c r="G59" s="2893" t="s">
        <v>3086</v>
      </c>
      <c r="H59" s="2893" t="s">
        <v>3075</v>
      </c>
      <c r="I59" s="2893" t="s">
        <v>3143</v>
      </c>
      <c r="J59" s="2893" t="s">
        <v>2814</v>
      </c>
      <c r="K59" s="2893">
        <v>19.05</v>
      </c>
      <c r="L59" s="2893">
        <v>300</v>
      </c>
      <c r="M59" s="2893" t="s">
        <v>2814</v>
      </c>
      <c r="N59" s="2893" t="s">
        <v>3146</v>
      </c>
      <c r="O59" s="2893" t="s">
        <v>3078</v>
      </c>
    </row>
    <row r="60" spans="1:15" ht="13.5" hidden="1" customHeight="1">
      <c r="A60" s="2893" t="s">
        <v>3107</v>
      </c>
      <c r="B60" s="2893" t="s">
        <v>3072</v>
      </c>
      <c r="C60" s="2893" t="s">
        <v>3085</v>
      </c>
      <c r="D60" s="2893">
        <v>114</v>
      </c>
      <c r="E60" s="2893">
        <v>570</v>
      </c>
      <c r="G60" s="2893" t="s">
        <v>3086</v>
      </c>
      <c r="H60" s="2893" t="s">
        <v>3075</v>
      </c>
      <c r="I60" s="2893" t="s">
        <v>3143</v>
      </c>
      <c r="J60" s="2893" t="s">
        <v>2814</v>
      </c>
      <c r="K60" s="2893">
        <v>17.100000000000001</v>
      </c>
      <c r="L60" s="2893">
        <v>300</v>
      </c>
      <c r="M60" s="2893" t="s">
        <v>2814</v>
      </c>
      <c r="N60" s="2893" t="s">
        <v>3147</v>
      </c>
      <c r="O60" s="2893" t="s">
        <v>3078</v>
      </c>
    </row>
    <row r="61" spans="1:15" ht="13.5" hidden="1" customHeight="1">
      <c r="A61" s="2893" t="s">
        <v>3107</v>
      </c>
      <c r="B61" s="2893" t="s">
        <v>3072</v>
      </c>
      <c r="C61" s="2893" t="s">
        <v>3085</v>
      </c>
      <c r="D61" s="2893">
        <v>131</v>
      </c>
      <c r="E61" s="2893">
        <v>655</v>
      </c>
      <c r="G61" s="2893" t="s">
        <v>3086</v>
      </c>
      <c r="H61" s="2893" t="s">
        <v>3075</v>
      </c>
      <c r="I61" s="2893" t="s">
        <v>3143</v>
      </c>
      <c r="J61" s="2893" t="s">
        <v>2814</v>
      </c>
      <c r="K61" s="2893">
        <v>19.64</v>
      </c>
      <c r="L61" s="2893">
        <v>300</v>
      </c>
      <c r="M61" s="2893" t="s">
        <v>2814</v>
      </c>
      <c r="N61" s="2893" t="s">
        <v>3148</v>
      </c>
      <c r="O61" s="2893" t="s">
        <v>3078</v>
      </c>
    </row>
    <row r="62" spans="1:15" ht="13.5" hidden="1" customHeight="1">
      <c r="A62" s="2893" t="s">
        <v>3107</v>
      </c>
      <c r="B62" s="2893" t="s">
        <v>3072</v>
      </c>
      <c r="C62" s="2893" t="s">
        <v>3085</v>
      </c>
      <c r="D62" s="2893">
        <v>133</v>
      </c>
      <c r="E62" s="2893">
        <v>665</v>
      </c>
      <c r="G62" s="2893" t="s">
        <v>3086</v>
      </c>
      <c r="H62" s="2893" t="s">
        <v>3075</v>
      </c>
      <c r="I62" s="2893" t="s">
        <v>3143</v>
      </c>
      <c r="J62" s="2893" t="s">
        <v>2814</v>
      </c>
      <c r="K62" s="2893">
        <v>19.940000000000001</v>
      </c>
      <c r="L62" s="2893">
        <v>300</v>
      </c>
      <c r="M62" s="2893" t="s">
        <v>2814</v>
      </c>
      <c r="N62" s="2893" t="s">
        <v>3149</v>
      </c>
      <c r="O62" s="2893" t="s">
        <v>3078</v>
      </c>
    </row>
    <row r="63" spans="1:15" ht="13.5" hidden="1" customHeight="1">
      <c r="A63" s="2893" t="s">
        <v>3107</v>
      </c>
      <c r="B63" s="2893" t="s">
        <v>3072</v>
      </c>
      <c r="C63" s="2893" t="s">
        <v>3085</v>
      </c>
      <c r="D63" s="2893">
        <v>127</v>
      </c>
      <c r="E63" s="2893">
        <v>635</v>
      </c>
      <c r="G63" s="2893" t="s">
        <v>3086</v>
      </c>
      <c r="H63" s="2893" t="s">
        <v>3075</v>
      </c>
      <c r="I63" s="2893" t="s">
        <v>3143</v>
      </c>
      <c r="J63" s="2893" t="s">
        <v>2814</v>
      </c>
      <c r="K63" s="2893">
        <v>19.05</v>
      </c>
      <c r="L63" s="2893">
        <v>300</v>
      </c>
      <c r="M63" s="2893" t="s">
        <v>2814</v>
      </c>
      <c r="N63" s="2893" t="s">
        <v>3150</v>
      </c>
      <c r="O63" s="2893" t="s">
        <v>3078</v>
      </c>
    </row>
    <row r="64" spans="1:15" ht="13.5" hidden="1" customHeight="1">
      <c r="A64" s="2893" t="s">
        <v>3107</v>
      </c>
      <c r="B64" s="2893" t="s">
        <v>3072</v>
      </c>
      <c r="C64" s="2893" t="s">
        <v>3085</v>
      </c>
      <c r="D64" s="2893">
        <v>257</v>
      </c>
      <c r="E64" s="2893">
        <v>1285</v>
      </c>
      <c r="G64" s="2893" t="s">
        <v>3086</v>
      </c>
      <c r="H64" s="2893" t="s">
        <v>3075</v>
      </c>
      <c r="I64" s="2893" t="s">
        <v>3143</v>
      </c>
      <c r="J64" s="2893" t="s">
        <v>2814</v>
      </c>
      <c r="K64" s="2893">
        <v>38.54</v>
      </c>
      <c r="L64" s="2893">
        <v>300</v>
      </c>
      <c r="M64" s="2893" t="s">
        <v>2814</v>
      </c>
      <c r="N64" s="2893" t="s">
        <v>3151</v>
      </c>
      <c r="O64" s="2893" t="s">
        <v>3078</v>
      </c>
    </row>
    <row r="65" spans="1:15" ht="13.5" hidden="1" customHeight="1">
      <c r="A65" s="2893" t="s">
        <v>3107</v>
      </c>
      <c r="B65" s="2893" t="s">
        <v>3072</v>
      </c>
      <c r="C65" s="2893" t="s">
        <v>3085</v>
      </c>
      <c r="D65" s="2893">
        <v>116</v>
      </c>
      <c r="E65" s="2893">
        <v>580</v>
      </c>
      <c r="G65" s="2893" t="s">
        <v>3086</v>
      </c>
      <c r="H65" s="2893" t="s">
        <v>3075</v>
      </c>
      <c r="I65" s="2893" t="s">
        <v>3143</v>
      </c>
      <c r="J65" s="2893" t="s">
        <v>2814</v>
      </c>
      <c r="K65" s="2893">
        <v>17.39</v>
      </c>
      <c r="L65" s="2893">
        <v>300</v>
      </c>
      <c r="M65" s="2893" t="s">
        <v>2814</v>
      </c>
      <c r="N65" s="2893" t="s">
        <v>3152</v>
      </c>
      <c r="O65" s="2893" t="s">
        <v>3078</v>
      </c>
    </row>
    <row r="66" spans="1:15" ht="13.5" hidden="1" customHeight="1">
      <c r="A66" s="2893" t="s">
        <v>3107</v>
      </c>
      <c r="B66" s="2893" t="s">
        <v>3072</v>
      </c>
      <c r="C66" s="2893" t="s">
        <v>3085</v>
      </c>
      <c r="D66" s="2893">
        <v>113</v>
      </c>
      <c r="E66" s="2893">
        <v>565</v>
      </c>
      <c r="G66" s="2893" t="s">
        <v>3086</v>
      </c>
      <c r="H66" s="2893" t="s">
        <v>3075</v>
      </c>
      <c r="I66" s="2893" t="s">
        <v>3143</v>
      </c>
      <c r="J66" s="2893" t="s">
        <v>2814</v>
      </c>
      <c r="K66" s="2893">
        <v>16.940000000000001</v>
      </c>
      <c r="L66" s="2893">
        <v>300</v>
      </c>
      <c r="M66" s="2893" t="s">
        <v>2814</v>
      </c>
      <c r="N66" s="2893" t="s">
        <v>3153</v>
      </c>
      <c r="O66" s="2893" t="s">
        <v>3078</v>
      </c>
    </row>
    <row r="67" spans="1:15" ht="13.5" hidden="1" customHeight="1">
      <c r="A67" s="2893" t="s">
        <v>3107</v>
      </c>
      <c r="B67" s="2893" t="s">
        <v>3072</v>
      </c>
      <c r="C67" s="2893" t="s">
        <v>3085</v>
      </c>
      <c r="D67" s="2893">
        <v>113</v>
      </c>
      <c r="E67" s="2893">
        <v>565</v>
      </c>
      <c r="G67" s="2893" t="s">
        <v>3086</v>
      </c>
      <c r="H67" s="2893" t="s">
        <v>3075</v>
      </c>
      <c r="I67" s="2893" t="s">
        <v>3143</v>
      </c>
      <c r="J67" s="2893" t="s">
        <v>2814</v>
      </c>
      <c r="K67" s="2893">
        <v>16.940000000000001</v>
      </c>
      <c r="L67" s="2893">
        <v>300</v>
      </c>
      <c r="M67" s="2893" t="s">
        <v>2814</v>
      </c>
      <c r="N67" s="2893" t="s">
        <v>3154</v>
      </c>
      <c r="O67" s="2893" t="s">
        <v>3078</v>
      </c>
    </row>
    <row r="68" spans="1:15" ht="13.5" hidden="1" customHeight="1">
      <c r="A68" s="2893" t="s">
        <v>3107</v>
      </c>
      <c r="B68" s="2893" t="s">
        <v>3072</v>
      </c>
      <c r="C68" s="2893" t="s">
        <v>3085</v>
      </c>
      <c r="D68" s="2893">
        <v>146</v>
      </c>
      <c r="E68" s="2893">
        <v>730</v>
      </c>
      <c r="G68" s="2893" t="s">
        <v>3086</v>
      </c>
      <c r="H68" s="2893" t="s">
        <v>3075</v>
      </c>
      <c r="I68" s="2893" t="s">
        <v>3155</v>
      </c>
      <c r="J68" s="2893" t="s">
        <v>2814</v>
      </c>
      <c r="K68" s="2893">
        <v>21.89</v>
      </c>
      <c r="L68" s="2893">
        <v>300</v>
      </c>
      <c r="M68" s="2893" t="s">
        <v>2814</v>
      </c>
      <c r="N68" s="2893" t="s">
        <v>3156</v>
      </c>
      <c r="O68" s="2893" t="s">
        <v>3078</v>
      </c>
    </row>
    <row r="69" spans="1:15" ht="13.5" hidden="1" customHeight="1">
      <c r="A69" s="2893" t="s">
        <v>3107</v>
      </c>
      <c r="B69" s="2893" t="s">
        <v>3072</v>
      </c>
      <c r="C69" s="2893" t="s">
        <v>3085</v>
      </c>
      <c r="D69" s="2893">
        <v>132</v>
      </c>
      <c r="E69" s="2893">
        <v>660</v>
      </c>
      <c r="G69" s="2893" t="s">
        <v>3086</v>
      </c>
      <c r="H69" s="2893" t="s">
        <v>3075</v>
      </c>
      <c r="I69" s="2893" t="s">
        <v>3155</v>
      </c>
      <c r="J69" s="2893" t="s">
        <v>2814</v>
      </c>
      <c r="K69" s="2893">
        <v>19.8</v>
      </c>
      <c r="L69" s="2893">
        <v>300</v>
      </c>
      <c r="M69" s="2893" t="s">
        <v>2814</v>
      </c>
      <c r="N69" s="2893" t="s">
        <v>3157</v>
      </c>
      <c r="O69" s="2893" t="s">
        <v>3078</v>
      </c>
    </row>
    <row r="70" spans="1:15" ht="13.5" hidden="1" customHeight="1">
      <c r="A70" s="2893" t="s">
        <v>3107</v>
      </c>
      <c r="B70" s="2893" t="s">
        <v>3072</v>
      </c>
      <c r="C70" s="2893" t="s">
        <v>3085</v>
      </c>
      <c r="D70" s="2893">
        <v>131</v>
      </c>
      <c r="E70" s="2893">
        <v>655</v>
      </c>
      <c r="G70" s="2893" t="s">
        <v>3086</v>
      </c>
      <c r="H70" s="2893" t="s">
        <v>3075</v>
      </c>
      <c r="I70" s="2893" t="s">
        <v>3155</v>
      </c>
      <c r="J70" s="2893" t="s">
        <v>2814</v>
      </c>
      <c r="K70" s="2893">
        <v>19.64</v>
      </c>
      <c r="L70" s="2893">
        <v>300</v>
      </c>
      <c r="M70" s="2893" t="s">
        <v>2814</v>
      </c>
      <c r="N70" s="2893" t="s">
        <v>3158</v>
      </c>
      <c r="O70" s="2893" t="s">
        <v>3078</v>
      </c>
    </row>
    <row r="71" spans="1:15" ht="13.5" hidden="1" customHeight="1">
      <c r="A71" s="2893" t="s">
        <v>3107</v>
      </c>
      <c r="B71" s="2893" t="s">
        <v>3072</v>
      </c>
      <c r="C71" s="2893" t="s">
        <v>3085</v>
      </c>
      <c r="D71" s="2893">
        <v>133</v>
      </c>
      <c r="E71" s="2893">
        <v>665</v>
      </c>
      <c r="G71" s="2893" t="s">
        <v>3086</v>
      </c>
      <c r="H71" s="2893" t="s">
        <v>3075</v>
      </c>
      <c r="I71" s="2893" t="s">
        <v>3155</v>
      </c>
      <c r="J71" s="2893">
        <v>19.940000000000001</v>
      </c>
      <c r="K71" s="2893">
        <v>19.940000000000001</v>
      </c>
      <c r="L71" s="2893">
        <v>300</v>
      </c>
      <c r="M71" s="2893">
        <v>0</v>
      </c>
      <c r="N71" s="2893" t="s">
        <v>3108</v>
      </c>
      <c r="O71" s="2893" t="s">
        <v>3078</v>
      </c>
    </row>
    <row r="72" spans="1:15" ht="13.5" hidden="1" customHeight="1">
      <c r="A72" s="2893" t="s">
        <v>3107</v>
      </c>
      <c r="B72" s="2893" t="s">
        <v>3072</v>
      </c>
      <c r="C72" s="2893" t="s">
        <v>3085</v>
      </c>
      <c r="D72" s="2893">
        <v>131</v>
      </c>
      <c r="E72" s="2893">
        <v>655</v>
      </c>
      <c r="G72" s="2893" t="s">
        <v>3086</v>
      </c>
      <c r="H72" s="2893" t="s">
        <v>3075</v>
      </c>
      <c r="I72" s="2893" t="s">
        <v>3155</v>
      </c>
      <c r="J72" s="2893" t="s">
        <v>2814</v>
      </c>
      <c r="K72" s="2893">
        <v>19.64</v>
      </c>
      <c r="L72" s="2893">
        <v>300</v>
      </c>
      <c r="M72" s="2893" t="s">
        <v>2814</v>
      </c>
      <c r="N72" s="2893" t="s">
        <v>3159</v>
      </c>
      <c r="O72" s="2893" t="s">
        <v>3078</v>
      </c>
    </row>
    <row r="73" spans="1:15" ht="13.5" hidden="1" customHeight="1">
      <c r="A73" s="2893" t="s">
        <v>3107</v>
      </c>
      <c r="B73" s="2893" t="s">
        <v>3072</v>
      </c>
      <c r="C73" s="2893" t="s">
        <v>3085</v>
      </c>
      <c r="D73" s="2893">
        <v>134</v>
      </c>
      <c r="E73" s="2893">
        <v>670</v>
      </c>
      <c r="G73" s="2893" t="s">
        <v>3086</v>
      </c>
      <c r="H73" s="2893" t="s">
        <v>3075</v>
      </c>
      <c r="I73" s="2893" t="s">
        <v>3155</v>
      </c>
      <c r="J73" s="2893" t="s">
        <v>2814</v>
      </c>
      <c r="K73" s="2893">
        <v>20.100000000000001</v>
      </c>
      <c r="L73" s="2893">
        <v>300</v>
      </c>
      <c r="M73" s="2893" t="s">
        <v>2814</v>
      </c>
      <c r="N73" s="2893" t="s">
        <v>3160</v>
      </c>
      <c r="O73" s="2893" t="s">
        <v>3078</v>
      </c>
    </row>
    <row r="74" spans="1:15" ht="13.5" hidden="1" customHeight="1">
      <c r="A74" s="2893" t="s">
        <v>3161</v>
      </c>
      <c r="B74" s="2893" t="s">
        <v>3072</v>
      </c>
      <c r="C74" s="2893" t="s">
        <v>3085</v>
      </c>
      <c r="D74" s="2893">
        <v>2909</v>
      </c>
      <c r="E74" s="2893">
        <v>145.44999999999999</v>
      </c>
      <c r="G74" s="2893" t="s">
        <v>3162</v>
      </c>
      <c r="H74" s="2893" t="s">
        <v>3075</v>
      </c>
      <c r="I74" s="2893" t="s">
        <v>3155</v>
      </c>
      <c r="J74" s="2893">
        <v>75</v>
      </c>
      <c r="K74" s="2893">
        <v>327.25</v>
      </c>
      <c r="L74" s="2893">
        <v>22499.83</v>
      </c>
      <c r="M74" s="2893">
        <v>336.35</v>
      </c>
      <c r="N74" s="2893" t="s">
        <v>3163</v>
      </c>
      <c r="O74" s="2893" t="s">
        <v>3078</v>
      </c>
    </row>
    <row r="75" spans="1:15" ht="13.5" hidden="1" customHeight="1">
      <c r="A75" s="2893" t="s">
        <v>3107</v>
      </c>
      <c r="B75" s="2893" t="s">
        <v>3072</v>
      </c>
      <c r="C75" s="2893" t="s">
        <v>3085</v>
      </c>
      <c r="D75" s="2893">
        <v>132</v>
      </c>
      <c r="E75" s="2893">
        <v>660</v>
      </c>
      <c r="G75" s="2893" t="s">
        <v>3086</v>
      </c>
      <c r="H75" s="2893" t="s">
        <v>3075</v>
      </c>
      <c r="I75" s="2893" t="s">
        <v>3155</v>
      </c>
      <c r="J75" s="2893" t="s">
        <v>2814</v>
      </c>
      <c r="K75" s="2893">
        <v>19.8</v>
      </c>
      <c r="L75" s="2893">
        <v>300</v>
      </c>
      <c r="M75" s="2893" t="s">
        <v>2814</v>
      </c>
      <c r="N75" s="2893" t="s">
        <v>3164</v>
      </c>
      <c r="O75" s="2893" t="s">
        <v>3078</v>
      </c>
    </row>
    <row r="76" spans="1:15" s="3192" customFormat="1">
      <c r="A76" s="3192" t="s">
        <v>3165</v>
      </c>
      <c r="B76" s="3192" t="s">
        <v>3072</v>
      </c>
      <c r="C76" s="3192" t="s">
        <v>3085</v>
      </c>
      <c r="D76" s="3192">
        <v>11780</v>
      </c>
      <c r="E76" s="3192">
        <v>40052</v>
      </c>
      <c r="F76" s="3192">
        <f t="shared" ref="F76:F77" si="2">E76/D76</f>
        <v>3.4</v>
      </c>
      <c r="G76" s="3192" t="s">
        <v>3166</v>
      </c>
      <c r="H76" s="3192" t="s">
        <v>3075</v>
      </c>
      <c r="I76" s="3192" t="s">
        <v>3167</v>
      </c>
      <c r="J76" s="3192" t="s">
        <v>2814</v>
      </c>
      <c r="K76" s="3192">
        <v>3719.53</v>
      </c>
      <c r="L76" s="3209">
        <v>928.67</v>
      </c>
      <c r="M76" s="3192" t="s">
        <v>2814</v>
      </c>
      <c r="N76" s="3192" t="s">
        <v>3168</v>
      </c>
      <c r="O76" s="3192" t="s">
        <v>3078</v>
      </c>
    </row>
    <row r="77" spans="1:15" s="3193" customFormat="1">
      <c r="A77" s="3193" t="s">
        <v>3169</v>
      </c>
      <c r="B77" s="3192" t="s">
        <v>3072</v>
      </c>
      <c r="C77" s="3193" t="s">
        <v>3073</v>
      </c>
      <c r="D77" s="3193">
        <v>8188</v>
      </c>
      <c r="E77" s="3193">
        <v>13100.8</v>
      </c>
      <c r="F77" s="3193">
        <f t="shared" si="2"/>
        <v>1.5999999999999999</v>
      </c>
      <c r="G77" s="3193" t="s">
        <v>3170</v>
      </c>
      <c r="H77" s="3192" t="s">
        <v>3075</v>
      </c>
      <c r="I77" s="3193" t="s">
        <v>3171</v>
      </c>
      <c r="J77" s="3192">
        <v>563.37</v>
      </c>
      <c r="K77" s="3193">
        <v>563.37</v>
      </c>
      <c r="L77" s="3193">
        <v>430.02</v>
      </c>
      <c r="M77" s="3193">
        <v>0</v>
      </c>
      <c r="N77" s="3193" t="s">
        <v>3172</v>
      </c>
      <c r="O77" s="3193" t="s">
        <v>3078</v>
      </c>
    </row>
    <row r="78" spans="1:15" ht="13.5" hidden="1" customHeight="1">
      <c r="A78" s="2893" t="s">
        <v>3173</v>
      </c>
      <c r="B78" s="2893" t="s">
        <v>3072</v>
      </c>
      <c r="C78" s="2893" t="s">
        <v>3085</v>
      </c>
      <c r="D78" s="2893">
        <v>3335</v>
      </c>
      <c r="E78" s="2893">
        <v>2001</v>
      </c>
      <c r="G78" s="2893" t="s">
        <v>3174</v>
      </c>
      <c r="H78" s="2893" t="s">
        <v>3075</v>
      </c>
      <c r="I78" s="2893" t="s">
        <v>3175</v>
      </c>
      <c r="J78" s="2893">
        <v>50</v>
      </c>
      <c r="K78" s="2893">
        <v>250.12</v>
      </c>
      <c r="L78" s="2893">
        <v>1250.01</v>
      </c>
      <c r="M78" s="2893">
        <v>400.26</v>
      </c>
      <c r="N78" s="2893" t="s">
        <v>3176</v>
      </c>
      <c r="O78" s="2893" t="s">
        <v>3078</v>
      </c>
    </row>
    <row r="79" spans="1:15" ht="13.5" hidden="1" customHeight="1">
      <c r="A79" s="2893" t="s">
        <v>3177</v>
      </c>
      <c r="B79" s="2893" t="s">
        <v>3072</v>
      </c>
      <c r="C79" s="2893" t="s">
        <v>3085</v>
      </c>
      <c r="D79" s="2893">
        <v>2076</v>
      </c>
      <c r="E79" s="2893">
        <v>622.79999999999995</v>
      </c>
      <c r="G79" s="2893" t="s">
        <v>3178</v>
      </c>
      <c r="H79" s="2893" t="s">
        <v>3075</v>
      </c>
      <c r="I79" s="2893" t="s">
        <v>3175</v>
      </c>
      <c r="J79" s="2893">
        <v>50</v>
      </c>
      <c r="K79" s="2893">
        <v>155.69</v>
      </c>
      <c r="L79" s="2893">
        <v>2500</v>
      </c>
      <c r="M79" s="2893">
        <v>211.4</v>
      </c>
      <c r="N79" s="2893" t="s">
        <v>3179</v>
      </c>
      <c r="O79" s="2893" t="s">
        <v>3078</v>
      </c>
    </row>
    <row r="80" spans="1:15" ht="13.5" hidden="1" customHeight="1">
      <c r="A80" s="2893" t="s">
        <v>3107</v>
      </c>
      <c r="B80" s="2893" t="s">
        <v>3072</v>
      </c>
      <c r="C80" s="2893" t="s">
        <v>3085</v>
      </c>
      <c r="D80" s="2893">
        <v>104</v>
      </c>
      <c r="E80" s="2893">
        <v>520</v>
      </c>
      <c r="G80" s="2893" t="s">
        <v>3086</v>
      </c>
      <c r="H80" s="2893" t="s">
        <v>3075</v>
      </c>
      <c r="I80" s="2893" t="s">
        <v>3180</v>
      </c>
      <c r="J80" s="2893" t="s">
        <v>2814</v>
      </c>
      <c r="K80" s="2893">
        <v>15.59</v>
      </c>
      <c r="L80" s="2893">
        <v>300</v>
      </c>
      <c r="M80" s="2893" t="s">
        <v>2814</v>
      </c>
      <c r="N80" s="2893" t="s">
        <v>3181</v>
      </c>
      <c r="O80" s="2893" t="s">
        <v>3078</v>
      </c>
    </row>
    <row r="81" spans="1:15" ht="13.5" hidden="1" customHeight="1">
      <c r="A81" s="2893" t="s">
        <v>3107</v>
      </c>
      <c r="B81" s="2893" t="s">
        <v>3072</v>
      </c>
      <c r="C81" s="2893" t="s">
        <v>3085</v>
      </c>
      <c r="D81" s="2893">
        <v>103</v>
      </c>
      <c r="E81" s="2893">
        <v>515</v>
      </c>
      <c r="G81" s="2893" t="s">
        <v>3086</v>
      </c>
      <c r="H81" s="2893" t="s">
        <v>3075</v>
      </c>
      <c r="I81" s="2893" t="s">
        <v>3180</v>
      </c>
      <c r="J81" s="2893" t="s">
        <v>2814</v>
      </c>
      <c r="K81" s="2893">
        <v>15.44</v>
      </c>
      <c r="L81" s="2893">
        <v>300</v>
      </c>
      <c r="M81" s="2893" t="s">
        <v>2814</v>
      </c>
      <c r="N81" s="2893" t="s">
        <v>3182</v>
      </c>
      <c r="O81" s="2893" t="s">
        <v>3078</v>
      </c>
    </row>
    <row r="82" spans="1:15" ht="13.5" hidden="1" customHeight="1">
      <c r="A82" s="2893" t="s">
        <v>3107</v>
      </c>
      <c r="B82" s="2893" t="s">
        <v>3072</v>
      </c>
      <c r="C82" s="2893" t="s">
        <v>3085</v>
      </c>
      <c r="D82" s="2893">
        <v>99</v>
      </c>
      <c r="E82" s="2893">
        <v>495</v>
      </c>
      <c r="G82" s="2893" t="s">
        <v>3086</v>
      </c>
      <c r="H82" s="2893" t="s">
        <v>3075</v>
      </c>
      <c r="I82" s="2893" t="s">
        <v>3180</v>
      </c>
      <c r="J82" s="2893" t="s">
        <v>2814</v>
      </c>
      <c r="K82" s="2893">
        <v>14.84</v>
      </c>
      <c r="L82" s="2893">
        <v>300</v>
      </c>
      <c r="M82" s="2893" t="s">
        <v>2814</v>
      </c>
      <c r="N82" s="2893" t="s">
        <v>3183</v>
      </c>
      <c r="O82" s="2893" t="s">
        <v>3078</v>
      </c>
    </row>
    <row r="83" spans="1:15" ht="13.5" hidden="1" customHeight="1">
      <c r="A83" s="2893" t="s">
        <v>3107</v>
      </c>
      <c r="B83" s="2893" t="s">
        <v>3072</v>
      </c>
      <c r="C83" s="2893" t="s">
        <v>3085</v>
      </c>
      <c r="D83" s="2893">
        <v>104</v>
      </c>
      <c r="E83" s="2893">
        <v>520</v>
      </c>
      <c r="G83" s="2893" t="s">
        <v>3086</v>
      </c>
      <c r="H83" s="2893" t="s">
        <v>3075</v>
      </c>
      <c r="I83" s="2893" t="s">
        <v>3180</v>
      </c>
      <c r="J83" s="2893" t="s">
        <v>2814</v>
      </c>
      <c r="K83" s="2893">
        <v>15.59</v>
      </c>
      <c r="L83" s="2893">
        <v>300</v>
      </c>
      <c r="M83" s="2893" t="s">
        <v>2814</v>
      </c>
      <c r="N83" s="2893" t="s">
        <v>3184</v>
      </c>
      <c r="O83" s="2893" t="s">
        <v>3078</v>
      </c>
    </row>
    <row r="84" spans="1:15" ht="13.5" hidden="1" customHeight="1">
      <c r="A84" s="2893" t="s">
        <v>3107</v>
      </c>
      <c r="B84" s="2893" t="s">
        <v>3072</v>
      </c>
      <c r="C84" s="2893" t="s">
        <v>3085</v>
      </c>
      <c r="D84" s="2893">
        <v>101</v>
      </c>
      <c r="E84" s="2893">
        <v>505</v>
      </c>
      <c r="G84" s="2893" t="s">
        <v>3086</v>
      </c>
      <c r="H84" s="2893" t="s">
        <v>3075</v>
      </c>
      <c r="I84" s="2893" t="s">
        <v>3180</v>
      </c>
      <c r="J84" s="2893" t="s">
        <v>2814</v>
      </c>
      <c r="K84" s="2893">
        <v>15.15</v>
      </c>
      <c r="L84" s="2893">
        <v>300</v>
      </c>
      <c r="M84" s="2893" t="s">
        <v>2814</v>
      </c>
      <c r="N84" s="2893" t="s">
        <v>3185</v>
      </c>
      <c r="O84" s="2893" t="s">
        <v>3078</v>
      </c>
    </row>
    <row r="85" spans="1:15" ht="13.5" hidden="1" customHeight="1">
      <c r="A85" s="2893" t="s">
        <v>3107</v>
      </c>
      <c r="B85" s="2893" t="s">
        <v>3072</v>
      </c>
      <c r="C85" s="2893" t="s">
        <v>3085</v>
      </c>
      <c r="D85" s="2893">
        <v>98</v>
      </c>
      <c r="E85" s="2893">
        <v>490</v>
      </c>
      <c r="G85" s="2893" t="s">
        <v>3086</v>
      </c>
      <c r="H85" s="2893" t="s">
        <v>3075</v>
      </c>
      <c r="I85" s="2893" t="s">
        <v>3180</v>
      </c>
      <c r="J85" s="2893" t="s">
        <v>2814</v>
      </c>
      <c r="K85" s="2893">
        <v>14.69</v>
      </c>
      <c r="L85" s="2893">
        <v>300</v>
      </c>
      <c r="M85" s="2893" t="s">
        <v>2814</v>
      </c>
      <c r="N85" s="2893" t="s">
        <v>3186</v>
      </c>
      <c r="O85" s="2893" t="s">
        <v>3078</v>
      </c>
    </row>
    <row r="86" spans="1:15" ht="13.5" hidden="1" customHeight="1">
      <c r="A86" s="2893" t="s">
        <v>3107</v>
      </c>
      <c r="B86" s="2893" t="s">
        <v>3072</v>
      </c>
      <c r="C86" s="2893" t="s">
        <v>3085</v>
      </c>
      <c r="D86" s="2893">
        <v>101</v>
      </c>
      <c r="E86" s="2893">
        <v>505</v>
      </c>
      <c r="G86" s="2893" t="s">
        <v>3086</v>
      </c>
      <c r="H86" s="2893" t="s">
        <v>3075</v>
      </c>
      <c r="I86" s="2893" t="s">
        <v>3180</v>
      </c>
      <c r="J86" s="2893" t="s">
        <v>2814</v>
      </c>
      <c r="K86" s="2893">
        <v>15.15</v>
      </c>
      <c r="L86" s="2893">
        <v>300</v>
      </c>
      <c r="M86" s="2893" t="s">
        <v>2814</v>
      </c>
      <c r="N86" s="2893" t="s">
        <v>3187</v>
      </c>
      <c r="O86" s="2893" t="s">
        <v>3078</v>
      </c>
    </row>
    <row r="87" spans="1:15" ht="13.5" hidden="1" customHeight="1">
      <c r="A87" s="2893" t="s">
        <v>3107</v>
      </c>
      <c r="B87" s="2893" t="s">
        <v>3072</v>
      </c>
      <c r="C87" s="2893" t="s">
        <v>3085</v>
      </c>
      <c r="D87" s="2893">
        <v>99</v>
      </c>
      <c r="E87" s="2893">
        <v>495</v>
      </c>
      <c r="G87" s="2893" t="s">
        <v>3086</v>
      </c>
      <c r="H87" s="2893" t="s">
        <v>3075</v>
      </c>
      <c r="I87" s="2893" t="s">
        <v>3180</v>
      </c>
      <c r="J87" s="2893" t="s">
        <v>2814</v>
      </c>
      <c r="K87" s="2893">
        <v>14.84</v>
      </c>
      <c r="L87" s="2893">
        <v>300</v>
      </c>
      <c r="M87" s="2893" t="s">
        <v>2814</v>
      </c>
      <c r="N87" s="2893" t="s">
        <v>3188</v>
      </c>
      <c r="O87" s="2893" t="s">
        <v>3078</v>
      </c>
    </row>
    <row r="88" spans="1:15" ht="13.5" hidden="1" customHeight="1">
      <c r="A88" s="2893" t="s">
        <v>3107</v>
      </c>
      <c r="B88" s="2893" t="s">
        <v>3072</v>
      </c>
      <c r="C88" s="2893" t="s">
        <v>3085</v>
      </c>
      <c r="D88" s="2893">
        <v>101</v>
      </c>
      <c r="E88" s="2893">
        <v>505</v>
      </c>
      <c r="G88" s="2893" t="s">
        <v>3086</v>
      </c>
      <c r="H88" s="2893" t="s">
        <v>3075</v>
      </c>
      <c r="I88" s="2893" t="s">
        <v>3180</v>
      </c>
      <c r="J88" s="2893" t="s">
        <v>2814</v>
      </c>
      <c r="K88" s="2893">
        <v>15.15</v>
      </c>
      <c r="L88" s="2893">
        <v>300</v>
      </c>
      <c r="M88" s="2893" t="s">
        <v>2814</v>
      </c>
      <c r="N88" s="2893" t="s">
        <v>3189</v>
      </c>
      <c r="O88" s="2893" t="s">
        <v>3078</v>
      </c>
    </row>
    <row r="89" spans="1:15" ht="13.5" hidden="1" customHeight="1">
      <c r="A89" s="2893" t="s">
        <v>3107</v>
      </c>
      <c r="B89" s="2893" t="s">
        <v>3072</v>
      </c>
      <c r="C89" s="2893" t="s">
        <v>3085</v>
      </c>
      <c r="D89" s="2893">
        <v>113</v>
      </c>
      <c r="E89" s="2893">
        <v>565</v>
      </c>
      <c r="G89" s="2893" t="s">
        <v>3086</v>
      </c>
      <c r="H89" s="2893" t="s">
        <v>3075</v>
      </c>
      <c r="I89" s="2893" t="s">
        <v>3190</v>
      </c>
      <c r="J89" s="2893" t="s">
        <v>2814</v>
      </c>
      <c r="K89" s="2893">
        <v>16.940000000000001</v>
      </c>
      <c r="L89" s="2893">
        <v>300</v>
      </c>
      <c r="M89" s="2893" t="s">
        <v>2814</v>
      </c>
      <c r="N89" s="2893" t="s">
        <v>3191</v>
      </c>
      <c r="O89" s="2893" t="s">
        <v>3078</v>
      </c>
    </row>
    <row r="90" spans="1:15" ht="13.5" hidden="1" customHeight="1">
      <c r="A90" s="2893" t="s">
        <v>3107</v>
      </c>
      <c r="B90" s="2893" t="s">
        <v>3072</v>
      </c>
      <c r="C90" s="2893" t="s">
        <v>3085</v>
      </c>
      <c r="D90" s="2893">
        <v>77</v>
      </c>
      <c r="E90" s="2893">
        <v>385</v>
      </c>
      <c r="G90" s="2893" t="s">
        <v>3086</v>
      </c>
      <c r="H90" s="2893" t="s">
        <v>3075</v>
      </c>
      <c r="I90" s="2893" t="s">
        <v>3190</v>
      </c>
      <c r="J90" s="2893" t="s">
        <v>2814</v>
      </c>
      <c r="K90" s="2893">
        <v>11.55</v>
      </c>
      <c r="L90" s="2893">
        <v>300</v>
      </c>
      <c r="M90" s="2893" t="s">
        <v>2814</v>
      </c>
      <c r="N90" s="2893" t="s">
        <v>3192</v>
      </c>
      <c r="O90" s="2893" t="s">
        <v>3078</v>
      </c>
    </row>
    <row r="91" spans="1:15" ht="13.5" hidden="1" customHeight="1">
      <c r="A91" s="2893" t="s">
        <v>3107</v>
      </c>
      <c r="B91" s="2893" t="s">
        <v>3072</v>
      </c>
      <c r="C91" s="2893" t="s">
        <v>3085</v>
      </c>
      <c r="D91" s="2893">
        <v>105</v>
      </c>
      <c r="E91" s="2893">
        <v>525</v>
      </c>
      <c r="G91" s="2893" t="s">
        <v>3086</v>
      </c>
      <c r="H91" s="2893" t="s">
        <v>3075</v>
      </c>
      <c r="I91" s="2893" t="s">
        <v>3190</v>
      </c>
      <c r="J91" s="2893" t="s">
        <v>2814</v>
      </c>
      <c r="K91" s="2893">
        <v>15.75</v>
      </c>
      <c r="L91" s="2893">
        <v>300</v>
      </c>
      <c r="M91" s="2893" t="s">
        <v>2814</v>
      </c>
      <c r="N91" s="2893" t="s">
        <v>3193</v>
      </c>
      <c r="O91" s="2893" t="s">
        <v>3078</v>
      </c>
    </row>
    <row r="92" spans="1:15" ht="13.5" hidden="1" customHeight="1">
      <c r="A92" s="2893" t="s">
        <v>3107</v>
      </c>
      <c r="B92" s="2893" t="s">
        <v>3072</v>
      </c>
      <c r="C92" s="2893" t="s">
        <v>3085</v>
      </c>
      <c r="D92" s="2893">
        <v>156</v>
      </c>
      <c r="E92" s="2893">
        <v>780</v>
      </c>
      <c r="G92" s="2893" t="s">
        <v>3086</v>
      </c>
      <c r="H92" s="2893" t="s">
        <v>3075</v>
      </c>
      <c r="I92" s="2893" t="s">
        <v>3190</v>
      </c>
      <c r="J92" s="2893" t="s">
        <v>2814</v>
      </c>
      <c r="K92" s="2893">
        <v>23.39</v>
      </c>
      <c r="L92" s="2893">
        <v>300</v>
      </c>
      <c r="M92" s="2893" t="s">
        <v>2814</v>
      </c>
      <c r="N92" s="2893" t="s">
        <v>3194</v>
      </c>
      <c r="O92" s="2893" t="s">
        <v>3078</v>
      </c>
    </row>
    <row r="93" spans="1:15" ht="13.5" hidden="1" customHeight="1">
      <c r="A93" s="2893" t="s">
        <v>3107</v>
      </c>
      <c r="B93" s="2893" t="s">
        <v>3072</v>
      </c>
      <c r="C93" s="2893" t="s">
        <v>3085</v>
      </c>
      <c r="D93" s="2893">
        <v>106</v>
      </c>
      <c r="E93" s="2893">
        <v>530</v>
      </c>
      <c r="G93" s="2893" t="s">
        <v>3086</v>
      </c>
      <c r="H93" s="2893" t="s">
        <v>3075</v>
      </c>
      <c r="I93" s="2893" t="s">
        <v>3190</v>
      </c>
      <c r="J93" s="2893" t="s">
        <v>2814</v>
      </c>
      <c r="K93" s="2893">
        <v>15.9</v>
      </c>
      <c r="L93" s="2893">
        <v>300</v>
      </c>
      <c r="M93" s="2893" t="s">
        <v>2814</v>
      </c>
      <c r="N93" s="2893" t="s">
        <v>3195</v>
      </c>
      <c r="O93" s="2893" t="s">
        <v>3078</v>
      </c>
    </row>
    <row r="94" spans="1:15" ht="13.5" hidden="1" customHeight="1">
      <c r="A94" s="2893" t="s">
        <v>3107</v>
      </c>
      <c r="B94" s="2893" t="s">
        <v>3072</v>
      </c>
      <c r="C94" s="2893" t="s">
        <v>3085</v>
      </c>
      <c r="D94" s="2893">
        <v>105</v>
      </c>
      <c r="E94" s="2893">
        <v>525</v>
      </c>
      <c r="G94" s="2893" t="s">
        <v>3086</v>
      </c>
      <c r="H94" s="2893" t="s">
        <v>3075</v>
      </c>
      <c r="I94" s="2893" t="s">
        <v>3190</v>
      </c>
      <c r="J94" s="2893" t="s">
        <v>2814</v>
      </c>
      <c r="K94" s="2893">
        <v>15.75</v>
      </c>
      <c r="L94" s="2893">
        <v>300</v>
      </c>
      <c r="M94" s="2893" t="s">
        <v>2814</v>
      </c>
      <c r="N94" s="2893" t="s">
        <v>3196</v>
      </c>
      <c r="O94" s="2893" t="s">
        <v>3078</v>
      </c>
    </row>
    <row r="95" spans="1:15" ht="13.5" hidden="1" customHeight="1">
      <c r="A95" s="2893" t="s">
        <v>3107</v>
      </c>
      <c r="B95" s="2893" t="s">
        <v>3072</v>
      </c>
      <c r="C95" s="2893" t="s">
        <v>3085</v>
      </c>
      <c r="D95" s="2893">
        <v>104</v>
      </c>
      <c r="E95" s="2893">
        <v>520</v>
      </c>
      <c r="G95" s="2893" t="s">
        <v>3086</v>
      </c>
      <c r="H95" s="2893" t="s">
        <v>3075</v>
      </c>
      <c r="I95" s="2893" t="s">
        <v>3190</v>
      </c>
      <c r="J95" s="2893" t="s">
        <v>2814</v>
      </c>
      <c r="K95" s="2893">
        <v>15.59</v>
      </c>
      <c r="L95" s="2893">
        <v>300</v>
      </c>
      <c r="M95" s="2893" t="s">
        <v>2814</v>
      </c>
      <c r="N95" s="2893" t="s">
        <v>3197</v>
      </c>
      <c r="O95" s="2893" t="s">
        <v>3078</v>
      </c>
    </row>
    <row r="96" spans="1:15" ht="13.5" hidden="1" customHeight="1">
      <c r="A96" s="2893" t="s">
        <v>3107</v>
      </c>
      <c r="B96" s="2893" t="s">
        <v>3072</v>
      </c>
      <c r="C96" s="2893" t="s">
        <v>3085</v>
      </c>
      <c r="D96" s="2893">
        <v>104</v>
      </c>
      <c r="E96" s="2893">
        <v>520</v>
      </c>
      <c r="G96" s="2893" t="s">
        <v>3086</v>
      </c>
      <c r="H96" s="2893" t="s">
        <v>3075</v>
      </c>
      <c r="I96" s="2893" t="s">
        <v>3190</v>
      </c>
      <c r="J96" s="2893" t="s">
        <v>2814</v>
      </c>
      <c r="K96" s="2893">
        <v>15.59</v>
      </c>
      <c r="L96" s="2893">
        <v>300</v>
      </c>
      <c r="M96" s="2893" t="s">
        <v>2814</v>
      </c>
      <c r="N96" s="2893" t="s">
        <v>3198</v>
      </c>
      <c r="O96" s="2893" t="s">
        <v>3078</v>
      </c>
    </row>
    <row r="97" spans="1:15" ht="13.5" hidden="1" customHeight="1">
      <c r="A97" s="2893" t="s">
        <v>3107</v>
      </c>
      <c r="B97" s="2893" t="s">
        <v>3072</v>
      </c>
      <c r="C97" s="2893" t="s">
        <v>3085</v>
      </c>
      <c r="D97" s="2893">
        <v>114</v>
      </c>
      <c r="E97" s="2893">
        <v>570</v>
      </c>
      <c r="G97" s="2893" t="s">
        <v>3086</v>
      </c>
      <c r="H97" s="2893" t="s">
        <v>3075</v>
      </c>
      <c r="I97" s="2893" t="s">
        <v>3190</v>
      </c>
      <c r="J97" s="2893" t="s">
        <v>2814</v>
      </c>
      <c r="K97" s="2893">
        <v>17.100000000000001</v>
      </c>
      <c r="L97" s="2893">
        <v>300</v>
      </c>
      <c r="M97" s="2893" t="s">
        <v>2814</v>
      </c>
      <c r="N97" s="2893" t="s">
        <v>3199</v>
      </c>
      <c r="O97" s="2893" t="s">
        <v>3078</v>
      </c>
    </row>
    <row r="98" spans="1:15" s="3194" customFormat="1">
      <c r="A98" s="3194" t="s">
        <v>3332</v>
      </c>
      <c r="B98" s="3192" t="s">
        <v>3072</v>
      </c>
      <c r="C98" s="3194" t="s">
        <v>3085</v>
      </c>
      <c r="D98" s="3194">
        <v>104161</v>
      </c>
      <c r="E98" s="3194">
        <v>104161</v>
      </c>
      <c r="F98" s="3194">
        <f>E98/D98</f>
        <v>1</v>
      </c>
      <c r="G98" s="3194" t="s">
        <v>3200</v>
      </c>
      <c r="H98" s="3192" t="s">
        <v>3075</v>
      </c>
      <c r="I98" s="3197">
        <v>43268</v>
      </c>
      <c r="J98" s="3192">
        <v>7812.07</v>
      </c>
      <c r="K98" s="3194">
        <v>7812.07</v>
      </c>
      <c r="L98" s="3194">
        <v>750</v>
      </c>
      <c r="M98" s="3194">
        <v>0</v>
      </c>
      <c r="N98" s="3194" t="s">
        <v>3082</v>
      </c>
      <c r="O98" s="3194" t="s">
        <v>3078</v>
      </c>
    </row>
    <row r="99" spans="1:15" ht="13.5" hidden="1" customHeight="1">
      <c r="A99" s="2893" t="s">
        <v>3202</v>
      </c>
      <c r="B99" s="2893" t="s">
        <v>3072</v>
      </c>
      <c r="C99" s="2893" t="s">
        <v>3085</v>
      </c>
      <c r="D99" s="2893">
        <v>6708</v>
      </c>
      <c r="E99" s="2893">
        <v>16770</v>
      </c>
      <c r="G99" s="2893" t="s">
        <v>3083</v>
      </c>
      <c r="H99" s="2893" t="s">
        <v>3075</v>
      </c>
      <c r="I99" s="2893" t="s">
        <v>3201</v>
      </c>
      <c r="J99" s="2893">
        <v>503.1</v>
      </c>
      <c r="K99" s="2893">
        <v>503.1</v>
      </c>
      <c r="L99" s="2893">
        <v>300</v>
      </c>
      <c r="M99" s="2893">
        <v>0</v>
      </c>
      <c r="N99" s="2893" t="s">
        <v>3082</v>
      </c>
      <c r="O99" s="2893" t="s">
        <v>3078</v>
      </c>
    </row>
    <row r="100" spans="1:15">
      <c r="A100" s="2893" t="s">
        <v>3203</v>
      </c>
      <c r="B100" s="2893" t="s">
        <v>3072</v>
      </c>
      <c r="C100" s="2893" t="s">
        <v>3073</v>
      </c>
      <c r="D100" s="2893">
        <v>15944</v>
      </c>
      <c r="E100" s="2893">
        <v>11160.8</v>
      </c>
      <c r="F100" s="3192">
        <f t="shared" ref="F100:F101" si="3">E100/D100</f>
        <v>0.7</v>
      </c>
      <c r="G100" s="2893" t="s">
        <v>3204</v>
      </c>
      <c r="H100" s="2893" t="s">
        <v>3075</v>
      </c>
      <c r="I100" s="2893" t="s">
        <v>3205</v>
      </c>
      <c r="J100" s="2893" t="s">
        <v>2814</v>
      </c>
      <c r="K100" s="2893">
        <v>1021.21</v>
      </c>
      <c r="L100" s="2893">
        <v>915</v>
      </c>
      <c r="M100" s="2893" t="s">
        <v>2814</v>
      </c>
      <c r="N100" s="2893" t="s">
        <v>3206</v>
      </c>
      <c r="O100" s="2893" t="s">
        <v>3078</v>
      </c>
    </row>
    <row r="101" spans="1:15" s="3193" customFormat="1">
      <c r="A101" s="3193" t="s">
        <v>3207</v>
      </c>
      <c r="B101" s="3192" t="s">
        <v>3072</v>
      </c>
      <c r="C101" s="3193" t="s">
        <v>3085</v>
      </c>
      <c r="D101" s="3193">
        <v>188</v>
      </c>
      <c r="E101" s="3193">
        <v>977.6</v>
      </c>
      <c r="F101" s="3193">
        <f t="shared" si="3"/>
        <v>5.2</v>
      </c>
      <c r="G101" s="3193" t="s">
        <v>3208</v>
      </c>
      <c r="H101" s="3192" t="s">
        <v>3075</v>
      </c>
      <c r="I101" s="3193" t="s">
        <v>3209</v>
      </c>
      <c r="J101" s="3192" t="s">
        <v>2814</v>
      </c>
      <c r="K101" s="3193">
        <v>42.29</v>
      </c>
      <c r="L101" s="3193">
        <v>432.68</v>
      </c>
      <c r="M101" s="3193" t="s">
        <v>2814</v>
      </c>
      <c r="N101" s="3193" t="s">
        <v>3210</v>
      </c>
      <c r="O101" s="3193" t="s">
        <v>3078</v>
      </c>
    </row>
    <row r="102" spans="1:15" ht="13.5" hidden="1" customHeight="1">
      <c r="A102" s="2893" t="s">
        <v>3211</v>
      </c>
      <c r="B102" s="2893" t="s">
        <v>3072</v>
      </c>
      <c r="C102" s="2893" t="s">
        <v>3085</v>
      </c>
      <c r="D102" s="2893">
        <v>422</v>
      </c>
      <c r="E102" s="2893">
        <v>633</v>
      </c>
      <c r="G102" s="2893" t="s">
        <v>3212</v>
      </c>
      <c r="H102" s="2893" t="s">
        <v>3075</v>
      </c>
      <c r="I102" s="2893" t="s">
        <v>3209</v>
      </c>
      <c r="J102" s="2893" t="s">
        <v>2814</v>
      </c>
      <c r="K102" s="2893">
        <v>94.95</v>
      </c>
      <c r="L102" s="2893">
        <v>1500</v>
      </c>
      <c r="M102" s="2893" t="s">
        <v>2814</v>
      </c>
      <c r="N102" s="2893" t="s">
        <v>3210</v>
      </c>
      <c r="O102" s="2893" t="s">
        <v>3078</v>
      </c>
    </row>
    <row r="103" spans="1:15">
      <c r="A103" s="2893" t="s">
        <v>3213</v>
      </c>
      <c r="B103" s="2893" t="s">
        <v>3072</v>
      </c>
      <c r="C103" s="2893" t="s">
        <v>3085</v>
      </c>
      <c r="D103" s="2893">
        <v>3943</v>
      </c>
      <c r="E103" s="2893">
        <v>6703.1</v>
      </c>
      <c r="F103" s="3192">
        <f t="shared" ref="F103:F106" si="4">E103/D103</f>
        <v>1.7000000000000002</v>
      </c>
      <c r="G103" s="2893" t="s">
        <v>3214</v>
      </c>
      <c r="H103" s="2893" t="s">
        <v>3075</v>
      </c>
      <c r="I103" s="2893" t="s">
        <v>3209</v>
      </c>
      <c r="J103" s="2893">
        <v>45</v>
      </c>
      <c r="K103" s="2893">
        <v>266.14</v>
      </c>
      <c r="L103" s="2893">
        <v>397.06</v>
      </c>
      <c r="M103" s="2893">
        <v>491.44</v>
      </c>
      <c r="N103" s="2893" t="s">
        <v>3215</v>
      </c>
      <c r="O103" s="2893" t="s">
        <v>3078</v>
      </c>
    </row>
    <row r="104" spans="1:15" s="3195" customFormat="1">
      <c r="A104" s="3196" t="s">
        <v>3329</v>
      </c>
      <c r="B104" s="2893" t="s">
        <v>3072</v>
      </c>
      <c r="C104" s="3195" t="s">
        <v>3085</v>
      </c>
      <c r="D104" s="3195">
        <v>333</v>
      </c>
      <c r="E104" s="3195">
        <v>1065.5999999999999</v>
      </c>
      <c r="F104" s="3194">
        <f t="shared" si="4"/>
        <v>3.1999999999999997</v>
      </c>
      <c r="G104" s="3195" t="s">
        <v>3216</v>
      </c>
      <c r="H104" s="2893" t="s">
        <v>3075</v>
      </c>
      <c r="I104" s="3198">
        <v>43152</v>
      </c>
      <c r="J104" s="2893" t="s">
        <v>2814</v>
      </c>
      <c r="K104" s="3195">
        <v>74.930000000000007</v>
      </c>
      <c r="L104" s="3195">
        <v>703.16</v>
      </c>
      <c r="M104" s="3195" t="s">
        <v>2814</v>
      </c>
      <c r="N104" s="3195" t="s">
        <v>3210</v>
      </c>
      <c r="O104" s="3195" t="s">
        <v>3078</v>
      </c>
    </row>
    <row r="105" spans="1:15">
      <c r="A105" s="2893" t="s">
        <v>3217</v>
      </c>
      <c r="B105" s="2893" t="s">
        <v>3072</v>
      </c>
      <c r="C105" s="2893" t="s">
        <v>3085</v>
      </c>
      <c r="D105" s="2893">
        <v>1692</v>
      </c>
      <c r="E105" s="2893">
        <v>2876.4</v>
      </c>
      <c r="F105" s="3192">
        <f t="shared" si="4"/>
        <v>1.7</v>
      </c>
      <c r="G105" s="2893" t="s">
        <v>3214</v>
      </c>
      <c r="H105" s="2893" t="s">
        <v>3075</v>
      </c>
      <c r="I105" s="2893" t="s">
        <v>3218</v>
      </c>
      <c r="J105" s="2893">
        <v>37</v>
      </c>
      <c r="K105" s="2893">
        <v>93.9</v>
      </c>
      <c r="L105" s="2893">
        <v>326.48</v>
      </c>
      <c r="M105" s="2893">
        <v>153.81</v>
      </c>
      <c r="N105" s="2893" t="s">
        <v>3219</v>
      </c>
      <c r="O105" s="2893" t="s">
        <v>3078</v>
      </c>
    </row>
    <row r="106" spans="1:15" s="3193" customFormat="1">
      <c r="A106" s="3193" t="s">
        <v>3213</v>
      </c>
      <c r="B106" s="3192" t="s">
        <v>3072</v>
      </c>
      <c r="C106" s="3193" t="s">
        <v>3085</v>
      </c>
      <c r="D106" s="3193">
        <v>11677</v>
      </c>
      <c r="E106" s="3193">
        <v>18683.2</v>
      </c>
      <c r="F106" s="3193">
        <f t="shared" si="4"/>
        <v>1.6</v>
      </c>
      <c r="G106" s="3193" t="s">
        <v>3220</v>
      </c>
      <c r="H106" s="3192" t="s">
        <v>3075</v>
      </c>
      <c r="I106" s="3193" t="s">
        <v>3221</v>
      </c>
      <c r="J106" s="3192">
        <v>788.2</v>
      </c>
      <c r="K106" s="3193">
        <v>788.2</v>
      </c>
      <c r="L106" s="3193">
        <v>421.87</v>
      </c>
      <c r="M106" s="3193">
        <v>0</v>
      </c>
      <c r="N106" s="3193" t="s">
        <v>3222</v>
      </c>
      <c r="O106" s="3193" t="s">
        <v>3078</v>
      </c>
    </row>
    <row r="107" spans="1:15" ht="13.5" hidden="1" customHeight="1">
      <c r="A107" s="2893" t="s">
        <v>3223</v>
      </c>
      <c r="B107" s="2893" t="s">
        <v>3072</v>
      </c>
      <c r="C107" s="2893" t="s">
        <v>3085</v>
      </c>
      <c r="D107" s="2893">
        <v>8000</v>
      </c>
      <c r="E107" s="2893">
        <v>800</v>
      </c>
      <c r="G107" s="2893" t="s">
        <v>3224</v>
      </c>
      <c r="H107" s="2893" t="s">
        <v>3075</v>
      </c>
      <c r="I107" s="2893" t="s">
        <v>3225</v>
      </c>
      <c r="J107" s="2893">
        <v>600</v>
      </c>
      <c r="K107" s="2893">
        <v>600</v>
      </c>
      <c r="L107" s="2893">
        <v>7500</v>
      </c>
      <c r="M107" s="2893">
        <v>0</v>
      </c>
      <c r="N107" s="2893" t="s">
        <v>3226</v>
      </c>
      <c r="O107" s="2893" t="s">
        <v>3078</v>
      </c>
    </row>
    <row r="108" spans="1:15" ht="13.5" hidden="1" customHeight="1">
      <c r="A108" s="2893" t="s">
        <v>3107</v>
      </c>
      <c r="B108" s="2893" t="s">
        <v>3072</v>
      </c>
      <c r="C108" s="2893" t="s">
        <v>3085</v>
      </c>
      <c r="D108" s="2893">
        <v>112</v>
      </c>
      <c r="E108" s="2893">
        <v>560</v>
      </c>
      <c r="G108" s="2893" t="s">
        <v>3086</v>
      </c>
      <c r="H108" s="2893" t="s">
        <v>3075</v>
      </c>
      <c r="I108" s="2893" t="s">
        <v>3227</v>
      </c>
      <c r="J108" s="2893" t="s">
        <v>2814</v>
      </c>
      <c r="K108" s="2893">
        <v>16.8</v>
      </c>
      <c r="L108" s="2893">
        <v>300</v>
      </c>
      <c r="M108" s="2893" t="s">
        <v>2814</v>
      </c>
      <c r="N108" s="2893" t="s">
        <v>3228</v>
      </c>
      <c r="O108" s="2893" t="s">
        <v>3078</v>
      </c>
    </row>
    <row r="109" spans="1:15" ht="13.5" hidden="1" customHeight="1">
      <c r="A109" s="2893" t="s">
        <v>3107</v>
      </c>
      <c r="B109" s="2893" t="s">
        <v>3072</v>
      </c>
      <c r="C109" s="2893" t="s">
        <v>3085</v>
      </c>
      <c r="D109" s="2893">
        <v>102</v>
      </c>
      <c r="E109" s="2893">
        <v>510</v>
      </c>
      <c r="G109" s="2893" t="s">
        <v>3086</v>
      </c>
      <c r="H109" s="2893" t="s">
        <v>3075</v>
      </c>
      <c r="I109" s="2893" t="s">
        <v>3227</v>
      </c>
      <c r="J109" s="2893" t="s">
        <v>2814</v>
      </c>
      <c r="K109" s="2893">
        <v>15.3</v>
      </c>
      <c r="L109" s="2893">
        <v>300</v>
      </c>
      <c r="M109" s="2893" t="s">
        <v>2814</v>
      </c>
      <c r="N109" s="2893" t="s">
        <v>3229</v>
      </c>
      <c r="O109" s="2893" t="s">
        <v>3078</v>
      </c>
    </row>
    <row r="110" spans="1:15" ht="13.5" hidden="1" customHeight="1">
      <c r="A110" s="2893" t="s">
        <v>3107</v>
      </c>
      <c r="B110" s="2893" t="s">
        <v>3072</v>
      </c>
      <c r="C110" s="2893" t="s">
        <v>3085</v>
      </c>
      <c r="D110" s="2893">
        <v>115</v>
      </c>
      <c r="E110" s="2893">
        <v>575</v>
      </c>
      <c r="G110" s="2893" t="s">
        <v>3086</v>
      </c>
      <c r="H110" s="2893" t="s">
        <v>3075</v>
      </c>
      <c r="I110" s="2893" t="s">
        <v>3227</v>
      </c>
      <c r="J110" s="2893" t="s">
        <v>2814</v>
      </c>
      <c r="K110" s="2893">
        <v>17.25</v>
      </c>
      <c r="L110" s="2893">
        <v>300</v>
      </c>
      <c r="M110" s="2893" t="s">
        <v>2814</v>
      </c>
      <c r="N110" s="2893" t="s">
        <v>3230</v>
      </c>
      <c r="O110" s="2893" t="s">
        <v>3078</v>
      </c>
    </row>
    <row r="111" spans="1:15" ht="13.5" hidden="1" customHeight="1">
      <c r="A111" s="2893" t="s">
        <v>3107</v>
      </c>
      <c r="B111" s="2893" t="s">
        <v>3072</v>
      </c>
      <c r="C111" s="2893" t="s">
        <v>3085</v>
      </c>
      <c r="D111" s="2893">
        <v>113</v>
      </c>
      <c r="E111" s="2893">
        <v>565</v>
      </c>
      <c r="G111" s="2893" t="s">
        <v>3086</v>
      </c>
      <c r="H111" s="2893" t="s">
        <v>3075</v>
      </c>
      <c r="I111" s="2893" t="s">
        <v>3227</v>
      </c>
      <c r="J111" s="2893" t="s">
        <v>2814</v>
      </c>
      <c r="K111" s="2893">
        <v>16.940000000000001</v>
      </c>
      <c r="L111" s="2893">
        <v>300</v>
      </c>
      <c r="M111" s="2893" t="s">
        <v>2814</v>
      </c>
      <c r="N111" s="2893" t="s">
        <v>3231</v>
      </c>
      <c r="O111" s="2893" t="s">
        <v>3078</v>
      </c>
    </row>
    <row r="112" spans="1:15" ht="13.5" hidden="1" customHeight="1">
      <c r="A112" s="2893" t="s">
        <v>3107</v>
      </c>
      <c r="B112" s="2893" t="s">
        <v>3072</v>
      </c>
      <c r="C112" s="2893" t="s">
        <v>3085</v>
      </c>
      <c r="D112" s="2893">
        <v>112</v>
      </c>
      <c r="E112" s="2893">
        <v>560</v>
      </c>
      <c r="G112" s="2893" t="s">
        <v>3086</v>
      </c>
      <c r="H112" s="2893" t="s">
        <v>3075</v>
      </c>
      <c r="I112" s="2893" t="s">
        <v>3227</v>
      </c>
      <c r="J112" s="2893" t="s">
        <v>2814</v>
      </c>
      <c r="K112" s="2893">
        <v>16.8</v>
      </c>
      <c r="L112" s="2893">
        <v>300</v>
      </c>
      <c r="M112" s="2893" t="s">
        <v>2814</v>
      </c>
      <c r="N112" s="2893" t="s">
        <v>3232</v>
      </c>
      <c r="O112" s="2893" t="s">
        <v>3078</v>
      </c>
    </row>
    <row r="113" spans="1:15">
      <c r="A113" s="2893" t="s">
        <v>3107</v>
      </c>
      <c r="B113" s="2893" t="s">
        <v>3072</v>
      </c>
      <c r="C113" s="2893" t="s">
        <v>3085</v>
      </c>
      <c r="D113" s="2893">
        <v>115</v>
      </c>
      <c r="E113" s="2893">
        <v>575</v>
      </c>
      <c r="F113" s="3192">
        <f>E113/D113</f>
        <v>5</v>
      </c>
      <c r="G113" s="2893" t="s">
        <v>3086</v>
      </c>
      <c r="H113" s="2893" t="s">
        <v>3075</v>
      </c>
      <c r="I113" s="2893" t="s">
        <v>3227</v>
      </c>
      <c r="J113" s="2893" t="s">
        <v>2814</v>
      </c>
      <c r="K113" s="2893">
        <v>18.100000000000001</v>
      </c>
      <c r="L113" s="2893">
        <v>314.95</v>
      </c>
      <c r="M113" s="2893" t="s">
        <v>2814</v>
      </c>
      <c r="N113" s="2893" t="s">
        <v>3233</v>
      </c>
      <c r="O113" s="2893" t="s">
        <v>3078</v>
      </c>
    </row>
    <row r="114" spans="1:15" ht="13.5" hidden="1" customHeight="1">
      <c r="A114" s="2893" t="s">
        <v>3107</v>
      </c>
      <c r="B114" s="2893" t="s">
        <v>3072</v>
      </c>
      <c r="C114" s="2893" t="s">
        <v>3085</v>
      </c>
      <c r="D114" s="2893">
        <v>101</v>
      </c>
      <c r="E114" s="2893">
        <v>505</v>
      </c>
      <c r="G114" s="2893" t="s">
        <v>3086</v>
      </c>
      <c r="H114" s="2893" t="s">
        <v>3075</v>
      </c>
      <c r="I114" s="2893" t="s">
        <v>3227</v>
      </c>
      <c r="J114" s="2893" t="s">
        <v>2814</v>
      </c>
      <c r="K114" s="2893">
        <v>15.15</v>
      </c>
      <c r="L114" s="2893">
        <v>300</v>
      </c>
      <c r="M114" s="2893" t="s">
        <v>2814</v>
      </c>
      <c r="N114" s="2893" t="s">
        <v>3234</v>
      </c>
      <c r="O114" s="2893" t="s">
        <v>3078</v>
      </c>
    </row>
    <row r="115" spans="1:15" ht="13.5" hidden="1" customHeight="1">
      <c r="A115" s="2893" t="s">
        <v>3107</v>
      </c>
      <c r="B115" s="2893" t="s">
        <v>3072</v>
      </c>
      <c r="C115" s="2893" t="s">
        <v>3085</v>
      </c>
      <c r="D115" s="2893">
        <v>102</v>
      </c>
      <c r="E115" s="2893">
        <v>510</v>
      </c>
      <c r="G115" s="2893" t="s">
        <v>3086</v>
      </c>
      <c r="H115" s="2893" t="s">
        <v>3075</v>
      </c>
      <c r="I115" s="2893" t="s">
        <v>3227</v>
      </c>
      <c r="J115" s="2893" t="s">
        <v>2814</v>
      </c>
      <c r="K115" s="2893">
        <v>15.3</v>
      </c>
      <c r="L115" s="2893">
        <v>300</v>
      </c>
      <c r="M115" s="2893" t="s">
        <v>2814</v>
      </c>
      <c r="N115" s="2893" t="s">
        <v>3235</v>
      </c>
      <c r="O115" s="2893" t="s">
        <v>3078</v>
      </c>
    </row>
    <row r="116" spans="1:15" ht="13.5" hidden="1" customHeight="1">
      <c r="A116" s="2893" t="s">
        <v>3107</v>
      </c>
      <c r="B116" s="2893" t="s">
        <v>3072</v>
      </c>
      <c r="C116" s="2893" t="s">
        <v>3085</v>
      </c>
      <c r="D116" s="2893">
        <v>109</v>
      </c>
      <c r="E116" s="2893">
        <v>545</v>
      </c>
      <c r="G116" s="2893" t="s">
        <v>3086</v>
      </c>
      <c r="H116" s="2893" t="s">
        <v>3075</v>
      </c>
      <c r="I116" s="2893" t="s">
        <v>3227</v>
      </c>
      <c r="J116" s="2893" t="s">
        <v>2814</v>
      </c>
      <c r="K116" s="2893">
        <v>16.350000000000001</v>
      </c>
      <c r="L116" s="2893">
        <v>300</v>
      </c>
      <c r="M116" s="2893" t="s">
        <v>2814</v>
      </c>
      <c r="N116" s="2893" t="s">
        <v>3236</v>
      </c>
      <c r="O116" s="2893" t="s">
        <v>3078</v>
      </c>
    </row>
    <row r="117" spans="1:15" ht="13.5" hidden="1" customHeight="1">
      <c r="A117" s="2893" t="s">
        <v>3107</v>
      </c>
      <c r="B117" s="2893" t="s">
        <v>3072</v>
      </c>
      <c r="C117" s="2893" t="s">
        <v>3085</v>
      </c>
      <c r="D117" s="2893">
        <v>102</v>
      </c>
      <c r="E117" s="2893">
        <v>510</v>
      </c>
      <c r="G117" s="2893" t="s">
        <v>3086</v>
      </c>
      <c r="H117" s="2893" t="s">
        <v>3075</v>
      </c>
      <c r="I117" s="2893" t="s">
        <v>3227</v>
      </c>
      <c r="J117" s="2893" t="s">
        <v>2814</v>
      </c>
      <c r="K117" s="2893">
        <v>15.3</v>
      </c>
      <c r="L117" s="2893">
        <v>300</v>
      </c>
      <c r="M117" s="2893" t="s">
        <v>2814</v>
      </c>
      <c r="N117" s="2893" t="s">
        <v>3237</v>
      </c>
      <c r="O117" s="2893" t="s">
        <v>3078</v>
      </c>
    </row>
    <row r="118" spans="1:15" ht="13.5" hidden="1" customHeight="1">
      <c r="A118" s="2893" t="s">
        <v>3107</v>
      </c>
      <c r="B118" s="2893" t="s">
        <v>3072</v>
      </c>
      <c r="C118" s="2893" t="s">
        <v>3085</v>
      </c>
      <c r="D118" s="2893">
        <v>100</v>
      </c>
      <c r="E118" s="2893">
        <v>500</v>
      </c>
      <c r="G118" s="2893" t="s">
        <v>3086</v>
      </c>
      <c r="H118" s="2893" t="s">
        <v>3075</v>
      </c>
      <c r="I118" s="2893" t="s">
        <v>3238</v>
      </c>
      <c r="J118" s="2893" t="s">
        <v>2814</v>
      </c>
      <c r="K118" s="2893">
        <v>15</v>
      </c>
      <c r="L118" s="2893">
        <v>300</v>
      </c>
      <c r="M118" s="2893" t="s">
        <v>2814</v>
      </c>
      <c r="N118" s="2893" t="s">
        <v>3239</v>
      </c>
      <c r="O118" s="2893" t="s">
        <v>3078</v>
      </c>
    </row>
    <row r="119" spans="1:15" ht="13.5" hidden="1" customHeight="1">
      <c r="A119" s="2893" t="s">
        <v>3107</v>
      </c>
      <c r="B119" s="2893" t="s">
        <v>3072</v>
      </c>
      <c r="C119" s="2893" t="s">
        <v>3085</v>
      </c>
      <c r="D119" s="2893">
        <v>100</v>
      </c>
      <c r="E119" s="2893">
        <v>500</v>
      </c>
      <c r="G119" s="2893" t="s">
        <v>3086</v>
      </c>
      <c r="H119" s="2893" t="s">
        <v>3075</v>
      </c>
      <c r="I119" s="2893" t="s">
        <v>3238</v>
      </c>
      <c r="J119" s="2893" t="s">
        <v>2814</v>
      </c>
      <c r="K119" s="2893">
        <v>15</v>
      </c>
      <c r="L119" s="2893">
        <v>300</v>
      </c>
      <c r="M119" s="2893" t="s">
        <v>2814</v>
      </c>
      <c r="N119" s="2893" t="s">
        <v>3240</v>
      </c>
      <c r="O119" s="2893" t="s">
        <v>3078</v>
      </c>
    </row>
    <row r="120" spans="1:15" ht="13.5" hidden="1" customHeight="1">
      <c r="A120" s="2893" t="s">
        <v>3107</v>
      </c>
      <c r="B120" s="2893" t="s">
        <v>3072</v>
      </c>
      <c r="C120" s="2893" t="s">
        <v>3085</v>
      </c>
      <c r="D120" s="2893">
        <v>99</v>
      </c>
      <c r="E120" s="2893">
        <v>495</v>
      </c>
      <c r="G120" s="2893" t="s">
        <v>3086</v>
      </c>
      <c r="H120" s="2893" t="s">
        <v>3075</v>
      </c>
      <c r="I120" s="2893" t="s">
        <v>3238</v>
      </c>
      <c r="J120" s="2893" t="s">
        <v>2814</v>
      </c>
      <c r="K120" s="2893">
        <v>14.84</v>
      </c>
      <c r="L120" s="2893">
        <v>300</v>
      </c>
      <c r="M120" s="2893" t="s">
        <v>2814</v>
      </c>
      <c r="N120" s="2893" t="s">
        <v>3241</v>
      </c>
      <c r="O120" s="2893" t="s">
        <v>3078</v>
      </c>
    </row>
    <row r="121" spans="1:15" ht="13.5" hidden="1" customHeight="1">
      <c r="A121" s="2893" t="s">
        <v>3107</v>
      </c>
      <c r="B121" s="2893" t="s">
        <v>3072</v>
      </c>
      <c r="C121" s="2893" t="s">
        <v>3085</v>
      </c>
      <c r="D121" s="2893">
        <v>101</v>
      </c>
      <c r="E121" s="2893">
        <v>505</v>
      </c>
      <c r="G121" s="2893" t="s">
        <v>3086</v>
      </c>
      <c r="H121" s="2893" t="s">
        <v>3075</v>
      </c>
      <c r="I121" s="2893" t="s">
        <v>3238</v>
      </c>
      <c r="J121" s="2893" t="s">
        <v>2814</v>
      </c>
      <c r="K121" s="2893">
        <v>15.15</v>
      </c>
      <c r="L121" s="2893">
        <v>300</v>
      </c>
      <c r="M121" s="2893" t="s">
        <v>2814</v>
      </c>
      <c r="N121" s="2893" t="s">
        <v>3242</v>
      </c>
      <c r="O121" s="2893" t="s">
        <v>3078</v>
      </c>
    </row>
    <row r="122" spans="1:15" ht="13.5" hidden="1" customHeight="1">
      <c r="A122" s="2893" t="s">
        <v>3107</v>
      </c>
      <c r="B122" s="2893" t="s">
        <v>3072</v>
      </c>
      <c r="C122" s="2893" t="s">
        <v>3085</v>
      </c>
      <c r="D122" s="2893">
        <v>100</v>
      </c>
      <c r="E122" s="2893">
        <v>500</v>
      </c>
      <c r="G122" s="2893" t="s">
        <v>3086</v>
      </c>
      <c r="H122" s="2893" t="s">
        <v>3075</v>
      </c>
      <c r="I122" s="2893" t="s">
        <v>3238</v>
      </c>
      <c r="J122" s="2893" t="s">
        <v>2814</v>
      </c>
      <c r="K122" s="2893">
        <v>15</v>
      </c>
      <c r="L122" s="2893">
        <v>300</v>
      </c>
      <c r="M122" s="2893" t="s">
        <v>2814</v>
      </c>
      <c r="N122" s="2893" t="s">
        <v>3243</v>
      </c>
      <c r="O122" s="2893" t="s">
        <v>3078</v>
      </c>
    </row>
    <row r="123" spans="1:15" ht="13.5" hidden="1" customHeight="1">
      <c r="A123" s="2893" t="s">
        <v>3107</v>
      </c>
      <c r="B123" s="2893" t="s">
        <v>3072</v>
      </c>
      <c r="C123" s="2893" t="s">
        <v>3085</v>
      </c>
      <c r="D123" s="2893">
        <v>104</v>
      </c>
      <c r="E123" s="2893">
        <v>520</v>
      </c>
      <c r="G123" s="2893" t="s">
        <v>3086</v>
      </c>
      <c r="H123" s="2893" t="s">
        <v>3075</v>
      </c>
      <c r="I123" s="2893" t="s">
        <v>3238</v>
      </c>
      <c r="J123" s="2893" t="s">
        <v>2814</v>
      </c>
      <c r="K123" s="2893">
        <v>15.59</v>
      </c>
      <c r="L123" s="2893">
        <v>300</v>
      </c>
      <c r="M123" s="2893" t="s">
        <v>2814</v>
      </c>
      <c r="N123" s="2893" t="s">
        <v>3244</v>
      </c>
      <c r="O123" s="2893" t="s">
        <v>3078</v>
      </c>
    </row>
    <row r="124" spans="1:15" ht="13.5" hidden="1" customHeight="1">
      <c r="A124" s="2893" t="s">
        <v>3107</v>
      </c>
      <c r="B124" s="2893" t="s">
        <v>3072</v>
      </c>
      <c r="C124" s="2893" t="s">
        <v>3085</v>
      </c>
      <c r="D124" s="2893">
        <v>99</v>
      </c>
      <c r="E124" s="2893">
        <v>495</v>
      </c>
      <c r="G124" s="2893" t="s">
        <v>3086</v>
      </c>
      <c r="H124" s="2893" t="s">
        <v>3075</v>
      </c>
      <c r="I124" s="2893" t="s">
        <v>3238</v>
      </c>
      <c r="J124" s="2893" t="s">
        <v>2814</v>
      </c>
      <c r="K124" s="2893">
        <v>14.84</v>
      </c>
      <c r="L124" s="2893">
        <v>300</v>
      </c>
      <c r="M124" s="2893" t="s">
        <v>2814</v>
      </c>
      <c r="N124" s="2893" t="s">
        <v>3245</v>
      </c>
      <c r="O124" s="2893" t="s">
        <v>3078</v>
      </c>
    </row>
    <row r="125" spans="1:15" ht="13.5" hidden="1" customHeight="1">
      <c r="A125" s="2893" t="s">
        <v>3107</v>
      </c>
      <c r="B125" s="2893" t="s">
        <v>3072</v>
      </c>
      <c r="C125" s="2893" t="s">
        <v>3085</v>
      </c>
      <c r="D125" s="2893">
        <v>99</v>
      </c>
      <c r="E125" s="2893">
        <v>495</v>
      </c>
      <c r="G125" s="2893" t="s">
        <v>3086</v>
      </c>
      <c r="H125" s="2893" t="s">
        <v>3075</v>
      </c>
      <c r="I125" s="2893" t="s">
        <v>3238</v>
      </c>
      <c r="J125" s="2893" t="s">
        <v>2814</v>
      </c>
      <c r="K125" s="2893">
        <v>14.84</v>
      </c>
      <c r="L125" s="2893">
        <v>300</v>
      </c>
      <c r="M125" s="2893" t="s">
        <v>2814</v>
      </c>
      <c r="N125" s="2893" t="s">
        <v>3246</v>
      </c>
      <c r="O125" s="2893" t="s">
        <v>3078</v>
      </c>
    </row>
    <row r="126" spans="1:15" ht="13.5" hidden="1" customHeight="1">
      <c r="A126" s="2893" t="s">
        <v>3247</v>
      </c>
      <c r="B126" s="2893" t="s">
        <v>3072</v>
      </c>
      <c r="C126" s="2893" t="s">
        <v>3085</v>
      </c>
      <c r="D126" s="2893">
        <v>3049</v>
      </c>
      <c r="E126" s="2893">
        <v>5183.3</v>
      </c>
      <c r="G126" s="2893" t="s">
        <v>3214</v>
      </c>
      <c r="H126" s="2893" t="s">
        <v>3075</v>
      </c>
      <c r="I126" s="2893" t="s">
        <v>3248</v>
      </c>
      <c r="J126" s="2893">
        <v>125</v>
      </c>
      <c r="K126" s="2893">
        <v>736.33</v>
      </c>
      <c r="L126" s="2893">
        <v>1420.57</v>
      </c>
      <c r="M126" s="2893">
        <v>489.06</v>
      </c>
      <c r="N126" s="2893" t="s">
        <v>3249</v>
      </c>
      <c r="O126" s="2893" t="s">
        <v>3078</v>
      </c>
    </row>
    <row r="127" spans="1:15" s="3194" customFormat="1">
      <c r="A127" s="3194" t="s">
        <v>3330</v>
      </c>
      <c r="B127" s="3192" t="s">
        <v>3072</v>
      </c>
      <c r="C127" s="3194" t="s">
        <v>3085</v>
      </c>
      <c r="D127" s="3194">
        <v>22010</v>
      </c>
      <c r="E127" s="3194">
        <v>44020</v>
      </c>
      <c r="F127" s="3194">
        <f t="shared" ref="F127:F136" si="5">E127/D127</f>
        <v>2</v>
      </c>
      <c r="G127" s="3194" t="s">
        <v>3250</v>
      </c>
      <c r="H127" s="3192" t="s">
        <v>3075</v>
      </c>
      <c r="I127" s="3197">
        <v>43035</v>
      </c>
      <c r="J127" s="3192" t="s">
        <v>2814</v>
      </c>
      <c r="K127" s="3194">
        <v>3631.65</v>
      </c>
      <c r="L127" s="3209">
        <v>825</v>
      </c>
      <c r="M127" s="3194" t="s">
        <v>2814</v>
      </c>
      <c r="N127" s="3194" t="s">
        <v>3251</v>
      </c>
      <c r="O127" s="3194" t="s">
        <v>3078</v>
      </c>
    </row>
    <row r="128" spans="1:15">
      <c r="A128" s="2893" t="s">
        <v>3252</v>
      </c>
      <c r="B128" s="2893" t="s">
        <v>3072</v>
      </c>
      <c r="C128" s="2893" t="s">
        <v>3085</v>
      </c>
      <c r="D128" s="2893">
        <v>69351</v>
      </c>
      <c r="E128" s="2893">
        <v>83221.2</v>
      </c>
      <c r="F128" s="3192">
        <f t="shared" si="5"/>
        <v>1.2</v>
      </c>
      <c r="G128" s="2893" t="s">
        <v>3253</v>
      </c>
      <c r="H128" s="2893" t="s">
        <v>3075</v>
      </c>
      <c r="I128" s="2893" t="s">
        <v>3254</v>
      </c>
      <c r="J128" s="2893" t="s">
        <v>2814</v>
      </c>
      <c r="K128" s="2893">
        <v>2392.61</v>
      </c>
      <c r="L128" s="2893">
        <v>287.5</v>
      </c>
      <c r="M128" s="2893" t="s">
        <v>2814</v>
      </c>
      <c r="N128" s="2893" t="s">
        <v>3255</v>
      </c>
      <c r="O128" s="2893" t="s">
        <v>3078</v>
      </c>
    </row>
    <row r="129" spans="1:15">
      <c r="A129" s="2893" t="s">
        <v>3252</v>
      </c>
      <c r="B129" s="2893" t="s">
        <v>3072</v>
      </c>
      <c r="C129" s="2893" t="s">
        <v>3085</v>
      </c>
      <c r="D129" s="2893">
        <v>68628</v>
      </c>
      <c r="E129" s="2893">
        <v>82353.600000000006</v>
      </c>
      <c r="F129" s="3192">
        <f t="shared" si="5"/>
        <v>1.2000000000000002</v>
      </c>
      <c r="G129" s="2893" t="s">
        <v>3253</v>
      </c>
      <c r="H129" s="2893" t="s">
        <v>3075</v>
      </c>
      <c r="I129" s="2893" t="s">
        <v>3254</v>
      </c>
      <c r="J129" s="2893" t="s">
        <v>2814</v>
      </c>
      <c r="K129" s="2893">
        <v>2367.67</v>
      </c>
      <c r="L129" s="2893">
        <v>287.5</v>
      </c>
      <c r="M129" s="2893" t="s">
        <v>2814</v>
      </c>
      <c r="N129" s="2893" t="s">
        <v>3255</v>
      </c>
      <c r="O129" s="2893" t="s">
        <v>3078</v>
      </c>
    </row>
    <row r="130" spans="1:15">
      <c r="A130" s="2893" t="s">
        <v>3252</v>
      </c>
      <c r="B130" s="2893" t="s">
        <v>3072</v>
      </c>
      <c r="C130" s="2893" t="s">
        <v>3085</v>
      </c>
      <c r="D130" s="2893">
        <v>67660</v>
      </c>
      <c r="E130" s="2893">
        <v>81192</v>
      </c>
      <c r="F130" s="3192">
        <f t="shared" si="5"/>
        <v>1.2</v>
      </c>
      <c r="G130" s="2893" t="s">
        <v>3253</v>
      </c>
      <c r="H130" s="2893" t="s">
        <v>3075</v>
      </c>
      <c r="I130" s="2893" t="s">
        <v>3254</v>
      </c>
      <c r="J130" s="2893" t="s">
        <v>2814</v>
      </c>
      <c r="K130" s="2893">
        <v>2334.2600000000002</v>
      </c>
      <c r="L130" s="2893">
        <v>287.5</v>
      </c>
      <c r="M130" s="2893" t="s">
        <v>2814</v>
      </c>
      <c r="N130" s="2893" t="s">
        <v>3255</v>
      </c>
      <c r="O130" s="2893" t="s">
        <v>3078</v>
      </c>
    </row>
    <row r="131" spans="1:15">
      <c r="A131" s="2893" t="s">
        <v>3252</v>
      </c>
      <c r="B131" s="2893" t="s">
        <v>3072</v>
      </c>
      <c r="C131" s="2893" t="s">
        <v>3085</v>
      </c>
      <c r="D131" s="2893">
        <v>50249</v>
      </c>
      <c r="E131" s="2893">
        <v>60298.8</v>
      </c>
      <c r="F131" s="3192">
        <f t="shared" si="5"/>
        <v>1.2</v>
      </c>
      <c r="G131" s="2893" t="s">
        <v>3253</v>
      </c>
      <c r="H131" s="2893" t="s">
        <v>3075</v>
      </c>
      <c r="I131" s="2893" t="s">
        <v>3254</v>
      </c>
      <c r="J131" s="2893" t="s">
        <v>2814</v>
      </c>
      <c r="K131" s="2893">
        <v>1733.58</v>
      </c>
      <c r="L131" s="2893">
        <v>287.5</v>
      </c>
      <c r="M131" s="2893" t="s">
        <v>2814</v>
      </c>
      <c r="N131" s="2893" t="s">
        <v>3255</v>
      </c>
      <c r="O131" s="2893" t="s">
        <v>3078</v>
      </c>
    </row>
    <row r="132" spans="1:15">
      <c r="A132" s="2893" t="s">
        <v>3252</v>
      </c>
      <c r="B132" s="2893" t="s">
        <v>3072</v>
      </c>
      <c r="C132" s="2893" t="s">
        <v>3085</v>
      </c>
      <c r="D132" s="2893">
        <v>56488</v>
      </c>
      <c r="E132" s="2893">
        <v>67785.600000000006</v>
      </c>
      <c r="F132" s="3192">
        <f t="shared" si="5"/>
        <v>1.2000000000000002</v>
      </c>
      <c r="G132" s="2893" t="s">
        <v>3253</v>
      </c>
      <c r="H132" s="2893" t="s">
        <v>3075</v>
      </c>
      <c r="I132" s="2893" t="s">
        <v>3254</v>
      </c>
      <c r="J132" s="2893" t="s">
        <v>2814</v>
      </c>
      <c r="K132" s="2893">
        <v>1948.83</v>
      </c>
      <c r="L132" s="2893">
        <v>287.5</v>
      </c>
      <c r="M132" s="2893" t="s">
        <v>2814</v>
      </c>
      <c r="N132" s="2893" t="s">
        <v>3255</v>
      </c>
      <c r="O132" s="2893" t="s">
        <v>3078</v>
      </c>
    </row>
    <row r="133" spans="1:15" s="3192" customFormat="1">
      <c r="A133" s="3192" t="s">
        <v>3256</v>
      </c>
      <c r="B133" s="3192" t="s">
        <v>3072</v>
      </c>
      <c r="C133" s="3192" t="s">
        <v>3085</v>
      </c>
      <c r="D133" s="3192">
        <v>15529</v>
      </c>
      <c r="E133" s="3192">
        <v>37269.599999999999</v>
      </c>
      <c r="F133" s="3192">
        <f t="shared" si="5"/>
        <v>2.4</v>
      </c>
      <c r="G133" s="3192" t="s">
        <v>3257</v>
      </c>
      <c r="H133" s="3192" t="s">
        <v>3075</v>
      </c>
      <c r="I133" s="3192" t="s">
        <v>3258</v>
      </c>
      <c r="J133" s="3192" t="s">
        <v>2814</v>
      </c>
      <c r="K133" s="3192">
        <v>3494.03</v>
      </c>
      <c r="L133" s="3209">
        <v>937.5</v>
      </c>
      <c r="M133" s="3192" t="s">
        <v>2814</v>
      </c>
      <c r="N133" s="3192" t="s">
        <v>3259</v>
      </c>
      <c r="O133" s="3192" t="s">
        <v>3078</v>
      </c>
    </row>
    <row r="134" spans="1:15">
      <c r="A134" s="2893" t="s">
        <v>3260</v>
      </c>
      <c r="B134" s="2893" t="s">
        <v>3072</v>
      </c>
      <c r="C134" s="2893" t="s">
        <v>3073</v>
      </c>
      <c r="D134" s="2893">
        <v>1081</v>
      </c>
      <c r="E134" s="2893">
        <v>918.85</v>
      </c>
      <c r="F134" s="3192">
        <f t="shared" si="5"/>
        <v>0.85</v>
      </c>
      <c r="G134" s="2893" t="s">
        <v>3261</v>
      </c>
      <c r="H134" s="2893" t="s">
        <v>3075</v>
      </c>
      <c r="I134" s="2893" t="s">
        <v>3262</v>
      </c>
      <c r="J134" s="2893">
        <v>13.52</v>
      </c>
      <c r="K134" s="2893">
        <v>21.94</v>
      </c>
      <c r="L134" s="2893">
        <v>238.78</v>
      </c>
      <c r="M134" s="2893">
        <v>62.16</v>
      </c>
      <c r="N134" s="2893" t="s">
        <v>3263</v>
      </c>
      <c r="O134" s="2893" t="s">
        <v>3078</v>
      </c>
    </row>
    <row r="135" spans="1:15">
      <c r="A135" s="2893" t="s">
        <v>3260</v>
      </c>
      <c r="B135" s="2893" t="s">
        <v>3072</v>
      </c>
      <c r="C135" s="2893" t="s">
        <v>3073</v>
      </c>
      <c r="D135" s="2893">
        <v>3398</v>
      </c>
      <c r="E135" s="2893">
        <v>2548.5</v>
      </c>
      <c r="F135" s="3192">
        <f t="shared" si="5"/>
        <v>0.75</v>
      </c>
      <c r="G135" s="2893" t="s">
        <v>3264</v>
      </c>
      <c r="H135" s="2893" t="s">
        <v>3075</v>
      </c>
      <c r="I135" s="2893" t="s">
        <v>3262</v>
      </c>
      <c r="J135" s="2893" t="s">
        <v>2814</v>
      </c>
      <c r="K135" s="2893">
        <v>62.17</v>
      </c>
      <c r="L135" s="2893">
        <v>243.99</v>
      </c>
      <c r="M135" s="2893" t="s">
        <v>2814</v>
      </c>
      <c r="N135" s="2893" t="s">
        <v>3265</v>
      </c>
      <c r="O135" s="2893" t="s">
        <v>3078</v>
      </c>
    </row>
    <row r="136" spans="1:15">
      <c r="A136" s="2893" t="s">
        <v>3260</v>
      </c>
      <c r="B136" s="2893" t="s">
        <v>3072</v>
      </c>
      <c r="C136" s="2893" t="s">
        <v>3073</v>
      </c>
      <c r="D136" s="2893">
        <v>4197</v>
      </c>
      <c r="E136" s="2893">
        <v>6379.44</v>
      </c>
      <c r="F136" s="3192">
        <f t="shared" si="5"/>
        <v>1.5199999999999998</v>
      </c>
      <c r="G136" s="2893" t="s">
        <v>3266</v>
      </c>
      <c r="H136" s="2893" t="s">
        <v>3075</v>
      </c>
      <c r="I136" s="2893" t="s">
        <v>3262</v>
      </c>
      <c r="J136" s="2893" t="s">
        <v>2814</v>
      </c>
      <c r="K136" s="2893">
        <v>85.2</v>
      </c>
      <c r="L136" s="2893">
        <v>133.55000000000001</v>
      </c>
      <c r="M136" s="2893" t="s">
        <v>2814</v>
      </c>
      <c r="N136" s="2893" t="s">
        <v>3263</v>
      </c>
      <c r="O136" s="2893" t="s">
        <v>3078</v>
      </c>
    </row>
    <row r="137" spans="1:15" ht="13.5" hidden="1" customHeight="1">
      <c r="A137" s="2893" t="s">
        <v>3084</v>
      </c>
      <c r="B137" s="2893" t="s">
        <v>3072</v>
      </c>
      <c r="C137" s="2893" t="s">
        <v>3085</v>
      </c>
      <c r="D137" s="2893">
        <v>98</v>
      </c>
      <c r="E137" s="2893">
        <v>490</v>
      </c>
      <c r="G137" s="2893" t="s">
        <v>3086</v>
      </c>
      <c r="H137" s="2893" t="s">
        <v>3075</v>
      </c>
      <c r="I137" s="2893" t="s">
        <v>3267</v>
      </c>
      <c r="J137" s="2893" t="s">
        <v>2814</v>
      </c>
      <c r="K137" s="2893">
        <v>14.69</v>
      </c>
      <c r="L137" s="2893">
        <v>300</v>
      </c>
      <c r="M137" s="2893" t="s">
        <v>2814</v>
      </c>
      <c r="N137" s="2893" t="s">
        <v>3268</v>
      </c>
      <c r="O137" s="2893" t="s">
        <v>3078</v>
      </c>
    </row>
    <row r="138" spans="1:15" ht="13.5" hidden="1" customHeight="1">
      <c r="A138" s="2893" t="s">
        <v>3107</v>
      </c>
      <c r="B138" s="2893" t="s">
        <v>3072</v>
      </c>
      <c r="C138" s="2893" t="s">
        <v>3085</v>
      </c>
      <c r="D138" s="2893">
        <v>101</v>
      </c>
      <c r="E138" s="2893">
        <v>505</v>
      </c>
      <c r="G138" s="2893" t="s">
        <v>3086</v>
      </c>
      <c r="H138" s="2893" t="s">
        <v>3075</v>
      </c>
      <c r="I138" s="2893" t="s">
        <v>3267</v>
      </c>
      <c r="J138" s="2893" t="s">
        <v>2814</v>
      </c>
      <c r="K138" s="2893">
        <v>15.15</v>
      </c>
      <c r="L138" s="2893">
        <v>300</v>
      </c>
      <c r="M138" s="2893" t="s">
        <v>2814</v>
      </c>
      <c r="N138" s="2893" t="s">
        <v>3269</v>
      </c>
      <c r="O138" s="2893" t="s">
        <v>3078</v>
      </c>
    </row>
    <row r="139" spans="1:15" ht="13.5" hidden="1" customHeight="1">
      <c r="A139" s="2893" t="s">
        <v>3084</v>
      </c>
      <c r="B139" s="2893" t="s">
        <v>3072</v>
      </c>
      <c r="C139" s="2893" t="s">
        <v>3085</v>
      </c>
      <c r="D139" s="2893">
        <v>105</v>
      </c>
      <c r="E139" s="2893">
        <v>525</v>
      </c>
      <c r="G139" s="2893" t="s">
        <v>3086</v>
      </c>
      <c r="H139" s="2893" t="s">
        <v>3075</v>
      </c>
      <c r="I139" s="2893" t="s">
        <v>3267</v>
      </c>
      <c r="J139" s="2893" t="s">
        <v>2814</v>
      </c>
      <c r="K139" s="2893">
        <v>15.75</v>
      </c>
      <c r="L139" s="2893">
        <v>300</v>
      </c>
      <c r="M139" s="2893" t="s">
        <v>2814</v>
      </c>
      <c r="N139" s="2893" t="s">
        <v>3270</v>
      </c>
      <c r="O139" s="2893" t="s">
        <v>3078</v>
      </c>
    </row>
    <row r="140" spans="1:15" ht="13.5" hidden="1" customHeight="1">
      <c r="A140" s="2893" t="s">
        <v>3084</v>
      </c>
      <c r="B140" s="2893" t="s">
        <v>3072</v>
      </c>
      <c r="C140" s="2893" t="s">
        <v>3085</v>
      </c>
      <c r="D140" s="2893">
        <v>96</v>
      </c>
      <c r="E140" s="2893">
        <v>480</v>
      </c>
      <c r="G140" s="2893" t="s">
        <v>3086</v>
      </c>
      <c r="H140" s="2893" t="s">
        <v>3075</v>
      </c>
      <c r="I140" s="2893" t="s">
        <v>3267</v>
      </c>
      <c r="J140" s="2893" t="s">
        <v>2814</v>
      </c>
      <c r="K140" s="2893">
        <v>14.4</v>
      </c>
      <c r="L140" s="2893">
        <v>300</v>
      </c>
      <c r="M140" s="2893" t="s">
        <v>2814</v>
      </c>
      <c r="N140" s="2893" t="s">
        <v>3271</v>
      </c>
      <c r="O140" s="2893" t="s">
        <v>3078</v>
      </c>
    </row>
    <row r="141" spans="1:15" ht="13.5" hidden="1" customHeight="1">
      <c r="A141" s="2893" t="s">
        <v>3084</v>
      </c>
      <c r="B141" s="2893" t="s">
        <v>3072</v>
      </c>
      <c r="C141" s="2893" t="s">
        <v>3085</v>
      </c>
      <c r="D141" s="2893">
        <v>98</v>
      </c>
      <c r="E141" s="2893">
        <v>490</v>
      </c>
      <c r="G141" s="2893" t="s">
        <v>3086</v>
      </c>
      <c r="H141" s="2893" t="s">
        <v>3075</v>
      </c>
      <c r="I141" s="2893" t="s">
        <v>3267</v>
      </c>
      <c r="J141" s="2893" t="s">
        <v>2814</v>
      </c>
      <c r="K141" s="2893">
        <v>14.69</v>
      </c>
      <c r="L141" s="2893">
        <v>300</v>
      </c>
      <c r="M141" s="2893" t="s">
        <v>2814</v>
      </c>
      <c r="N141" s="2893" t="s">
        <v>3272</v>
      </c>
      <c r="O141" s="2893" t="s">
        <v>3078</v>
      </c>
    </row>
    <row r="142" spans="1:15" ht="13.5" hidden="1" customHeight="1">
      <c r="A142" s="2893" t="s">
        <v>3107</v>
      </c>
      <c r="B142" s="2893" t="s">
        <v>3072</v>
      </c>
      <c r="C142" s="2893" t="s">
        <v>3085</v>
      </c>
      <c r="D142" s="2893">
        <v>100</v>
      </c>
      <c r="E142" s="2893">
        <v>500</v>
      </c>
      <c r="G142" s="2893" t="s">
        <v>3086</v>
      </c>
      <c r="H142" s="2893" t="s">
        <v>3075</v>
      </c>
      <c r="I142" s="2893" t="s">
        <v>3267</v>
      </c>
      <c r="J142" s="2893" t="s">
        <v>2814</v>
      </c>
      <c r="K142" s="2893">
        <v>15</v>
      </c>
      <c r="L142" s="2893">
        <v>300</v>
      </c>
      <c r="M142" s="2893" t="s">
        <v>2814</v>
      </c>
      <c r="N142" s="2893" t="s">
        <v>3273</v>
      </c>
      <c r="O142" s="2893" t="s">
        <v>3078</v>
      </c>
    </row>
    <row r="143" spans="1:15" ht="13.5" hidden="1" customHeight="1">
      <c r="A143" s="2893" t="s">
        <v>3107</v>
      </c>
      <c r="B143" s="2893" t="s">
        <v>3072</v>
      </c>
      <c r="C143" s="2893" t="s">
        <v>3085</v>
      </c>
      <c r="D143" s="2893">
        <v>102</v>
      </c>
      <c r="E143" s="2893">
        <v>510</v>
      </c>
      <c r="G143" s="2893" t="s">
        <v>3086</v>
      </c>
      <c r="H143" s="2893" t="s">
        <v>3075</v>
      </c>
      <c r="I143" s="2893" t="s">
        <v>3267</v>
      </c>
      <c r="J143" s="2893" t="s">
        <v>2814</v>
      </c>
      <c r="K143" s="2893">
        <v>15.3</v>
      </c>
      <c r="L143" s="2893">
        <v>300</v>
      </c>
      <c r="M143" s="2893" t="s">
        <v>2814</v>
      </c>
      <c r="N143" s="2893" t="s">
        <v>3274</v>
      </c>
      <c r="O143" s="2893" t="s">
        <v>3078</v>
      </c>
    </row>
    <row r="144" spans="1:15" ht="13.5" hidden="1" customHeight="1">
      <c r="A144" s="2893" t="s">
        <v>3084</v>
      </c>
      <c r="B144" s="2893" t="s">
        <v>3072</v>
      </c>
      <c r="C144" s="2893" t="s">
        <v>3085</v>
      </c>
      <c r="D144" s="2893">
        <v>100</v>
      </c>
      <c r="E144" s="2893">
        <v>500</v>
      </c>
      <c r="G144" s="2893" t="s">
        <v>3086</v>
      </c>
      <c r="H144" s="2893" t="s">
        <v>3075</v>
      </c>
      <c r="I144" s="2893" t="s">
        <v>3267</v>
      </c>
      <c r="J144" s="2893" t="s">
        <v>2814</v>
      </c>
      <c r="K144" s="2893">
        <v>15</v>
      </c>
      <c r="L144" s="2893">
        <v>300</v>
      </c>
      <c r="M144" s="2893" t="s">
        <v>2814</v>
      </c>
      <c r="N144" s="2893" t="s">
        <v>3275</v>
      </c>
      <c r="O144" s="2893" t="s">
        <v>3078</v>
      </c>
    </row>
    <row r="145" spans="1:15" ht="13.5" hidden="1" customHeight="1">
      <c r="A145" s="2893" t="s">
        <v>3084</v>
      </c>
      <c r="B145" s="2893" t="s">
        <v>3072</v>
      </c>
      <c r="C145" s="2893" t="s">
        <v>3085</v>
      </c>
      <c r="D145" s="2893">
        <v>101</v>
      </c>
      <c r="E145" s="2893">
        <v>505</v>
      </c>
      <c r="G145" s="2893" t="s">
        <v>3086</v>
      </c>
      <c r="H145" s="2893" t="s">
        <v>3075</v>
      </c>
      <c r="I145" s="2893" t="s">
        <v>3267</v>
      </c>
      <c r="J145" s="2893" t="s">
        <v>2814</v>
      </c>
      <c r="K145" s="2893">
        <v>15.15</v>
      </c>
      <c r="L145" s="2893">
        <v>300</v>
      </c>
      <c r="M145" s="2893" t="s">
        <v>2814</v>
      </c>
      <c r="N145" s="2893" t="s">
        <v>3276</v>
      </c>
      <c r="O145" s="2893" t="s">
        <v>3078</v>
      </c>
    </row>
    <row r="146" spans="1:15" ht="13.5" hidden="1" customHeight="1">
      <c r="A146" s="2893" t="s">
        <v>3107</v>
      </c>
      <c r="B146" s="2893" t="s">
        <v>3072</v>
      </c>
      <c r="C146" s="2893" t="s">
        <v>3085</v>
      </c>
      <c r="D146" s="2893">
        <v>102</v>
      </c>
      <c r="E146" s="2893">
        <v>510</v>
      </c>
      <c r="G146" s="2893" t="s">
        <v>3086</v>
      </c>
      <c r="H146" s="2893" t="s">
        <v>3075</v>
      </c>
      <c r="I146" s="2893" t="s">
        <v>3267</v>
      </c>
      <c r="J146" s="2893" t="s">
        <v>2814</v>
      </c>
      <c r="K146" s="2893">
        <v>15.3</v>
      </c>
      <c r="L146" s="2893">
        <v>300</v>
      </c>
      <c r="M146" s="2893" t="s">
        <v>2814</v>
      </c>
      <c r="N146" s="2893" t="s">
        <v>3277</v>
      </c>
      <c r="O146" s="2893" t="s">
        <v>3078</v>
      </c>
    </row>
    <row r="147" spans="1:15" ht="13.5" hidden="1" customHeight="1">
      <c r="A147" s="2893" t="s">
        <v>3107</v>
      </c>
      <c r="B147" s="2893" t="s">
        <v>3072</v>
      </c>
      <c r="C147" s="2893" t="s">
        <v>3085</v>
      </c>
      <c r="D147" s="2893">
        <v>99</v>
      </c>
      <c r="E147" s="2893">
        <v>495</v>
      </c>
      <c r="G147" s="2893" t="s">
        <v>3086</v>
      </c>
      <c r="H147" s="2893" t="s">
        <v>3075</v>
      </c>
      <c r="I147" s="2893" t="s">
        <v>3267</v>
      </c>
      <c r="J147" s="2893" t="s">
        <v>2814</v>
      </c>
      <c r="K147" s="2893">
        <v>14.84</v>
      </c>
      <c r="L147" s="2893">
        <v>300</v>
      </c>
      <c r="M147" s="2893" t="s">
        <v>2814</v>
      </c>
      <c r="N147" s="2893" t="s">
        <v>3278</v>
      </c>
      <c r="O147" s="2893" t="s">
        <v>3078</v>
      </c>
    </row>
    <row r="148" spans="1:15" ht="13.5" hidden="1" customHeight="1">
      <c r="A148" s="2893" t="s">
        <v>3107</v>
      </c>
      <c r="B148" s="2893" t="s">
        <v>3072</v>
      </c>
      <c r="C148" s="2893" t="s">
        <v>3085</v>
      </c>
      <c r="D148" s="2893">
        <v>102</v>
      </c>
      <c r="E148" s="2893">
        <v>510</v>
      </c>
      <c r="G148" s="2893" t="s">
        <v>3086</v>
      </c>
      <c r="H148" s="2893" t="s">
        <v>3075</v>
      </c>
      <c r="I148" s="2893" t="s">
        <v>3267</v>
      </c>
      <c r="J148" s="2893" t="s">
        <v>2814</v>
      </c>
      <c r="K148" s="2893">
        <v>15.3</v>
      </c>
      <c r="L148" s="2893">
        <v>300</v>
      </c>
      <c r="M148" s="2893" t="s">
        <v>2814</v>
      </c>
      <c r="N148" s="2893" t="s">
        <v>3279</v>
      </c>
      <c r="O148" s="2893" t="s">
        <v>3078</v>
      </c>
    </row>
    <row r="149" spans="1:15" ht="13.5" hidden="1" customHeight="1">
      <c r="A149" s="2893" t="s">
        <v>3107</v>
      </c>
      <c r="B149" s="2893" t="s">
        <v>3072</v>
      </c>
      <c r="C149" s="2893" t="s">
        <v>3085</v>
      </c>
      <c r="D149" s="2893">
        <v>113</v>
      </c>
      <c r="E149" s="2893">
        <v>565</v>
      </c>
      <c r="G149" s="2893" t="s">
        <v>3086</v>
      </c>
      <c r="H149" s="2893" t="s">
        <v>3075</v>
      </c>
      <c r="I149" s="2893" t="s">
        <v>3267</v>
      </c>
      <c r="J149" s="2893" t="s">
        <v>2814</v>
      </c>
      <c r="K149" s="2893">
        <v>16.940000000000001</v>
      </c>
      <c r="L149" s="2893">
        <v>300</v>
      </c>
      <c r="M149" s="2893" t="s">
        <v>2814</v>
      </c>
      <c r="N149" s="2893" t="s">
        <v>3280</v>
      </c>
      <c r="O149" s="2893" t="s">
        <v>3078</v>
      </c>
    </row>
    <row r="150" spans="1:15" ht="13.5" hidden="1" customHeight="1">
      <c r="A150" s="2893" t="s">
        <v>3084</v>
      </c>
      <c r="B150" s="2893" t="s">
        <v>3072</v>
      </c>
      <c r="C150" s="2893" t="s">
        <v>3085</v>
      </c>
      <c r="D150" s="2893">
        <v>102</v>
      </c>
      <c r="E150" s="2893">
        <v>510</v>
      </c>
      <c r="G150" s="2893" t="s">
        <v>3086</v>
      </c>
      <c r="H150" s="2893" t="s">
        <v>3075</v>
      </c>
      <c r="I150" s="2893" t="s">
        <v>3267</v>
      </c>
      <c r="J150" s="2893" t="s">
        <v>2814</v>
      </c>
      <c r="K150" s="2893">
        <v>15.3</v>
      </c>
      <c r="L150" s="2893">
        <v>300</v>
      </c>
      <c r="M150" s="2893" t="s">
        <v>2814</v>
      </c>
      <c r="N150" s="2893" t="s">
        <v>3281</v>
      </c>
      <c r="O150" s="2893" t="s">
        <v>3078</v>
      </c>
    </row>
    <row r="151" spans="1:15" ht="13.5" hidden="1" customHeight="1">
      <c r="A151" s="2893" t="s">
        <v>3107</v>
      </c>
      <c r="B151" s="2893" t="s">
        <v>3072</v>
      </c>
      <c r="C151" s="2893" t="s">
        <v>3085</v>
      </c>
      <c r="D151" s="2893">
        <v>100</v>
      </c>
      <c r="E151" s="2893">
        <v>500</v>
      </c>
      <c r="G151" s="2893" t="s">
        <v>3086</v>
      </c>
      <c r="H151" s="2893" t="s">
        <v>3075</v>
      </c>
      <c r="I151" s="2893" t="s">
        <v>3267</v>
      </c>
      <c r="J151" s="2893" t="s">
        <v>2814</v>
      </c>
      <c r="K151" s="2893">
        <v>15</v>
      </c>
      <c r="L151" s="2893">
        <v>300</v>
      </c>
      <c r="M151" s="2893" t="s">
        <v>2814</v>
      </c>
      <c r="N151" s="2893" t="s">
        <v>3282</v>
      </c>
      <c r="O151" s="2893" t="s">
        <v>3078</v>
      </c>
    </row>
    <row r="152" spans="1:15" ht="13.5" hidden="1" customHeight="1">
      <c r="A152" s="2893" t="s">
        <v>3084</v>
      </c>
      <c r="B152" s="2893" t="s">
        <v>3072</v>
      </c>
      <c r="C152" s="2893" t="s">
        <v>3085</v>
      </c>
      <c r="D152" s="2893">
        <v>96</v>
      </c>
      <c r="E152" s="2893">
        <v>480</v>
      </c>
      <c r="G152" s="2893" t="s">
        <v>3086</v>
      </c>
      <c r="H152" s="2893" t="s">
        <v>3075</v>
      </c>
      <c r="I152" s="2893" t="s">
        <v>3267</v>
      </c>
      <c r="J152" s="2893" t="s">
        <v>2814</v>
      </c>
      <c r="K152" s="2893">
        <v>14.4</v>
      </c>
      <c r="L152" s="2893">
        <v>300</v>
      </c>
      <c r="M152" s="2893" t="s">
        <v>2814</v>
      </c>
      <c r="N152" s="2893" t="s">
        <v>3283</v>
      </c>
      <c r="O152" s="2893" t="s">
        <v>3078</v>
      </c>
    </row>
    <row r="153" spans="1:15" s="3192" customFormat="1">
      <c r="A153" s="3192" t="s">
        <v>3284</v>
      </c>
      <c r="B153" s="3192" t="s">
        <v>3072</v>
      </c>
      <c r="C153" s="3192" t="s">
        <v>3085</v>
      </c>
      <c r="D153" s="3192">
        <v>16741</v>
      </c>
      <c r="E153" s="3192">
        <v>33482</v>
      </c>
      <c r="F153" s="3192">
        <f t="shared" ref="F153:F156" si="6">E153/D153</f>
        <v>2</v>
      </c>
      <c r="G153" s="3192" t="s">
        <v>3285</v>
      </c>
      <c r="H153" s="3192" t="s">
        <v>3075</v>
      </c>
      <c r="I153" s="3192" t="s">
        <v>3286</v>
      </c>
      <c r="J153" s="3192" t="s">
        <v>2814</v>
      </c>
      <c r="K153" s="3192">
        <v>3013.38</v>
      </c>
      <c r="L153" s="3209">
        <v>900</v>
      </c>
      <c r="M153" s="3192" t="s">
        <v>2814</v>
      </c>
      <c r="N153" s="3192" t="s">
        <v>3206</v>
      </c>
      <c r="O153" s="3192" t="s">
        <v>3078</v>
      </c>
    </row>
    <row r="154" spans="1:15">
      <c r="A154" s="2893" t="s">
        <v>3287</v>
      </c>
      <c r="B154" s="2893" t="s">
        <v>3072</v>
      </c>
      <c r="C154" s="2893" t="s">
        <v>3085</v>
      </c>
      <c r="D154" s="2893">
        <v>833</v>
      </c>
      <c r="E154" s="2893">
        <v>1499.4</v>
      </c>
      <c r="F154" s="3192">
        <f t="shared" si="6"/>
        <v>1.8</v>
      </c>
      <c r="G154" s="2893" t="s">
        <v>3288</v>
      </c>
      <c r="H154" s="2893" t="s">
        <v>3075</v>
      </c>
      <c r="I154" s="2893" t="s">
        <v>3289</v>
      </c>
      <c r="J154" s="2893">
        <v>60</v>
      </c>
      <c r="K154" s="2893">
        <v>74.959999999999994</v>
      </c>
      <c r="L154" s="2893">
        <v>500</v>
      </c>
      <c r="M154" s="2893">
        <v>24.95</v>
      </c>
      <c r="N154" s="2893" t="s">
        <v>3290</v>
      </c>
      <c r="O154" s="2893" t="s">
        <v>3078</v>
      </c>
    </row>
    <row r="155" spans="1:15">
      <c r="A155" s="2893" t="s">
        <v>3291</v>
      </c>
      <c r="B155" s="2893" t="s">
        <v>3072</v>
      </c>
      <c r="C155" s="2893" t="s">
        <v>3085</v>
      </c>
      <c r="D155" s="2893">
        <v>8130</v>
      </c>
      <c r="E155" s="2893">
        <v>12195</v>
      </c>
      <c r="F155" s="3192">
        <f t="shared" si="6"/>
        <v>1.5</v>
      </c>
      <c r="G155" s="2893" t="s">
        <v>3074</v>
      </c>
      <c r="H155" s="2893" t="s">
        <v>3075</v>
      </c>
      <c r="I155" s="2893" t="s">
        <v>3289</v>
      </c>
      <c r="J155" s="2893" t="s">
        <v>2814</v>
      </c>
      <c r="K155" s="2893">
        <v>256.10000000000002</v>
      </c>
      <c r="L155" s="2893">
        <v>210</v>
      </c>
      <c r="M155" s="2893" t="s">
        <v>2814</v>
      </c>
      <c r="N155" s="2893" t="s">
        <v>3292</v>
      </c>
      <c r="O155" s="2893" t="s">
        <v>3078</v>
      </c>
    </row>
    <row r="156" spans="1:15">
      <c r="A156" s="2893" t="s">
        <v>3291</v>
      </c>
      <c r="B156" s="2893" t="s">
        <v>3072</v>
      </c>
      <c r="C156" s="2893" t="s">
        <v>3085</v>
      </c>
      <c r="D156" s="2893">
        <v>2325</v>
      </c>
      <c r="E156" s="2893">
        <v>3487.5</v>
      </c>
      <c r="F156" s="3192">
        <f t="shared" si="6"/>
        <v>1.5</v>
      </c>
      <c r="G156" s="2893" t="s">
        <v>3074</v>
      </c>
      <c r="H156" s="2893" t="s">
        <v>3075</v>
      </c>
      <c r="I156" s="2893" t="s">
        <v>3289</v>
      </c>
      <c r="J156" s="2893" t="s">
        <v>2814</v>
      </c>
      <c r="K156" s="2893">
        <v>73.23</v>
      </c>
      <c r="L156" s="2893">
        <v>210</v>
      </c>
      <c r="M156" s="2893" t="s">
        <v>2814</v>
      </c>
      <c r="N156" s="2893" t="s">
        <v>3292</v>
      </c>
      <c r="O156" s="2893" t="s">
        <v>3078</v>
      </c>
    </row>
    <row r="157" spans="1:15" ht="13.5" hidden="1" customHeight="1">
      <c r="A157" s="2893" t="s">
        <v>3293</v>
      </c>
      <c r="B157" s="2893" t="s">
        <v>3072</v>
      </c>
      <c r="C157" s="2893" t="s">
        <v>3085</v>
      </c>
      <c r="D157" s="2893">
        <v>31220</v>
      </c>
      <c r="E157" s="2893">
        <v>53074</v>
      </c>
      <c r="G157" s="2893" t="s">
        <v>3214</v>
      </c>
      <c r="H157" s="2893" t="s">
        <v>3075</v>
      </c>
      <c r="I157" s="2893" t="s">
        <v>3294</v>
      </c>
      <c r="J157" s="2893" t="s">
        <v>2814</v>
      </c>
      <c r="K157" s="2893">
        <v>8429.39</v>
      </c>
      <c r="L157" s="2893">
        <v>1588.24</v>
      </c>
      <c r="M157" s="2893" t="s">
        <v>2814</v>
      </c>
      <c r="N157" s="2893" t="s">
        <v>3295</v>
      </c>
      <c r="O157" s="2893" t="s">
        <v>3078</v>
      </c>
    </row>
    <row r="158" spans="1:15" ht="13.5" hidden="1" customHeight="1">
      <c r="A158" s="2893" t="s">
        <v>3296</v>
      </c>
      <c r="B158" s="2893" t="s">
        <v>3072</v>
      </c>
      <c r="C158" s="2893" t="s">
        <v>3085</v>
      </c>
      <c r="D158" s="2893">
        <v>17261</v>
      </c>
      <c r="E158" s="2893">
        <v>25891.5</v>
      </c>
      <c r="G158" s="2893" t="s">
        <v>3074</v>
      </c>
      <c r="H158" s="2893" t="s">
        <v>3075</v>
      </c>
      <c r="I158" s="2893" t="s">
        <v>3294</v>
      </c>
      <c r="J158" s="2893" t="s">
        <v>2814</v>
      </c>
      <c r="K158" s="2893">
        <v>5359.53</v>
      </c>
      <c r="L158" s="2893">
        <v>2070</v>
      </c>
      <c r="M158" s="2893" t="s">
        <v>2814</v>
      </c>
      <c r="N158" s="2893" t="s">
        <v>3295</v>
      </c>
      <c r="O158" s="2893" t="s">
        <v>3078</v>
      </c>
    </row>
    <row r="159" spans="1:15" s="3193" customFormat="1">
      <c r="A159" s="3193" t="s">
        <v>3211</v>
      </c>
      <c r="B159" s="3192" t="s">
        <v>3072</v>
      </c>
      <c r="C159" s="3193" t="s">
        <v>3085</v>
      </c>
      <c r="D159" s="3193">
        <v>4254</v>
      </c>
      <c r="E159" s="3193">
        <v>21695.4</v>
      </c>
      <c r="F159" s="3193">
        <f>E159/D159</f>
        <v>5.1000000000000005</v>
      </c>
      <c r="G159" s="3193" t="s">
        <v>3297</v>
      </c>
      <c r="H159" s="3192" t="s">
        <v>3075</v>
      </c>
      <c r="I159" s="3193" t="s">
        <v>3294</v>
      </c>
      <c r="J159" s="3192" t="s">
        <v>2814</v>
      </c>
      <c r="K159" s="3193">
        <v>893.34</v>
      </c>
      <c r="L159" s="3193">
        <v>411.75</v>
      </c>
      <c r="M159" s="3193" t="s">
        <v>2814</v>
      </c>
      <c r="N159" s="3193" t="s">
        <v>3298</v>
      </c>
      <c r="O159" s="3193" t="s">
        <v>3078</v>
      </c>
    </row>
    <row r="160" spans="1:15" ht="13.5" hidden="1" customHeight="1">
      <c r="A160" s="2893" t="s">
        <v>3299</v>
      </c>
      <c r="B160" s="2893" t="s">
        <v>3072</v>
      </c>
      <c r="C160" s="2893" t="s">
        <v>3085</v>
      </c>
      <c r="D160" s="2893">
        <v>16584</v>
      </c>
      <c r="E160" s="2893">
        <v>28192.799999999999</v>
      </c>
      <c r="G160" s="2893" t="s">
        <v>3214</v>
      </c>
      <c r="H160" s="2893" t="s">
        <v>3075</v>
      </c>
      <c r="I160" s="2893" t="s">
        <v>3294</v>
      </c>
      <c r="J160" s="2893" t="s">
        <v>2814</v>
      </c>
      <c r="K160" s="2893">
        <v>4975.1899999999996</v>
      </c>
      <c r="L160" s="2893">
        <v>1764.71</v>
      </c>
      <c r="M160" s="2893" t="s">
        <v>2814</v>
      </c>
      <c r="N160" s="2893" t="s">
        <v>3295</v>
      </c>
      <c r="O160" s="2893" t="s">
        <v>3078</v>
      </c>
    </row>
    <row r="161" spans="1:15" ht="13.5" hidden="1" customHeight="1">
      <c r="A161" s="2893" t="s">
        <v>3300</v>
      </c>
      <c r="B161" s="2893" t="s">
        <v>3072</v>
      </c>
      <c r="C161" s="2893" t="s">
        <v>3085</v>
      </c>
      <c r="D161" s="2893">
        <v>54632</v>
      </c>
      <c r="E161" s="2893">
        <v>92874.4</v>
      </c>
      <c r="G161" s="2893" t="s">
        <v>3214</v>
      </c>
      <c r="H161" s="2893" t="s">
        <v>3075</v>
      </c>
      <c r="I161" s="2893" t="s">
        <v>3294</v>
      </c>
      <c r="J161" s="2893" t="s">
        <v>2814</v>
      </c>
      <c r="K161" s="2893">
        <v>14750.63</v>
      </c>
      <c r="L161" s="2893">
        <v>1588.24</v>
      </c>
      <c r="M161" s="2893" t="s">
        <v>2814</v>
      </c>
      <c r="N161" s="2893" t="s">
        <v>3295</v>
      </c>
      <c r="O161" s="2893" t="s">
        <v>3078</v>
      </c>
    </row>
    <row r="162" spans="1:15">
      <c r="A162" s="2893" t="s">
        <v>3301</v>
      </c>
      <c r="B162" s="2893" t="s">
        <v>3072</v>
      </c>
      <c r="C162" s="2893" t="s">
        <v>3085</v>
      </c>
      <c r="D162" s="2893">
        <v>28672</v>
      </c>
      <c r="E162" s="2893">
        <v>17203.2</v>
      </c>
      <c r="G162" s="2893" t="s">
        <v>3302</v>
      </c>
      <c r="H162" s="2893" t="s">
        <v>3075</v>
      </c>
      <c r="I162" s="2893" t="s">
        <v>3303</v>
      </c>
      <c r="J162" s="2893" t="s">
        <v>2814</v>
      </c>
      <c r="K162" s="2893">
        <v>1720.31</v>
      </c>
      <c r="L162" s="2893">
        <v>1000</v>
      </c>
      <c r="M162" s="2893" t="s">
        <v>2814</v>
      </c>
      <c r="N162" s="2893" t="s">
        <v>3304</v>
      </c>
      <c r="O162" s="2893" t="s">
        <v>3078</v>
      </c>
    </row>
    <row r="163" spans="1:15">
      <c r="A163" s="2893" t="s">
        <v>3305</v>
      </c>
      <c r="B163" s="2893" t="s">
        <v>3072</v>
      </c>
      <c r="C163" s="2893" t="s">
        <v>3085</v>
      </c>
      <c r="D163" s="2893">
        <v>55506</v>
      </c>
      <c r="E163" s="2893">
        <v>33303.599999999999</v>
      </c>
      <c r="G163" s="2893" t="s">
        <v>3302</v>
      </c>
      <c r="H163" s="2893" t="s">
        <v>3075</v>
      </c>
      <c r="I163" s="2893" t="s">
        <v>3303</v>
      </c>
      <c r="J163" s="2893" t="s">
        <v>2814</v>
      </c>
      <c r="K163" s="2893">
        <v>3330.36</v>
      </c>
      <c r="L163" s="2893">
        <v>1000</v>
      </c>
      <c r="M163" s="2893" t="s">
        <v>2814</v>
      </c>
      <c r="N163" s="2893" t="s">
        <v>3304</v>
      </c>
      <c r="O163" s="2893" t="s">
        <v>3078</v>
      </c>
    </row>
    <row r="164" spans="1:15">
      <c r="A164" s="2893" t="s">
        <v>3306</v>
      </c>
      <c r="B164" s="2893" t="s">
        <v>3072</v>
      </c>
      <c r="C164" s="2893" t="s">
        <v>3085</v>
      </c>
      <c r="D164" s="2893">
        <v>66954</v>
      </c>
      <c r="E164" s="2893">
        <v>40172.400000000001</v>
      </c>
      <c r="G164" s="2893" t="s">
        <v>3302</v>
      </c>
      <c r="H164" s="2893" t="s">
        <v>3075</v>
      </c>
      <c r="I164" s="2893" t="s">
        <v>3303</v>
      </c>
      <c r="J164" s="2893" t="s">
        <v>2814</v>
      </c>
      <c r="K164" s="2893">
        <v>4017.23</v>
      </c>
      <c r="L164" s="2893">
        <v>1000</v>
      </c>
      <c r="M164" s="2893" t="s">
        <v>2814</v>
      </c>
      <c r="N164" s="2893" t="s">
        <v>3304</v>
      </c>
      <c r="O164" s="2893" t="s">
        <v>3078</v>
      </c>
    </row>
    <row r="165" spans="1:15">
      <c r="A165" s="2893" t="s">
        <v>3307</v>
      </c>
      <c r="B165" s="2893" t="s">
        <v>3072</v>
      </c>
      <c r="C165" s="2893" t="s">
        <v>3085</v>
      </c>
      <c r="D165" s="2893">
        <v>67424</v>
      </c>
      <c r="E165" s="2893">
        <v>40454.400000000001</v>
      </c>
      <c r="G165" s="2893" t="s">
        <v>3302</v>
      </c>
      <c r="H165" s="2893" t="s">
        <v>3075</v>
      </c>
      <c r="I165" s="2893" t="s">
        <v>3303</v>
      </c>
      <c r="J165" s="2893" t="s">
        <v>2814</v>
      </c>
      <c r="K165" s="2893">
        <v>4045.44</v>
      </c>
      <c r="L165" s="2893">
        <v>1000</v>
      </c>
      <c r="M165" s="2893" t="s">
        <v>2814</v>
      </c>
      <c r="N165" s="2893" t="s">
        <v>3304</v>
      </c>
      <c r="O165" s="2893" t="s">
        <v>3078</v>
      </c>
    </row>
    <row r="166" spans="1:15">
      <c r="A166" s="2893" t="s">
        <v>3308</v>
      </c>
      <c r="B166" s="2893" t="s">
        <v>3072</v>
      </c>
      <c r="C166" s="2893" t="s">
        <v>3085</v>
      </c>
      <c r="D166" s="2893">
        <v>63963</v>
      </c>
      <c r="E166" s="2893">
        <v>38377.800000000003</v>
      </c>
      <c r="G166" s="2893" t="s">
        <v>3302</v>
      </c>
      <c r="H166" s="2893" t="s">
        <v>3075</v>
      </c>
      <c r="I166" s="2893" t="s">
        <v>3303</v>
      </c>
      <c r="J166" s="2893" t="s">
        <v>2814</v>
      </c>
      <c r="K166" s="2893">
        <v>3837.78</v>
      </c>
      <c r="L166" s="2893">
        <v>1000</v>
      </c>
      <c r="M166" s="2893" t="s">
        <v>2814</v>
      </c>
      <c r="N166" s="2893" t="s">
        <v>3304</v>
      </c>
      <c r="O166" s="2893" t="s">
        <v>3078</v>
      </c>
    </row>
    <row r="167" spans="1:15">
      <c r="A167" s="2893" t="s">
        <v>3309</v>
      </c>
      <c r="B167" s="2893" t="s">
        <v>3072</v>
      </c>
      <c r="C167" s="2893" t="s">
        <v>3085</v>
      </c>
      <c r="D167" s="2893">
        <v>69511</v>
      </c>
      <c r="E167" s="2893">
        <v>41706.6</v>
      </c>
      <c r="G167" s="2893" t="s">
        <v>3302</v>
      </c>
      <c r="H167" s="2893" t="s">
        <v>3075</v>
      </c>
      <c r="I167" s="2893" t="s">
        <v>3303</v>
      </c>
      <c r="J167" s="2893" t="s">
        <v>2814</v>
      </c>
      <c r="K167" s="2893">
        <v>4170.6499999999996</v>
      </c>
      <c r="L167" s="2893">
        <v>1000</v>
      </c>
      <c r="M167" s="2893" t="s">
        <v>2814</v>
      </c>
      <c r="N167" s="2893" t="s">
        <v>3304</v>
      </c>
      <c r="O167" s="2893" t="s">
        <v>3078</v>
      </c>
    </row>
    <row r="168" spans="1:15">
      <c r="A168" s="2893" t="s">
        <v>3310</v>
      </c>
      <c r="B168" s="2893" t="s">
        <v>3072</v>
      </c>
      <c r="C168" s="2893" t="s">
        <v>3085</v>
      </c>
      <c r="D168" s="2893">
        <v>66835</v>
      </c>
      <c r="E168" s="2893">
        <v>40101</v>
      </c>
      <c r="G168" s="2893" t="s">
        <v>3302</v>
      </c>
      <c r="H168" s="2893" t="s">
        <v>3075</v>
      </c>
      <c r="I168" s="2893" t="s">
        <v>3303</v>
      </c>
      <c r="J168" s="2893" t="s">
        <v>2814</v>
      </c>
      <c r="K168" s="2893">
        <v>4010.09</v>
      </c>
      <c r="L168" s="2893">
        <v>1000</v>
      </c>
      <c r="M168" s="2893" t="s">
        <v>2814</v>
      </c>
      <c r="N168" s="2893" t="s">
        <v>3304</v>
      </c>
      <c r="O168" s="2893" t="s">
        <v>3078</v>
      </c>
    </row>
    <row r="169" spans="1:15">
      <c r="A169" s="2893" t="s">
        <v>3311</v>
      </c>
      <c r="B169" s="2893" t="s">
        <v>3072</v>
      </c>
      <c r="C169" s="2893" t="s">
        <v>3085</v>
      </c>
      <c r="D169" s="2893">
        <v>38542</v>
      </c>
      <c r="E169" s="2893">
        <v>23125.200000000001</v>
      </c>
      <c r="G169" s="2893" t="s">
        <v>3302</v>
      </c>
      <c r="H169" s="2893" t="s">
        <v>3075</v>
      </c>
      <c r="I169" s="2893" t="s">
        <v>3303</v>
      </c>
      <c r="J169" s="2893" t="s">
        <v>2814</v>
      </c>
      <c r="K169" s="2893">
        <v>2312.5100000000002</v>
      </c>
      <c r="L169" s="2893">
        <v>1000</v>
      </c>
      <c r="M169" s="2893" t="s">
        <v>2814</v>
      </c>
      <c r="N169" s="2893" t="s">
        <v>3304</v>
      </c>
      <c r="O169" s="2893" t="s">
        <v>3078</v>
      </c>
    </row>
    <row r="170" spans="1:15">
      <c r="A170" s="2893" t="s">
        <v>3312</v>
      </c>
      <c r="B170" s="2893" t="s">
        <v>3072</v>
      </c>
      <c r="C170" s="2893" t="s">
        <v>3085</v>
      </c>
      <c r="D170" s="2893">
        <v>58508</v>
      </c>
      <c r="E170" s="2893">
        <v>35104.800000000003</v>
      </c>
      <c r="G170" s="2893" t="s">
        <v>3302</v>
      </c>
      <c r="H170" s="2893" t="s">
        <v>3075</v>
      </c>
      <c r="I170" s="2893" t="s">
        <v>3303</v>
      </c>
      <c r="J170" s="2893" t="s">
        <v>2814</v>
      </c>
      <c r="K170" s="2893">
        <v>3510.48</v>
      </c>
      <c r="L170" s="2893">
        <v>1000</v>
      </c>
      <c r="M170" s="2893" t="s">
        <v>2814</v>
      </c>
      <c r="N170" s="2893" t="s">
        <v>3304</v>
      </c>
      <c r="O170" s="2893" t="s">
        <v>3078</v>
      </c>
    </row>
    <row r="171" spans="1:15">
      <c r="A171" s="2893" t="s">
        <v>3313</v>
      </c>
      <c r="B171" s="2893" t="s">
        <v>3072</v>
      </c>
      <c r="C171" s="2893" t="s">
        <v>3085</v>
      </c>
      <c r="D171" s="2893">
        <v>34503</v>
      </c>
      <c r="E171" s="2893">
        <v>20701.8</v>
      </c>
      <c r="G171" s="2893" t="s">
        <v>3302</v>
      </c>
      <c r="H171" s="2893" t="s">
        <v>3075</v>
      </c>
      <c r="I171" s="2893" t="s">
        <v>3303</v>
      </c>
      <c r="J171" s="2893" t="s">
        <v>2814</v>
      </c>
      <c r="K171" s="2893">
        <v>2070.17</v>
      </c>
      <c r="L171" s="2893">
        <v>1000</v>
      </c>
      <c r="M171" s="2893" t="s">
        <v>2814</v>
      </c>
      <c r="N171" s="2893" t="s">
        <v>3304</v>
      </c>
      <c r="O171" s="2893" t="s">
        <v>3078</v>
      </c>
    </row>
    <row r="172" spans="1:15">
      <c r="A172" s="2893" t="s">
        <v>3314</v>
      </c>
      <c r="B172" s="2893" t="s">
        <v>3072</v>
      </c>
      <c r="C172" s="2893" t="s">
        <v>3085</v>
      </c>
      <c r="D172" s="2893">
        <v>64978</v>
      </c>
      <c r="E172" s="2893">
        <v>38986.800000000003</v>
      </c>
      <c r="G172" s="2893" t="s">
        <v>3302</v>
      </c>
      <c r="H172" s="2893" t="s">
        <v>3075</v>
      </c>
      <c r="I172" s="2893" t="s">
        <v>3303</v>
      </c>
      <c r="J172" s="2893" t="s">
        <v>2814</v>
      </c>
      <c r="K172" s="2893">
        <v>3898.67</v>
      </c>
      <c r="L172" s="2893">
        <v>1000</v>
      </c>
      <c r="M172" s="2893" t="s">
        <v>2814</v>
      </c>
      <c r="N172" s="2893" t="s">
        <v>3304</v>
      </c>
      <c r="O172" s="2893" t="s">
        <v>3078</v>
      </c>
    </row>
    <row r="173" spans="1:15" ht="13.5" hidden="1" customHeight="1">
      <c r="A173" s="2893" t="s">
        <v>3315</v>
      </c>
      <c r="B173" s="2893" t="s">
        <v>3072</v>
      </c>
      <c r="C173" s="2893" t="s">
        <v>3085</v>
      </c>
      <c r="D173" s="2893">
        <v>3333</v>
      </c>
      <c r="E173" s="2893">
        <v>333.3</v>
      </c>
      <c r="G173" s="2893" t="s">
        <v>3224</v>
      </c>
      <c r="H173" s="2893" t="s">
        <v>3075</v>
      </c>
      <c r="I173" s="2893" t="s">
        <v>3316</v>
      </c>
      <c r="J173" s="2893">
        <v>35</v>
      </c>
      <c r="K173" s="2893">
        <v>174.97</v>
      </c>
      <c r="L173" s="2893">
        <v>5249.92</v>
      </c>
      <c r="M173" s="2893">
        <v>399.94</v>
      </c>
      <c r="N173" s="2893" t="s">
        <v>3317</v>
      </c>
      <c r="O173" s="2893" t="s">
        <v>3078</v>
      </c>
    </row>
    <row r="174" spans="1:15" ht="13.5" hidden="1" customHeight="1">
      <c r="A174" s="2893" t="s">
        <v>3318</v>
      </c>
      <c r="B174" s="2893" t="s">
        <v>3072</v>
      </c>
      <c r="C174" s="2893" t="s">
        <v>3085</v>
      </c>
      <c r="D174" s="2893">
        <v>20018</v>
      </c>
      <c r="E174" s="2893">
        <v>34030.6</v>
      </c>
      <c r="G174" s="2893" t="s">
        <v>3214</v>
      </c>
      <c r="H174" s="2893" t="s">
        <v>3075</v>
      </c>
      <c r="I174" s="2893" t="s">
        <v>3319</v>
      </c>
      <c r="J174" s="2893" t="s">
        <v>2814</v>
      </c>
      <c r="K174" s="2893">
        <v>3753.38</v>
      </c>
      <c r="L174" s="2893">
        <v>1102.94</v>
      </c>
      <c r="M174" s="2893" t="s">
        <v>2814</v>
      </c>
      <c r="N174" s="2893" t="s">
        <v>3304</v>
      </c>
      <c r="O174" s="2893" t="s">
        <v>3078</v>
      </c>
    </row>
    <row r="175" spans="1:15" ht="13.5" hidden="1" customHeight="1"/>
    <row r="176" spans="1:15" ht="13.5" hidden="1" customHeight="1"/>
    <row r="177" ht="13.5" hidden="1" customHeight="1"/>
    <row r="178" ht="13.5" hidden="1" customHeight="1"/>
    <row r="179" ht="13.5" hidden="1" customHeight="1"/>
    <row r="180" ht="13.5" hidden="1" customHeight="1"/>
  </sheetData>
  <autoFilter ref="L1:L180">
    <filterColumn colId="0">
      <filters>
        <filter val="1000"/>
        <filter val="133.55"/>
        <filter val="210"/>
        <filter val="238.78"/>
        <filter val="243.99"/>
        <filter val="287.5"/>
        <filter val="314.95"/>
        <filter val="326.48"/>
        <filter val="340.91"/>
        <filter val="340.92"/>
        <filter val="397.06"/>
        <filter val="411.75"/>
        <filter val="421.87"/>
        <filter val="430.02"/>
        <filter val="432.68"/>
        <filter val="500"/>
        <filter val="600"/>
        <filter val="703.16"/>
        <filter val="750"/>
        <filter val="825"/>
        <filter val="900"/>
        <filter val="915"/>
        <filter val="928.67"/>
        <filter val="937.5"/>
      </filters>
    </filterColumn>
  </autoFilter>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G39" sqref="G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16096</v>
      </c>
      <c r="C2" s="2088"/>
      <c r="D2" s="2088"/>
      <c r="E2" s="2088"/>
      <c r="F2" s="2088"/>
      <c r="G2" s="2088"/>
      <c r="H2" s="2088"/>
      <c r="I2" s="2088"/>
      <c r="J2" s="2088"/>
      <c r="K2" s="2088"/>
    </row>
    <row r="3" spans="1:31" s="2025" customFormat="1" ht="18" customHeight="1">
      <c r="A3" s="2090" t="s">
        <v>1682</v>
      </c>
      <c r="B3" s="2091">
        <f ca="1">ROUND(B2*10000/IF(B1="",'数据-汇总表'!E3,INDIRECT("'数据-取费表'!K"&amp;$K$1)),0)</f>
        <v>2860</v>
      </c>
      <c r="C3" s="2088"/>
      <c r="D3" s="2088"/>
      <c r="E3" s="2088"/>
      <c r="F3" s="2088"/>
      <c r="G3" s="2088"/>
      <c r="H3" s="2088"/>
      <c r="I3" s="2088"/>
      <c r="J3" s="2088"/>
      <c r="K3" s="2088"/>
    </row>
    <row r="4" spans="1:31" s="2025" customFormat="1" ht="18" customHeight="1">
      <c r="A4" s="426" t="s">
        <v>468</v>
      </c>
      <c r="B4" s="427">
        <f ca="1">ROUND(B2*10000/IF(B1="",'数据-汇总表'!D3,INDIRECT("'数据-取费表'!R"&amp;$K$1)),0)</f>
        <v>4290</v>
      </c>
      <c r="C4" s="428"/>
      <c r="D4" s="422"/>
      <c r="E4" s="422"/>
      <c r="F4" s="422"/>
      <c r="G4" s="422"/>
      <c r="H4" s="422"/>
      <c r="I4" s="422"/>
      <c r="J4" s="422"/>
      <c r="K4" s="422"/>
    </row>
    <row r="5" spans="1:31" s="2025" customFormat="1" ht="18" customHeight="1" thickBot="1">
      <c r="A5" s="429"/>
      <c r="B5" s="430">
        <f ca="1">ROUND(B2/(IF(B1="",'数据-汇总表'!D3,INDIRECT("'数据-取费表'!R"&amp;$K$1))/666.67),0)</f>
        <v>286</v>
      </c>
      <c r="C5" s="431" t="s">
        <v>469</v>
      </c>
      <c r="D5" s="422"/>
      <c r="E5" s="422"/>
      <c r="F5" s="422"/>
      <c r="G5" s="422"/>
      <c r="H5" s="422"/>
      <c r="I5" s="422"/>
      <c r="J5" s="422"/>
      <c r="K5" s="422"/>
    </row>
    <row r="6" spans="1:31" s="2095" customFormat="1" ht="16.5" customHeight="1">
      <c r="A6" s="2782" t="s">
        <v>1840</v>
      </c>
      <c r="B6" s="2783"/>
      <c r="C6" s="2784">
        <f ca="1">SUM(C10:K10)</f>
        <v>39779</v>
      </c>
      <c r="D6" s="2783"/>
      <c r="E6" s="2783"/>
      <c r="F6" s="2783"/>
      <c r="G6" s="2783"/>
      <c r="H6" s="2783"/>
      <c r="I6" s="2783"/>
      <c r="J6" s="2783"/>
      <c r="K6" s="2785"/>
    </row>
    <row r="7" spans="1:31" s="2097" customFormat="1" ht="15">
      <c r="A7" s="2786" t="s">
        <v>470</v>
      </c>
      <c r="B7" s="2787" t="s">
        <v>471</v>
      </c>
      <c r="C7" s="436" t="s">
        <v>3043</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f ca="1">不动产收益法!B3</f>
        <v>7068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56280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f ca="1">不动产收益法!B2</f>
        <v>39779</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11256</v>
      </c>
      <c r="D13" s="2798"/>
      <c r="E13" s="2799"/>
      <c r="F13" s="2800"/>
      <c r="G13" s="2766"/>
      <c r="H13" s="2767"/>
      <c r="I13" s="2767"/>
      <c r="J13" s="2767"/>
      <c r="K13" s="2768"/>
    </row>
    <row r="14" spans="1:31" s="2100" customFormat="1" ht="13.5" customHeight="1">
      <c r="A14" s="2796" t="s">
        <v>1847</v>
      </c>
      <c r="B14" s="2797" t="s">
        <v>480</v>
      </c>
      <c r="C14" s="53">
        <f ca="1">ROUND(C13*F14,0)</f>
        <v>450</v>
      </c>
      <c r="D14" s="2798"/>
      <c r="E14" s="2799"/>
      <c r="F14" s="2801">
        <f>'数据-取费表'!B33</f>
        <v>0.04</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1849</v>
      </c>
      <c r="B16" s="2797" t="s">
        <v>484</v>
      </c>
      <c r="C16" s="53">
        <f ca="1">ROUND(D16*E16/10000,0)</f>
        <v>1126</v>
      </c>
      <c r="D16" s="2798">
        <f ca="1">IF(B1="",'数据-汇总表'!E3,INDIRECT("'数据-取费表'!K"&amp;$K$1)+INDIRECT("'数据-取费表'!S"&amp;$K$1))</f>
        <v>56280</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169</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13001</v>
      </c>
      <c r="D18" s="2807"/>
      <c r="E18" s="468"/>
      <c r="F18" s="468"/>
      <c r="G18" s="2770" t="s">
        <v>2426</v>
      </c>
      <c r="H18" s="2771"/>
      <c r="I18" s="2771"/>
      <c r="J18" s="2771"/>
      <c r="K18" s="2772"/>
    </row>
    <row r="19" spans="1:14" s="2100" customFormat="1" ht="13.5" customHeight="1">
      <c r="A19" s="2804" t="s">
        <v>1852</v>
      </c>
      <c r="B19" s="2805" t="s">
        <v>488</v>
      </c>
      <c r="C19" s="2762">
        <f ca="1">ROUND(D19*E19/10000,0)</f>
        <v>619</v>
      </c>
      <c r="D19" s="2808">
        <f ca="1">D16</f>
        <v>56280</v>
      </c>
      <c r="E19" s="2762">
        <f>'数据-取费表'!B32</f>
        <v>110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675</v>
      </c>
      <c r="D20" s="2808"/>
      <c r="E20" s="2762"/>
      <c r="F20" s="2809"/>
      <c r="G20" s="3039"/>
      <c r="H20" s="2764"/>
      <c r="I20" s="2765" t="s">
        <v>2647</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120</v>
      </c>
      <c r="F21" s="2801"/>
      <c r="G21" s="26"/>
      <c r="H21" s="51"/>
      <c r="I21" s="51"/>
      <c r="J21" s="51"/>
      <c r="K21" s="2773"/>
    </row>
    <row r="22" spans="1:14" s="2100" customFormat="1" ht="13.5" customHeight="1">
      <c r="A22" s="2796" t="s">
        <v>1855</v>
      </c>
      <c r="B22" s="2797" t="s">
        <v>492</v>
      </c>
      <c r="C22" s="53">
        <f ca="1">ROUND(D22*E22/10000,0)</f>
        <v>675</v>
      </c>
      <c r="D22" s="2798">
        <f ca="1">IF(B1="",'数据-汇总表'!E6,IF(INDIRECT("'数据-取费表'!c"&amp;$K$1)="住宅",INDIRECT("'数据-取费表'!s"&amp;$K$1),INDIRECT("'数据-取费表'!k"&amp;$K$1)+INDIRECT("'数据-取费表'!s"&amp;$K$1)))</f>
        <v>56280</v>
      </c>
      <c r="E22" s="53">
        <f>'数据-取费表'!B28</f>
        <v>120</v>
      </c>
      <c r="F22" s="2801"/>
      <c r="G22" s="26"/>
      <c r="H22" s="51"/>
      <c r="I22" s="51"/>
      <c r="J22" s="51"/>
      <c r="K22" s="2773"/>
    </row>
    <row r="23" spans="1:14" s="2100" customFormat="1" ht="13.5" customHeight="1">
      <c r="A23" s="2804" t="s">
        <v>1856</v>
      </c>
      <c r="B23" s="2986" t="s">
        <v>2830</v>
      </c>
      <c r="C23" s="2806">
        <f ca="1">ROUND((C18+C19+C20)*F23,0)</f>
        <v>286</v>
      </c>
      <c r="D23" s="468"/>
      <c r="E23" s="468"/>
      <c r="F23" s="2810">
        <f>'数据-取费表'!B37</f>
        <v>0.02</v>
      </c>
      <c r="G23" s="2766" t="s">
        <v>2427</v>
      </c>
      <c r="H23" s="2767"/>
      <c r="I23" s="2767"/>
      <c r="J23" s="2767"/>
      <c r="K23" s="2768"/>
      <c r="L23" s="2102"/>
      <c r="M23" s="2102"/>
      <c r="N23" s="2102"/>
    </row>
    <row r="24" spans="1:14" s="2100" customFormat="1" ht="13.5" customHeight="1">
      <c r="A24" s="2804" t="s">
        <v>1857</v>
      </c>
      <c r="B24" s="2986" t="s">
        <v>2833</v>
      </c>
      <c r="C24" s="2806">
        <f ca="1">ROUND(C6*F24,0)</f>
        <v>796</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2831</v>
      </c>
      <c r="C25" s="467">
        <f>ROUND(F25/(1+'数据-取费表'!C42),4)</f>
        <v>2.9600000000000001E-2</v>
      </c>
      <c r="D25" s="462" t="s">
        <v>2825</v>
      </c>
      <c r="E25" s="469"/>
      <c r="F25" s="2810">
        <f>'数据-取费表'!B48+'数据-取费表'!B49</f>
        <v>3.0499999999999999E-2</v>
      </c>
      <c r="G25" s="2774" t="s">
        <v>2287</v>
      </c>
      <c r="H25" s="2767"/>
      <c r="I25" s="2767"/>
      <c r="J25" s="2767"/>
      <c r="K25" s="2768"/>
    </row>
    <row r="26" spans="1:14" s="2102" customFormat="1" ht="13.5" customHeight="1">
      <c r="A26" s="2804" t="s">
        <v>1859</v>
      </c>
      <c r="B26" s="2987" t="s">
        <v>2832</v>
      </c>
      <c r="C26" s="2811">
        <f ca="1">C28</f>
        <v>545</v>
      </c>
      <c r="D26" s="467">
        <f ca="1">C27</f>
        <v>7.4200000000000002E-2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2834</v>
      </c>
      <c r="C28" s="2814">
        <f ca="1">ROUND(IF('数据-取费表'!B22&lt;=1,(C18+C19+C20+C23+C24)*F26*'数据-取费表'!B24/2,(C18+C19+C20+C23+C24)*(POWER((1+F26),'数据-取费表'!B24/2)-1)),0)</f>
        <v>545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1298</v>
      </c>
      <c r="D29" s="468"/>
      <c r="E29" s="468"/>
      <c r="F29" s="2988">
        <f>'数据-取费表'!B41</f>
        <v>3.3599999999999998E-2</v>
      </c>
      <c r="G29" s="2775" t="s">
        <v>498</v>
      </c>
      <c r="H29" s="2767"/>
      <c r="I29" s="2767"/>
      <c r="J29" s="2767"/>
      <c r="K29" s="2768"/>
    </row>
    <row r="30" spans="1:14" s="2105" customFormat="1" ht="13.5" customHeight="1">
      <c r="A30" s="1619" t="s">
        <v>1861</v>
      </c>
      <c r="B30" s="2816" t="s">
        <v>500</v>
      </c>
      <c r="C30" s="2811">
        <f ca="1">C31</f>
        <v>17220</v>
      </c>
      <c r="D30" s="477">
        <f ca="1">C32</f>
        <v>0.1038</v>
      </c>
      <c r="E30" s="469" t="s">
        <v>495</v>
      </c>
      <c r="F30" s="471"/>
      <c r="G30" s="2774" t="s">
        <v>2967</v>
      </c>
      <c r="H30" s="2767"/>
      <c r="I30" s="2767"/>
      <c r="J30" s="2767"/>
      <c r="K30" s="2768"/>
    </row>
    <row r="31" spans="1:14" s="2104" customFormat="1" ht="13.5" customHeight="1">
      <c r="A31" s="803" t="s">
        <v>1854</v>
      </c>
      <c r="B31" s="2812"/>
      <c r="C31" s="450">
        <f ca="1">C18+C19+C20+C23+C24+C26+C29</f>
        <v>17220</v>
      </c>
      <c r="D31" s="472"/>
      <c r="E31" s="473"/>
      <c r="F31" s="474"/>
      <c r="G31" s="261"/>
      <c r="H31" s="2769"/>
      <c r="I31" s="2769"/>
      <c r="J31" s="2769"/>
      <c r="K31" s="279"/>
    </row>
    <row r="32" spans="1:14" s="2104" customFormat="1" ht="13.5" customHeight="1">
      <c r="A32" s="803" t="s">
        <v>1855</v>
      </c>
      <c r="B32" s="2812"/>
      <c r="C32" s="53">
        <f ca="1">ROUND(C25+D26,4)</f>
        <v>0.1038</v>
      </c>
      <c r="D32" s="472"/>
      <c r="E32" s="473"/>
      <c r="F32" s="474"/>
      <c r="G32" s="261"/>
      <c r="H32" s="2769"/>
      <c r="I32" s="2769"/>
      <c r="J32" s="2769"/>
      <c r="K32" s="279"/>
    </row>
    <row r="33" spans="1:11" s="2106" customFormat="1" ht="13.5" customHeight="1">
      <c r="A33" s="2985" t="s">
        <v>2829</v>
      </c>
      <c r="B33" s="2983" t="s">
        <v>2827</v>
      </c>
      <c r="C33" s="478">
        <f ca="1">C35</f>
        <v>2307</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1854</v>
      </c>
      <c r="B34" s="2817" t="s">
        <v>501</v>
      </c>
      <c r="C34" s="472">
        <f ca="1">ROUND((1+C25)*F33,4)</f>
        <v>0.15440000000000001</v>
      </c>
      <c r="D34" s="472"/>
      <c r="E34" s="473"/>
      <c r="F34" s="480"/>
      <c r="G34" s="261" t="s">
        <v>2288</v>
      </c>
      <c r="H34" s="2769"/>
      <c r="I34" s="2769"/>
      <c r="J34" s="2769"/>
      <c r="K34" s="279"/>
    </row>
    <row r="35" spans="1:11" s="2107" customFormat="1" ht="13.5" customHeight="1" thickBot="1">
      <c r="A35" s="1620" t="s">
        <v>1855</v>
      </c>
      <c r="B35" s="2984" t="s">
        <v>2835</v>
      </c>
      <c r="C35" s="1612">
        <f ca="1">ROUND((C18+C19+C20+C23+C24)*F33,0)</f>
        <v>2307</v>
      </c>
      <c r="D35" s="1613"/>
      <c r="E35" s="2818"/>
      <c r="F35" s="1614"/>
      <c r="G35" s="2776"/>
      <c r="H35" s="2777"/>
      <c r="I35" s="2777"/>
      <c r="J35" s="2777"/>
      <c r="K35" s="2778"/>
    </row>
    <row r="36" spans="1:11" s="2069" customFormat="1" ht="13.5" customHeight="1" thickBot="1">
      <c r="A36" s="284" t="s">
        <v>1842</v>
      </c>
      <c r="B36" s="2780"/>
      <c r="C36" s="2819">
        <f ca="1">ROUND((C6-C30-C33)/(1+D30+D33),0)</f>
        <v>16096</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10" t="s">
        <v>522</v>
      </c>
      <c r="D6" s="3411"/>
      <c r="E6" s="3435" t="s">
        <v>523</v>
      </c>
      <c r="F6" s="3436"/>
      <c r="G6" s="3410" t="s">
        <v>524</v>
      </c>
      <c r="H6" s="3411"/>
      <c r="I6" s="3410" t="s">
        <v>525</v>
      </c>
      <c r="J6" s="3411"/>
      <c r="K6" s="514" t="s">
        <v>526</v>
      </c>
      <c r="L6" s="2117"/>
      <c r="M6" s="2118"/>
      <c r="N6" s="2118"/>
      <c r="O6" s="2118"/>
      <c r="P6" s="3412" t="s">
        <v>527</v>
      </c>
      <c r="Q6" s="3413"/>
      <c r="R6" s="3398" t="s">
        <v>523</v>
      </c>
      <c r="S6" s="3399"/>
      <c r="T6" s="3398" t="s">
        <v>524</v>
      </c>
      <c r="U6" s="3399"/>
      <c r="V6" s="3418" t="s">
        <v>525</v>
      </c>
      <c r="W6" s="3418"/>
      <c r="X6" s="1552"/>
      <c r="Y6" s="3398" t="s">
        <v>527</v>
      </c>
      <c r="Z6" s="3399"/>
      <c r="AA6" s="3393" t="s">
        <v>523</v>
      </c>
      <c r="AB6" s="3394" t="s">
        <v>524</v>
      </c>
      <c r="AC6" s="3393" t="s">
        <v>525</v>
      </c>
    </row>
    <row r="7" spans="1:29" ht="15">
      <c r="A7" s="515"/>
      <c r="B7" s="516"/>
      <c r="C7" s="3421" t="s">
        <v>2924</v>
      </c>
      <c r="D7" s="3422"/>
      <c r="E7" s="3437" t="s">
        <v>2925</v>
      </c>
      <c r="F7" s="3438"/>
      <c r="G7" s="3421" t="s">
        <v>2926</v>
      </c>
      <c r="H7" s="3422"/>
      <c r="I7" s="3421" t="s">
        <v>2927</v>
      </c>
      <c r="J7" s="3422"/>
      <c r="K7" s="514"/>
      <c r="L7" s="2117"/>
      <c r="M7" s="2118"/>
      <c r="N7" s="2118"/>
      <c r="O7" s="2118"/>
      <c r="P7" s="3414"/>
      <c r="Q7" s="3415"/>
      <c r="R7" s="3400"/>
      <c r="S7" s="3401"/>
      <c r="T7" s="3400"/>
      <c r="U7" s="3401"/>
      <c r="V7" s="3418"/>
      <c r="W7" s="3418"/>
      <c r="X7" s="1552"/>
      <c r="Y7" s="3400"/>
      <c r="Z7" s="3401"/>
      <c r="AA7" s="3394"/>
      <c r="AB7" s="3394"/>
      <c r="AC7" s="3394"/>
    </row>
    <row r="8" spans="1:29" ht="15.75" thickBot="1">
      <c r="A8" s="517"/>
      <c r="B8" s="518"/>
      <c r="C8" s="3439" t="s">
        <v>2928</v>
      </c>
      <c r="D8" s="3420"/>
      <c r="E8" s="3440" t="s">
        <v>2928</v>
      </c>
      <c r="F8" s="3441"/>
      <c r="G8" s="3439" t="s">
        <v>2928</v>
      </c>
      <c r="H8" s="3420"/>
      <c r="I8" s="3439" t="s">
        <v>2928</v>
      </c>
      <c r="J8" s="3420"/>
      <c r="K8" s="514" t="s">
        <v>528</v>
      </c>
      <c r="L8" s="2117"/>
      <c r="M8" s="2118"/>
      <c r="N8" s="2118"/>
      <c r="O8" s="2118"/>
      <c r="P8" s="3416"/>
      <c r="Q8" s="3417"/>
      <c r="R8" s="3400"/>
      <c r="S8" s="3401"/>
      <c r="T8" s="3402"/>
      <c r="U8" s="3403"/>
      <c r="V8" s="3418"/>
      <c r="W8" s="3418"/>
      <c r="X8" s="1552"/>
      <c r="Y8" s="3402"/>
      <c r="Z8" s="3403"/>
      <c r="AA8" s="3395"/>
      <c r="AB8" s="3395"/>
      <c r="AC8" s="3395"/>
    </row>
    <row r="9" spans="1:29" s="1214" customFormat="1" ht="15.75" thickBot="1">
      <c r="A9" s="2866"/>
      <c r="B9" s="2873" t="s">
        <v>529</v>
      </c>
      <c r="C9" s="519">
        <f>'数据-取费表'!B2</f>
        <v>43594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96" t="s">
        <v>530</v>
      </c>
      <c r="Q9" s="3405"/>
      <c r="R9" s="1553" t="s">
        <v>8</v>
      </c>
      <c r="S9" s="1554">
        <f t="shared" ref="S9:S17" si="0">F9</f>
        <v>0</v>
      </c>
      <c r="T9" s="1553" t="s">
        <v>8</v>
      </c>
      <c r="U9" s="1554">
        <f t="shared" ref="U9:U17" si="1">H9</f>
        <v>0</v>
      </c>
      <c r="V9" s="1553" t="s">
        <v>8</v>
      </c>
      <c r="W9" s="1554">
        <f t="shared" ref="W9:W17" si="2">J9</f>
        <v>0</v>
      </c>
      <c r="X9" s="1555"/>
      <c r="Y9" s="3396" t="s">
        <v>530</v>
      </c>
      <c r="Z9" s="3397"/>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96" t="s">
        <v>533</v>
      </c>
      <c r="Q10" s="3397"/>
      <c r="R10" s="1553" t="s">
        <v>8</v>
      </c>
      <c r="S10" s="1554">
        <f t="shared" si="0"/>
        <v>0</v>
      </c>
      <c r="T10" s="1553" t="s">
        <v>8</v>
      </c>
      <c r="U10" s="1554">
        <f t="shared" si="1"/>
        <v>0</v>
      </c>
      <c r="V10" s="1553" t="s">
        <v>8</v>
      </c>
      <c r="W10" s="1554">
        <f t="shared" si="2"/>
        <v>0</v>
      </c>
      <c r="X10" s="1555"/>
      <c r="Y10" s="3396" t="s">
        <v>533</v>
      </c>
      <c r="Z10" s="3397"/>
      <c r="AA10" s="1556" t="e">
        <f t="shared" ref="AA10:AA42" si="3">D10/F10</f>
        <v>#DIV/0!</v>
      </c>
      <c r="AB10" s="1556" t="e">
        <f t="shared" ref="AB10:AB42" si="4">D10/H10</f>
        <v>#DIV/0!</v>
      </c>
      <c r="AC10" s="1556" t="e">
        <f t="shared" ref="AC10:AC42" si="5">D10/J10</f>
        <v>#DIV/0!</v>
      </c>
    </row>
    <row r="11" spans="1:29" s="1214"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4"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29" s="1332" customFormat="1" ht="27">
      <c r="A12" s="2869"/>
      <c r="B12" s="2874" t="s">
        <v>2753</v>
      </c>
      <c r="C12" s="528"/>
      <c r="D12" s="255">
        <v>100</v>
      </c>
      <c r="E12" s="528"/>
      <c r="F12" s="255">
        <f>ROUND(100/'数据-取费表'!G16,0)</f>
        <v>106</v>
      </c>
      <c r="G12" s="528"/>
      <c r="H12" s="255">
        <f>ROUND(100/'数据-取费表'!G16,0)</f>
        <v>106</v>
      </c>
      <c r="I12" s="528"/>
      <c r="J12" s="255">
        <f>ROUND(100/'数据-取费表'!G16,0)</f>
        <v>106</v>
      </c>
      <c r="K12" s="531"/>
      <c r="L12" s="2122"/>
      <c r="M12" s="2162"/>
      <c r="N12" s="2162"/>
      <c r="O12" s="2123"/>
      <c r="P12" s="3404"/>
      <c r="Q12" s="1145" t="str">
        <f t="shared" si="6"/>
        <v>土地使用年限（年）</v>
      </c>
      <c r="R12" s="1553" t="s">
        <v>8</v>
      </c>
      <c r="S12" s="1554">
        <f t="shared" si="0"/>
        <v>106</v>
      </c>
      <c r="T12" s="1553" t="s">
        <v>8</v>
      </c>
      <c r="U12" s="1554">
        <f t="shared" si="1"/>
        <v>106</v>
      </c>
      <c r="V12" s="1553" t="s">
        <v>8</v>
      </c>
      <c r="W12" s="1554">
        <f t="shared" si="2"/>
        <v>106</v>
      </c>
      <c r="X12" s="1555"/>
      <c r="Y12" s="3361"/>
      <c r="Z12" s="1144" t="str">
        <f t="shared" si="7"/>
        <v>土地使用年限（年）</v>
      </c>
      <c r="AA12" s="1556">
        <f t="shared" si="3"/>
        <v>0.94339622641509435</v>
      </c>
      <c r="AB12" s="1556">
        <f t="shared" si="4"/>
        <v>0.94339622641509435</v>
      </c>
      <c r="AC12" s="1556">
        <f t="shared" si="5"/>
        <v>0.94339622641509435</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4"/>
      <c r="Q13" s="1145" t="str">
        <f t="shared" si="6"/>
        <v>容积率</v>
      </c>
      <c r="R13" s="1553" t="s">
        <v>8</v>
      </c>
      <c r="S13" s="1554" t="e">
        <f t="shared" si="0"/>
        <v>#N/A</v>
      </c>
      <c r="T13" s="1553" t="s">
        <v>8</v>
      </c>
      <c r="U13" s="1554" t="e">
        <f t="shared" si="1"/>
        <v>#N/A</v>
      </c>
      <c r="V13" s="1553" t="s">
        <v>8</v>
      </c>
      <c r="W13" s="1554" t="e">
        <f t="shared" si="2"/>
        <v>#N/A</v>
      </c>
      <c r="X13" s="1555"/>
      <c r="Y13" s="336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4"/>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4"/>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4"/>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 t="shared" si="3"/>
        <v>1</v>
      </c>
      <c r="AB16" s="1556">
        <f t="shared" si="4"/>
        <v>1</v>
      </c>
      <c r="AC16" s="1556">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6" t="s">
        <v>540</v>
      </c>
      <c r="Q17" s="1557" t="str">
        <f t="shared" si="6"/>
        <v>产业集聚程度</v>
      </c>
      <c r="R17" s="1558" t="s">
        <v>8</v>
      </c>
      <c r="S17" s="1559">
        <f t="shared" si="0"/>
        <v>100</v>
      </c>
      <c r="T17" s="1558" t="s">
        <v>8</v>
      </c>
      <c r="U17" s="1559">
        <f t="shared" si="1"/>
        <v>100</v>
      </c>
      <c r="V17" s="1558" t="s">
        <v>8</v>
      </c>
      <c r="W17" s="1559">
        <f t="shared" si="2"/>
        <v>100</v>
      </c>
      <c r="X17" s="1552"/>
      <c r="Y17" s="3406"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7"/>
      <c r="Q18" s="1557"/>
      <c r="R18" s="1558"/>
      <c r="S18" s="1559"/>
      <c r="T18" s="1558"/>
      <c r="U18" s="1559"/>
      <c r="V18" s="1558"/>
      <c r="W18" s="1559"/>
      <c r="X18" s="1552"/>
      <c r="Y18" s="3407"/>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7"/>
      <c r="Q19" s="1557" t="str">
        <f>B19</f>
        <v>交通便捷度</v>
      </c>
      <c r="R19" s="1558" t="s">
        <v>8</v>
      </c>
      <c r="S19" s="1559">
        <f>F19</f>
        <v>100</v>
      </c>
      <c r="T19" s="1558" t="s">
        <v>8</v>
      </c>
      <c r="U19" s="1559">
        <f>H19</f>
        <v>100</v>
      </c>
      <c r="V19" s="1558" t="s">
        <v>8</v>
      </c>
      <c r="W19" s="1559">
        <f>J19</f>
        <v>100</v>
      </c>
      <c r="X19" s="1552"/>
      <c r="Y19" s="340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07"/>
      <c r="Q20" s="1557"/>
      <c r="R20" s="1558"/>
      <c r="S20" s="1559"/>
      <c r="T20" s="1558"/>
      <c r="U20" s="1559"/>
      <c r="V20" s="1558"/>
      <c r="W20" s="1559"/>
      <c r="X20" s="1552"/>
      <c r="Y20" s="3407"/>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07"/>
      <c r="Q21" s="1557" t="str">
        <f t="shared" ref="Q21:Q35" si="8">B21</f>
        <v>区域土地利用方向</v>
      </c>
      <c r="R21" s="1558" t="s">
        <v>8</v>
      </c>
      <c r="S21" s="1559">
        <f>F21</f>
        <v>100</v>
      </c>
      <c r="T21" s="1558" t="s">
        <v>8</v>
      </c>
      <c r="U21" s="1559">
        <f>H21</f>
        <v>100</v>
      </c>
      <c r="V21" s="1558" t="s">
        <v>8</v>
      </c>
      <c r="W21" s="1559">
        <f>J21</f>
        <v>100</v>
      </c>
      <c r="X21" s="1552"/>
      <c r="Y21" s="340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07"/>
      <c r="Q22" s="1557"/>
      <c r="R22" s="1558"/>
      <c r="S22" s="1559"/>
      <c r="T22" s="1558"/>
      <c r="U22" s="1559"/>
      <c r="V22" s="1558"/>
      <c r="W22" s="1559"/>
      <c r="X22" s="1552"/>
      <c r="Y22" s="3407"/>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7"/>
      <c r="Q23" s="1557" t="str">
        <f t="shared" si="8"/>
        <v>环境状况</v>
      </c>
      <c r="R23" s="1558" t="s">
        <v>8</v>
      </c>
      <c r="S23" s="1559">
        <f>F23</f>
        <v>100</v>
      </c>
      <c r="T23" s="1558" t="s">
        <v>8</v>
      </c>
      <c r="U23" s="1559">
        <f>H23</f>
        <v>100</v>
      </c>
      <c r="V23" s="1558" t="s">
        <v>8</v>
      </c>
      <c r="W23" s="1559">
        <f>J23</f>
        <v>100</v>
      </c>
      <c r="X23" s="1552"/>
      <c r="Y23" s="340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7"/>
      <c r="Q24" s="1557"/>
      <c r="R24" s="1558"/>
      <c r="S24" s="1559"/>
      <c r="T24" s="1558"/>
      <c r="U24" s="1559"/>
      <c r="V24" s="1558"/>
      <c r="W24" s="1559"/>
      <c r="X24" s="1552"/>
      <c r="Y24" s="3407"/>
      <c r="Z24" s="1560"/>
      <c r="AA24" s="1561">
        <v>1</v>
      </c>
      <c r="AB24" s="1561">
        <v>1</v>
      </c>
      <c r="AC24" s="1561">
        <v>1</v>
      </c>
    </row>
    <row r="25" spans="1:29" s="1214"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7"/>
      <c r="Q25" s="1145" t="str">
        <f t="shared" si="8"/>
        <v>公共配套设施</v>
      </c>
      <c r="R25" s="1553" t="s">
        <v>8</v>
      </c>
      <c r="S25" s="1554">
        <f>F25</f>
        <v>100</v>
      </c>
      <c r="T25" s="1553" t="s">
        <v>8</v>
      </c>
      <c r="U25" s="1554">
        <f>H25</f>
        <v>100</v>
      </c>
      <c r="V25" s="1553" t="s">
        <v>8</v>
      </c>
      <c r="W25" s="1554">
        <f>J25</f>
        <v>100</v>
      </c>
      <c r="X25" s="1555"/>
      <c r="Y25" s="3407"/>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07"/>
      <c r="Q26" s="1145"/>
      <c r="R26" s="1553"/>
      <c r="S26" s="1554"/>
      <c r="T26" s="1553"/>
      <c r="U26" s="1554"/>
      <c r="V26" s="1553"/>
      <c r="W26" s="1554"/>
      <c r="X26" s="1555"/>
      <c r="Y26" s="3407"/>
      <c r="Z26" s="1144"/>
      <c r="AA26" s="1556">
        <v>1</v>
      </c>
      <c r="AB26" s="1556">
        <v>1</v>
      </c>
      <c r="AC26" s="1556">
        <v>1</v>
      </c>
    </row>
    <row r="27" spans="1:29" s="1214"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7"/>
      <c r="Q27" s="2541" t="str">
        <f t="shared" ref="Q27" si="9">B27</f>
        <v>基础设施水平</v>
      </c>
      <c r="R27" s="1553" t="s">
        <v>8</v>
      </c>
      <c r="S27" s="1554">
        <f>F27</f>
        <v>100</v>
      </c>
      <c r="T27" s="1553" t="s">
        <v>8</v>
      </c>
      <c r="U27" s="1554">
        <f>H27</f>
        <v>100</v>
      </c>
      <c r="V27" s="1553" t="s">
        <v>8</v>
      </c>
      <c r="W27" s="1554">
        <f>J27</f>
        <v>100</v>
      </c>
      <c r="X27" s="1555"/>
      <c r="Y27" s="3407"/>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07"/>
      <c r="Q28" s="2541"/>
      <c r="R28" s="1553"/>
      <c r="S28" s="1554"/>
      <c r="T28" s="1553"/>
      <c r="U28" s="1554"/>
      <c r="V28" s="1553"/>
      <c r="W28" s="1554"/>
      <c r="X28" s="1555"/>
      <c r="Y28" s="3407"/>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7"/>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7"/>
      <c r="Q30" s="1557" t="str">
        <f t="shared" si="8"/>
        <v>毗邻道路的类型与等级</v>
      </c>
      <c r="R30" s="1558" t="s">
        <v>8</v>
      </c>
      <c r="S30" s="1559">
        <f t="shared" si="10"/>
        <v>100</v>
      </c>
      <c r="T30" s="1558" t="s">
        <v>8</v>
      </c>
      <c r="U30" s="1559">
        <f t="shared" si="11"/>
        <v>100</v>
      </c>
      <c r="V30" s="1558" t="s">
        <v>8</v>
      </c>
      <c r="W30" s="1559">
        <f t="shared" si="12"/>
        <v>100</v>
      </c>
      <c r="X30" s="1552"/>
      <c r="Y30" s="340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7"/>
      <c r="Q31" s="1557"/>
      <c r="R31" s="1558"/>
      <c r="S31" s="1559"/>
      <c r="T31" s="1558"/>
      <c r="U31" s="1559"/>
      <c r="V31" s="1558"/>
      <c r="W31" s="1559"/>
      <c r="X31" s="1552"/>
      <c r="Y31" s="3407"/>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7"/>
      <c r="Q32" s="1557" t="str">
        <f t="shared" si="8"/>
        <v>土地级别</v>
      </c>
      <c r="R32" s="1558" t="s">
        <v>8</v>
      </c>
      <c r="S32" s="1559">
        <f t="shared" si="10"/>
        <v>100</v>
      </c>
      <c r="T32" s="1558" t="s">
        <v>8</v>
      </c>
      <c r="U32" s="1559">
        <f t="shared" si="11"/>
        <v>100</v>
      </c>
      <c r="V32" s="1558" t="s">
        <v>8</v>
      </c>
      <c r="W32" s="1559">
        <f t="shared" si="12"/>
        <v>100</v>
      </c>
      <c r="X32" s="1552"/>
      <c r="Y32" s="340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7"/>
      <c r="Q33" s="1557">
        <f t="shared" si="8"/>
        <v>111</v>
      </c>
      <c r="R33" s="1558" t="s">
        <v>8</v>
      </c>
      <c r="S33" s="1559">
        <f t="shared" si="10"/>
        <v>100</v>
      </c>
      <c r="T33" s="1558" t="s">
        <v>8</v>
      </c>
      <c r="U33" s="1559">
        <f t="shared" si="11"/>
        <v>100</v>
      </c>
      <c r="V33" s="1558" t="s">
        <v>8</v>
      </c>
      <c r="W33" s="1559">
        <f t="shared" si="12"/>
        <v>100</v>
      </c>
      <c r="X33" s="1552"/>
      <c r="Y33" s="340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8" t="s">
        <v>550</v>
      </c>
      <c r="Q34" s="1557">
        <f t="shared" si="8"/>
        <v>111</v>
      </c>
      <c r="R34" s="1558" t="s">
        <v>8</v>
      </c>
      <c r="S34" s="1559">
        <f t="shared" si="10"/>
        <v>100</v>
      </c>
      <c r="T34" s="1558" t="s">
        <v>8</v>
      </c>
      <c r="U34" s="1559">
        <f t="shared" si="11"/>
        <v>100</v>
      </c>
      <c r="V34" s="1558" t="s">
        <v>8</v>
      </c>
      <c r="W34" s="1559">
        <f t="shared" si="12"/>
        <v>100</v>
      </c>
      <c r="X34" s="1552"/>
      <c r="Y34" s="3409"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9"/>
      <c r="Q35" s="1557">
        <f t="shared" si="8"/>
        <v>111</v>
      </c>
      <c r="R35" s="1562" t="s">
        <v>8</v>
      </c>
      <c r="S35" s="1563">
        <f t="shared" si="10"/>
        <v>100</v>
      </c>
      <c r="T35" s="1562" t="s">
        <v>8</v>
      </c>
      <c r="U35" s="1563">
        <f t="shared" si="11"/>
        <v>100</v>
      </c>
      <c r="V35" s="1562" t="s">
        <v>8</v>
      </c>
      <c r="W35" s="1563">
        <f t="shared" si="12"/>
        <v>100</v>
      </c>
      <c r="X35" s="1564"/>
      <c r="Y35" s="3409"/>
      <c r="Z35" s="1565">
        <f t="shared" si="13"/>
        <v>111</v>
      </c>
      <c r="AA35" s="1561">
        <f t="shared" si="3"/>
        <v>1</v>
      </c>
      <c r="AB35" s="1561">
        <f t="shared" si="4"/>
        <v>1</v>
      </c>
      <c r="AC35" s="1561">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9"/>
      <c r="Q36" s="1557" t="str">
        <f>B36</f>
        <v>宗地面积</v>
      </c>
      <c r="R36" s="1558" t="s">
        <v>8</v>
      </c>
      <c r="S36" s="1559" t="e">
        <f t="shared" si="10"/>
        <v>#N/A</v>
      </c>
      <c r="T36" s="1558" t="s">
        <v>8</v>
      </c>
      <c r="U36" s="1559" t="e">
        <f t="shared" si="11"/>
        <v>#N/A</v>
      </c>
      <c r="V36" s="1558" t="s">
        <v>8</v>
      </c>
      <c r="W36" s="1559" t="e">
        <f t="shared" si="12"/>
        <v>#N/A</v>
      </c>
      <c r="X36" s="1552"/>
      <c r="Y36" s="3409"/>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9"/>
      <c r="Q37" s="1557" t="str">
        <f t="shared" ref="Q37:Q42" si="14">B37</f>
        <v>宗地形状</v>
      </c>
      <c r="R37" s="1558" t="s">
        <v>8</v>
      </c>
      <c r="S37" s="1559">
        <f t="shared" si="10"/>
        <v>100</v>
      </c>
      <c r="T37" s="1558" t="s">
        <v>8</v>
      </c>
      <c r="U37" s="1559">
        <f t="shared" si="11"/>
        <v>100</v>
      </c>
      <c r="V37" s="1558" t="s">
        <v>8</v>
      </c>
      <c r="W37" s="1559">
        <f t="shared" si="12"/>
        <v>100</v>
      </c>
      <c r="X37" s="1552"/>
      <c r="Y37" s="3409"/>
      <c r="Z37" s="1560" t="str">
        <f t="shared" si="13"/>
        <v>宗地形状</v>
      </c>
      <c r="AA37" s="1561">
        <f t="shared" si="3"/>
        <v>1</v>
      </c>
      <c r="AB37" s="1561">
        <f t="shared" si="4"/>
        <v>1</v>
      </c>
      <c r="AC37" s="1561">
        <f t="shared" si="5"/>
        <v>1</v>
      </c>
    </row>
    <row r="38" spans="1:29" s="1214"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9"/>
      <c r="Q38" s="1557" t="str">
        <f t="shared" si="14"/>
        <v>宗地开发程度</v>
      </c>
      <c r="R38" s="1553" t="s">
        <v>8</v>
      </c>
      <c r="S38" s="1554">
        <f t="shared" si="10"/>
        <v>100</v>
      </c>
      <c r="T38" s="1553" t="s">
        <v>8</v>
      </c>
      <c r="U38" s="1554">
        <f t="shared" si="11"/>
        <v>100</v>
      </c>
      <c r="V38" s="1553" t="s">
        <v>8</v>
      </c>
      <c r="W38" s="1554">
        <f t="shared" si="12"/>
        <v>100</v>
      </c>
      <c r="X38" s="1555"/>
      <c r="Y38" s="3409"/>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9" t="s">
        <v>601</v>
      </c>
      <c r="Q39" s="1557" t="str">
        <f t="shared" si="14"/>
        <v>工程地质条件</v>
      </c>
      <c r="R39" s="1558" t="s">
        <v>8</v>
      </c>
      <c r="S39" s="1559">
        <f t="shared" si="10"/>
        <v>100</v>
      </c>
      <c r="T39" s="1558" t="s">
        <v>8</v>
      </c>
      <c r="U39" s="1559">
        <f t="shared" si="11"/>
        <v>100</v>
      </c>
      <c r="V39" s="1558" t="s">
        <v>8</v>
      </c>
      <c r="W39" s="1559">
        <f t="shared" si="12"/>
        <v>100</v>
      </c>
      <c r="X39" s="1552"/>
      <c r="Y39" s="3409"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9"/>
      <c r="Q40" s="1557">
        <f t="shared" si="14"/>
        <v>111</v>
      </c>
      <c r="R40" s="1558" t="s">
        <v>8</v>
      </c>
      <c r="S40" s="1559">
        <f t="shared" si="10"/>
        <v>100</v>
      </c>
      <c r="T40" s="1558" t="s">
        <v>8</v>
      </c>
      <c r="U40" s="1559">
        <f t="shared" si="11"/>
        <v>100</v>
      </c>
      <c r="V40" s="1558" t="s">
        <v>8</v>
      </c>
      <c r="W40" s="1559">
        <f t="shared" si="12"/>
        <v>100</v>
      </c>
      <c r="X40" s="1552"/>
      <c r="Y40" s="340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9"/>
      <c r="Q41" s="1557">
        <f t="shared" si="14"/>
        <v>111</v>
      </c>
      <c r="R41" s="1558" t="s">
        <v>8</v>
      </c>
      <c r="S41" s="1559">
        <f t="shared" si="10"/>
        <v>100</v>
      </c>
      <c r="T41" s="1558" t="s">
        <v>8</v>
      </c>
      <c r="U41" s="1559">
        <f t="shared" si="11"/>
        <v>100</v>
      </c>
      <c r="V41" s="1558" t="s">
        <v>8</v>
      </c>
      <c r="W41" s="1559">
        <f t="shared" si="12"/>
        <v>100</v>
      </c>
      <c r="X41" s="1552"/>
      <c r="Y41" s="3409"/>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9"/>
      <c r="Q42" s="1557">
        <f t="shared" si="14"/>
        <v>111</v>
      </c>
      <c r="R42" s="1562" t="s">
        <v>8</v>
      </c>
      <c r="S42" s="1563">
        <f t="shared" si="10"/>
        <v>100</v>
      </c>
      <c r="T42" s="1562" t="s">
        <v>8</v>
      </c>
      <c r="U42" s="1563">
        <f t="shared" si="11"/>
        <v>100</v>
      </c>
      <c r="V42" s="1562" t="s">
        <v>8</v>
      </c>
      <c r="W42" s="1563">
        <f t="shared" si="12"/>
        <v>100</v>
      </c>
      <c r="X42" s="1564"/>
      <c r="Y42" s="3409"/>
      <c r="Z42" s="1565">
        <f t="shared" si="13"/>
        <v>111</v>
      </c>
      <c r="AA42" s="1561">
        <f t="shared" si="3"/>
        <v>1</v>
      </c>
      <c r="AB42" s="1561">
        <f t="shared" si="4"/>
        <v>1</v>
      </c>
      <c r="AC42" s="1561">
        <f t="shared" si="5"/>
        <v>1</v>
      </c>
    </row>
    <row r="43" spans="1:29" ht="15">
      <c r="A43" s="607" t="s">
        <v>556</v>
      </c>
      <c r="B43" s="608" t="s">
        <v>2929</v>
      </c>
      <c r="C43" s="609" t="s">
        <v>1</v>
      </c>
      <c r="D43" s="610"/>
      <c r="E43" s="611"/>
      <c r="F43" s="612"/>
      <c r="G43" s="613"/>
      <c r="H43" s="614"/>
      <c r="I43" s="611"/>
      <c r="J43" s="614"/>
      <c r="K43" s="1334"/>
      <c r="L43" s="2128"/>
      <c r="M43" s="2118"/>
      <c r="N43" s="2118"/>
      <c r="O43" s="2129"/>
      <c r="P43" s="3404" t="str">
        <f>A43</f>
        <v>成交单价</v>
      </c>
      <c r="Q43" s="3404"/>
      <c r="R43" s="3418">
        <f>E43</f>
        <v>0</v>
      </c>
      <c r="S43" s="3418"/>
      <c r="T43" s="3418">
        <f>G43</f>
        <v>0</v>
      </c>
      <c r="U43" s="3418"/>
      <c r="V43" s="3418">
        <f>I43</f>
        <v>0</v>
      </c>
      <c r="W43" s="3418"/>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5"/>
      <c r="L44" s="2128"/>
      <c r="M44" s="2118"/>
      <c r="N44" s="2118"/>
      <c r="O44" s="2129"/>
      <c r="P44" s="3404" t="str">
        <f>A44</f>
        <v>比较价格（元/平方米）</v>
      </c>
      <c r="Q44" s="3404"/>
      <c r="R44" s="3429" t="e">
        <f>ROUND(PRODUCT(R43,AA9:AA42),0)</f>
        <v>#DIV/0!</v>
      </c>
      <c r="S44" s="3429"/>
      <c r="T44" s="3429" t="e">
        <f>ROUND(PRODUCT(T43,AB9:AB42),0)</f>
        <v>#DIV/0!</v>
      </c>
      <c r="U44" s="3429"/>
      <c r="V44" s="3429" t="e">
        <f>ROUND(PRODUCT(V43,AC9:AC42),0)</f>
        <v>#DIV/0!</v>
      </c>
      <c r="W44" s="3429"/>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6"/>
      <c r="L45" s="2128"/>
      <c r="M45" s="2118"/>
      <c r="N45" s="2118"/>
      <c r="O45" s="2129"/>
      <c r="P45" s="3426" t="str">
        <f>A45</f>
        <v>估价对象XX用房的比较价格（楼面单价，元/平方米）</v>
      </c>
      <c r="Q45" s="3427"/>
      <c r="R45" s="3428" t="e">
        <f>ROUND(AVERAGE(R44:V44),0)</f>
        <v>#DIV/0!</v>
      </c>
      <c r="S45" s="3428"/>
      <c r="T45" s="3428"/>
      <c r="U45" s="3428"/>
      <c r="V45" s="3428"/>
      <c r="W45" s="342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2291</v>
      </c>
      <c r="E52" s="631" t="s">
        <v>562</v>
      </c>
      <c r="F52" s="1935" t="s">
        <v>563</v>
      </c>
      <c r="G52" s="3430" t="s">
        <v>2282</v>
      </c>
      <c r="H52" s="3431"/>
      <c r="I52" s="1936" t="s">
        <v>1943</v>
      </c>
      <c r="J52" s="1540" t="str">
        <f>项目基本情况!F41</f>
        <v>山东诸城</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56280</v>
      </c>
      <c r="F53" s="1934" t="e">
        <f t="shared" ref="F53:F62" si="15">ROUND(B53*E53/10000,0)</f>
        <v>#DIV/0!</v>
      </c>
      <c r="G53" s="3432"/>
      <c r="H53" s="343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34"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3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3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3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2324</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2292</v>
      </c>
      <c r="E63" s="643">
        <f>IF(B43="楼面地价",SUM(E53:E62),'数据-汇总表'!D3)</f>
        <v>37520</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2019-5-1</v>
      </c>
      <c r="D65" s="2753">
        <f>EDATE(C65,-3)</f>
        <v>43497</v>
      </c>
      <c r="E65" s="2753">
        <f t="shared" ref="E65:N65" si="18">EDATE(D65,-3)</f>
        <v>43405</v>
      </c>
      <c r="F65" s="2753">
        <f t="shared" si="18"/>
        <v>43313</v>
      </c>
      <c r="G65" s="2753">
        <f t="shared" si="18"/>
        <v>43221</v>
      </c>
      <c r="H65" s="2753">
        <f t="shared" si="18"/>
        <v>43132</v>
      </c>
      <c r="I65" s="2753">
        <f t="shared" si="18"/>
        <v>43040</v>
      </c>
      <c r="J65" s="2753">
        <f t="shared" si="18"/>
        <v>42948</v>
      </c>
      <c r="K65" s="2753">
        <f t="shared" si="18"/>
        <v>42856</v>
      </c>
      <c r="L65" s="2753">
        <f t="shared" si="18"/>
        <v>42767</v>
      </c>
      <c r="M65" s="2753">
        <f t="shared" si="18"/>
        <v>42675</v>
      </c>
      <c r="N65" s="2753">
        <f t="shared" si="18"/>
        <v>42583</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2529</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2645</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2422</v>
      </c>
      <c r="D1" s="1507">
        <f>SUM(D29:D30,D33:D39)</f>
        <v>0</v>
      </c>
      <c r="E1" s="1401" t="s">
        <v>2423</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2758</v>
      </c>
      <c r="S1" s="2890" t="s">
        <v>2759</v>
      </c>
      <c r="T1" s="2890" t="s">
        <v>2780</v>
      </c>
      <c r="U1" s="2890" t="s">
        <v>2781</v>
      </c>
      <c r="V1" s="2890" t="s">
        <v>2782</v>
      </c>
      <c r="W1" s="2173"/>
      <c r="X1" s="2173"/>
      <c r="Y1" s="2173"/>
      <c r="Z1" s="2173"/>
      <c r="AA1" s="2173"/>
      <c r="AB1" s="2173"/>
      <c r="AC1" s="2174"/>
    </row>
    <row r="2" spans="1:39" ht="15.75">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1685</v>
      </c>
      <c r="B3" s="1036" t="e">
        <f>ROUND(B2*10000/D1,0)</f>
        <v>#DIV/0!</v>
      </c>
      <c r="C3" s="1402" t="s">
        <v>925</v>
      </c>
      <c r="D3" s="1403" t="s">
        <v>926</v>
      </c>
      <c r="E3" s="1407"/>
      <c r="F3" s="1408"/>
      <c r="G3" s="1037">
        <f>IF(F3="宗地容积率",'数据-汇总表'!I4,IF(F3="估价对象容积率",'数据-汇总表'!I6,'数据-汇总表'!I7))</f>
        <v>0</v>
      </c>
      <c r="H3" s="1409" t="s">
        <v>927</v>
      </c>
      <c r="I3" s="1038">
        <v>8</v>
      </c>
      <c r="J3" s="1405" t="s">
        <v>928</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2"/>
      <c r="L4" s="1869" t="s">
        <v>2239</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1821</v>
      </c>
      <c r="B5" s="1410" t="s">
        <v>929</v>
      </c>
      <c r="C5" s="1039" t="e">
        <f>ROUND(IF(E2="商业",C6*C7+C16,(IF(E2="住宅",C6*C12+C16,C6+C16))),0)</f>
        <v>#DIV/0!</v>
      </c>
      <c r="D5" s="3071" t="e">
        <f>ROUND(C6+C16,0)</f>
        <v>#DIV/0!</v>
      </c>
      <c r="E5" s="3071"/>
      <c r="F5" s="1411"/>
      <c r="G5" s="1412"/>
      <c r="H5" s="1412"/>
      <c r="I5" s="1412"/>
      <c r="J5" s="1413"/>
      <c r="K5" s="3153"/>
      <c r="L5" s="1869" t="s">
        <v>2240</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0</v>
      </c>
      <c r="D6" s="1418" t="s">
        <v>1693</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3" t="str">
        <f>IF(E2="商业",IF(C8="不临58条商业街","",2),"")</f>
        <v/>
      </c>
      <c r="B7" s="1422" t="s">
        <v>930</v>
      </c>
      <c r="C7" s="1041" t="e">
        <f>IF(C8="不临58条商业街",1,ROUND(1+(1.6*E8+1.2*E9+0.8*E10+0.4*E11)*C9,4))</f>
        <v>#DIV/0!</v>
      </c>
      <c r="D7" s="1423" t="s">
        <v>931</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2761</v>
      </c>
      <c r="X7" s="2881">
        <f>G2</f>
        <v>0</v>
      </c>
      <c r="Y7" s="2881" t="s">
        <v>2762</v>
      </c>
      <c r="Z7" s="2882">
        <f>G3</f>
        <v>0</v>
      </c>
      <c r="AA7" s="2176"/>
      <c r="AB7" s="2176"/>
      <c r="AC7" s="2177"/>
      <c r="AD7" s="2883"/>
      <c r="AE7" s="2883"/>
      <c r="AF7" s="2883"/>
      <c r="AG7" s="2883"/>
      <c r="AH7" s="2883"/>
      <c r="AI7" s="2883"/>
      <c r="AJ7" s="2884"/>
    </row>
    <row r="8" spans="1:39" ht="15">
      <c r="A8" s="3444"/>
      <c r="B8" s="1409" t="s">
        <v>932</v>
      </c>
      <c r="C8" s="1515"/>
      <c r="D8" s="1043" t="s">
        <v>933</v>
      </c>
      <c r="E8" s="1044" t="e">
        <f>ROUND(C11/E7,4)</f>
        <v>#DIV/0!</v>
      </c>
      <c r="F8" s="1427" t="s">
        <v>934</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4" t="s">
        <v>2779</v>
      </c>
      <c r="X8" s="3455"/>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4"/>
      <c r="B9" s="1409" t="s">
        <v>935</v>
      </c>
      <c r="C9" s="1045">
        <f>SUMIF(修正!C59:C119,C8,修正!E59:E119)</f>
        <v>0</v>
      </c>
      <c r="D9" s="1046" t="s">
        <v>936</v>
      </c>
      <c r="E9" s="1046" t="e">
        <f>ROUND(C11/E7,4)</f>
        <v>#DIV/0!</v>
      </c>
      <c r="F9" s="1427" t="s">
        <v>937</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3" t="s">
        <v>2775</v>
      </c>
      <c r="X9" s="2885" t="s">
        <v>2776</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4"/>
      <c r="B10" s="1409" t="s">
        <v>938</v>
      </c>
      <c r="C10" s="1046">
        <f>SUMIF(修正!C59:C119,C8,修正!F59:F119)</f>
        <v>0</v>
      </c>
      <c r="D10" s="1046" t="s">
        <v>939</v>
      </c>
      <c r="E10" s="1046" t="e">
        <f>ROUND(C11/E7,4)</f>
        <v>#DIV/0!</v>
      </c>
      <c r="F10" s="1427" t="s">
        <v>940</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4"/>
      <c r="B11" s="1430" t="s">
        <v>941</v>
      </c>
      <c r="C11" s="1047">
        <f>C10/4</f>
        <v>0</v>
      </c>
      <c r="D11" s="1047" t="s">
        <v>942</v>
      </c>
      <c r="E11" s="1047" t="e">
        <f>ROUND(C11/E7,4)</f>
        <v>#DIV/0!</v>
      </c>
      <c r="F11" s="1431" t="s">
        <v>943</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3" t="s">
        <v>2777</v>
      </c>
      <c r="X11" s="1046" t="s">
        <v>2762</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43" t="s">
        <v>1869</v>
      </c>
      <c r="B12" s="1434" t="s">
        <v>944</v>
      </c>
      <c r="C12" s="1041">
        <f>ROUND(C15*D15*E15*F15*G15*H15*I15*J15,4)</f>
        <v>1</v>
      </c>
      <c r="D12" s="1435" t="s">
        <v>945</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3"/>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5"/>
      <c r="B13" s="1439" t="s">
        <v>1694</v>
      </c>
      <c r="C13" s="1440" t="s">
        <v>1695</v>
      </c>
      <c r="D13" s="1083" t="s">
        <v>1696</v>
      </c>
      <c r="E13" s="1083" t="s">
        <v>1697</v>
      </c>
      <c r="F13" s="1441" t="s">
        <v>946</v>
      </c>
      <c r="G13" s="1442" t="s">
        <v>1640</v>
      </c>
      <c r="H13" s="1443" t="s">
        <v>1640</v>
      </c>
      <c r="I13" s="1444" t="s">
        <v>1640</v>
      </c>
      <c r="J13" s="1445" t="s">
        <v>1640</v>
      </c>
      <c r="K13" s="3168"/>
      <c r="L13" s="3168"/>
      <c r="M13" s="3168"/>
      <c r="N13" s="3168"/>
      <c r="O13" s="3168"/>
      <c r="P13" s="1396"/>
      <c r="Q13" s="2173"/>
      <c r="R13" s="2891">
        <v>12</v>
      </c>
      <c r="S13" s="2880"/>
      <c r="T13" s="2891" t="e">
        <f t="shared" si="0"/>
        <v>#DIV/0!</v>
      </c>
      <c r="U13" s="2880"/>
      <c r="V13" s="2891" t="e">
        <f t="shared" si="1"/>
        <v>#DIV/0!</v>
      </c>
      <c r="W13" s="345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5"/>
      <c r="B14" s="1446"/>
      <c r="C14" s="1447"/>
      <c r="D14" s="1448"/>
      <c r="E14" s="1448"/>
      <c r="F14" s="1449"/>
      <c r="G14" s="1450" t="s">
        <v>947</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6"/>
      <c r="B15" s="3173" t="s">
        <v>1698</v>
      </c>
      <c r="C15" s="1047">
        <f>IF(C14="有",1.1,1)</f>
        <v>1</v>
      </c>
      <c r="D15" s="1047">
        <f>IF(D14="有",1.1,1)</f>
        <v>1</v>
      </c>
      <c r="E15" s="1047">
        <f>IF(E14="有",1.1,1)</f>
        <v>1</v>
      </c>
      <c r="F15" s="1047">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3" t="s">
        <v>1836</v>
      </c>
      <c r="B16" s="1422" t="s">
        <v>948</v>
      </c>
      <c r="C16" s="1050" t="e">
        <f>ROUND(IF(F17="与级别开发程度一致",0,(G17-E17)/C17),0)</f>
        <v>#DIV/0!</v>
      </c>
      <c r="D16" s="3461" t="s">
        <v>952</v>
      </c>
      <c r="E16" s="3462"/>
      <c r="F16" s="3461" t="s">
        <v>949</v>
      </c>
      <c r="G16" s="3462"/>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7"/>
      <c r="B17" s="3179" t="s">
        <v>951</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74" t="s">
        <v>953</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t="e">
        <f>ROUND(IF(H19="按公示增长率计算",SUMPRODUCT((地价!A3:A26=YEAR(G19)&amp;"-"&amp;ROUNDUP(MONTH(G19)/3,0))*(地价!X2:AB2=E2)*(地价!X3:AB26)),IF(H19="地价指数",M20/M19,(1+I19)^O19)),4)</f>
        <v>#VALUE!</v>
      </c>
      <c r="D19" s="1461" t="s">
        <v>955</v>
      </c>
      <c r="E19" s="1052">
        <v>41640</v>
      </c>
      <c r="F19" s="1461" t="s">
        <v>956</v>
      </c>
      <c r="G19" s="1053">
        <f>'数据-取费表'!B2</f>
        <v>43594</v>
      </c>
      <c r="H19" s="1462"/>
      <c r="I19" s="2739" t="str">
        <f>IF(H19="季度增幅（自定义）",SUMIF(N21:N24,E2,O21:O24),"")</f>
        <v/>
      </c>
      <c r="J19" s="1458"/>
      <c r="K19" s="3153"/>
      <c r="L19" s="2991" t="s">
        <v>2837</v>
      </c>
      <c r="M19" s="2992">
        <f>ROUND(SUMIF(地价!B2:F2,E2,地价!B26:F26),0)</f>
        <v>0</v>
      </c>
      <c r="N19" s="2741" t="s">
        <v>1674</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t="e">
        <f>ROUND(POWER(1+G20,J20-I20)*(POWER(1+G20,I20)-1)/(POWER(1+G20,J20)-1),4)</f>
        <v>#DIV/0!</v>
      </c>
      <c r="D20" s="2736" t="s">
        <v>970</v>
      </c>
      <c r="E20" s="3046">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55"/>
      <c r="L20" s="2993" t="s">
        <v>2838</v>
      </c>
      <c r="M20" s="3162">
        <f>ROUND(SUMPRODUCT((地价!A4:A26=YEAR(G19)&amp;"-"&amp;ROUNDUP(MONTH(G19)/3,0))*(地价!B2:F2=E2)*(地价!B4:F26)),0)</f>
        <v>0</v>
      </c>
      <c r="N20" s="2744" t="s">
        <v>2641</v>
      </c>
      <c r="O20" s="2742" t="s">
        <v>2640</v>
      </c>
      <c r="P20" s="2743" t="s">
        <v>2646</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2757</v>
      </c>
      <c r="C21" s="1152">
        <f>IF(B21="容积率修正",IF(G3&lt;=10,D22,J22),C23)</f>
        <v>0</v>
      </c>
      <c r="D21" s="1468"/>
      <c r="E21" s="1468"/>
      <c r="F21" s="1468"/>
      <c r="G21" s="1468"/>
      <c r="H21" s="1468"/>
      <c r="I21" s="1468"/>
      <c r="J21" s="1469"/>
      <c r="K21" s="3153"/>
      <c r="L21" s="1468"/>
      <c r="M21" s="1468"/>
      <c r="N21" s="1465" t="s">
        <v>973</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56"/>
      <c r="L22" s="1468"/>
      <c r="M22" s="1468"/>
      <c r="N22" s="1465" t="s">
        <v>976</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921</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0</v>
      </c>
      <c r="D24" s="1521"/>
      <c r="E24" s="1522"/>
      <c r="F24" s="1522"/>
      <c r="G24" s="1522"/>
      <c r="H24" s="1522"/>
      <c r="I24" s="1522"/>
      <c r="J24" s="1522"/>
      <c r="K24" s="3157"/>
      <c r="L24" s="1468"/>
      <c r="M24" s="1468"/>
      <c r="N24" s="1465" t="s">
        <v>979</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63" t="s">
        <v>2644</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t="e">
        <f>ROUND(C5*C18*C19*C20*C21*C24,0)</f>
        <v>#DIV/0!</v>
      </c>
      <c r="D29" s="1490"/>
      <c r="E29" s="1833" t="e">
        <f>ROUND(C29*D29/10000,0)</f>
        <v>#DIV/0!</v>
      </c>
      <c r="F29" s="1491" t="s">
        <v>1699</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0" t="s">
        <v>2956</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1"/>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1"/>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2"/>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2983</v>
      </c>
      <c r="C41" s="839" t="e">
        <f>ROUND(POWER(1+E41,H41-G41)*(POWER(1+E41,G41)-1)/(POWER(1+E41,H41)-1),4)</f>
        <v>#DIV/0!</v>
      </c>
      <c r="D41" s="378" t="s">
        <v>2981</v>
      </c>
      <c r="E41" s="3148">
        <f>G20</f>
        <v>0</v>
      </c>
      <c r="F41" s="378" t="s">
        <v>2982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2248</v>
      </c>
      <c r="G46" s="2394" t="s">
        <v>1012</v>
      </c>
      <c r="H46" s="2377" t="s">
        <v>2414</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8" t="s">
        <v>2932</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7" t="s">
        <v>2931</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2249</v>
      </c>
      <c r="G57" s="2394" t="s">
        <v>1012</v>
      </c>
      <c r="H57" s="2377" t="s">
        <v>2414</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8" t="s">
        <v>2933</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7" t="s">
        <v>2931</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2250</v>
      </c>
      <c r="G68" s="2394" t="s">
        <v>1012</v>
      </c>
      <c r="H68" s="2377" t="s">
        <v>2414</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7"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2251</v>
      </c>
      <c r="G79" s="2394" t="s">
        <v>1012</v>
      </c>
      <c r="H79" s="2377" t="s">
        <v>2414</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47" t="s">
        <v>2931</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8" t="s">
        <v>1631</v>
      </c>
      <c r="B90" s="3448"/>
      <c r="C90" s="3448"/>
      <c r="D90" s="3448"/>
      <c r="E90" s="3448"/>
      <c r="F90" s="3448"/>
      <c r="G90" s="3448"/>
      <c r="H90" s="3448"/>
      <c r="I90" s="3448"/>
      <c r="J90" s="3448"/>
      <c r="K90" s="2413"/>
      <c r="L90" s="2413"/>
      <c r="M90" s="2413"/>
      <c r="N90" s="2413"/>
    </row>
    <row r="91" spans="1:40">
      <c r="A91" s="3449" t="s">
        <v>1441</v>
      </c>
      <c r="B91" s="3449" t="s">
        <v>1632</v>
      </c>
      <c r="C91" s="1134" t="s">
        <v>1633</v>
      </c>
      <c r="D91" s="1135"/>
      <c r="E91" s="1135"/>
      <c r="F91" s="1135"/>
      <c r="G91" s="1135"/>
      <c r="H91" s="1135"/>
      <c r="I91" s="1135"/>
      <c r="J91" s="1136"/>
      <c r="K91" s="1128"/>
      <c r="L91" s="1128"/>
      <c r="M91" s="1128"/>
      <c r="N91" s="1128"/>
    </row>
    <row r="92" spans="1:40">
      <c r="A92" s="3449"/>
      <c r="B92" s="3449"/>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56"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7"/>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56"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5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5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5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5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5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5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57"/>
      <c r="B108" s="3459"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8"/>
      <c r="B109" s="346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42" t="s">
        <v>1637</v>
      </c>
      <c r="B110" s="3442"/>
      <c r="C110" s="3442"/>
      <c r="D110" s="3442"/>
      <c r="E110" s="3442"/>
      <c r="F110" s="3442"/>
      <c r="G110" s="3442"/>
      <c r="H110" s="3442"/>
      <c r="I110" s="3442"/>
      <c r="J110" s="3442"/>
      <c r="K110" s="2411"/>
      <c r="L110" s="2411"/>
      <c r="M110" s="2411"/>
      <c r="N110" s="2411"/>
    </row>
    <row r="112" spans="1:14" ht="12.75" thickBot="1"/>
    <row r="113" spans="1:13" ht="25.5" thickBot="1">
      <c r="A113" s="1014" t="s">
        <v>894</v>
      </c>
      <c r="B113" s="2414">
        <f>G3</f>
        <v>0</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70"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49" t="s">
        <v>1005</v>
      </c>
      <c r="B18" s="1148" t="s">
        <v>1444</v>
      </c>
      <c r="C18" s="1125" t="s">
        <v>1445</v>
      </c>
      <c r="D18" s="1126"/>
      <c r="E18" s="1148">
        <v>1</v>
      </c>
      <c r="F18" s="1127" t="s">
        <v>1446</v>
      </c>
      <c r="G18" s="1128"/>
      <c r="H18" s="1099"/>
      <c r="I18" s="1099"/>
    </row>
    <row r="19" spans="1:9" s="1583" customFormat="1" ht="19.5" customHeight="1">
      <c r="A19" s="3449"/>
      <c r="B19" s="3449" t="s">
        <v>1447</v>
      </c>
      <c r="C19" s="1125" t="s">
        <v>1448</v>
      </c>
      <c r="D19" s="1126"/>
      <c r="E19" s="1148">
        <v>0.9</v>
      </c>
      <c r="F19" s="1127" t="s">
        <v>1449</v>
      </c>
      <c r="G19" s="1128"/>
      <c r="H19" s="1099"/>
      <c r="I19" s="1099"/>
    </row>
    <row r="20" spans="1:9" s="1583" customFormat="1" ht="19.5" customHeight="1">
      <c r="A20" s="3449"/>
      <c r="B20" s="3449"/>
      <c r="C20" s="1125" t="s">
        <v>1450</v>
      </c>
      <c r="D20" s="1126"/>
      <c r="E20" s="1148">
        <v>1.1000000000000001</v>
      </c>
      <c r="F20" s="1127" t="s">
        <v>1451</v>
      </c>
      <c r="G20" s="1128"/>
      <c r="H20" s="1099"/>
      <c r="I20" s="1099"/>
    </row>
    <row r="21" spans="1:9" s="1583" customFormat="1" ht="19.5" customHeight="1">
      <c r="A21" s="3449"/>
      <c r="B21" s="3449"/>
      <c r="C21" s="1125" t="s">
        <v>1452</v>
      </c>
      <c r="D21" s="1126"/>
      <c r="E21" s="1148">
        <v>0.8</v>
      </c>
      <c r="F21" s="1127" t="s">
        <v>1453</v>
      </c>
      <c r="G21" s="1128"/>
      <c r="H21" s="1099"/>
      <c r="I21" s="1099"/>
    </row>
    <row r="22" spans="1:9" s="1583" customFormat="1" ht="19.5" customHeight="1">
      <c r="A22" s="3449"/>
      <c r="B22" s="3449"/>
      <c r="C22" s="1125" t="s">
        <v>1454</v>
      </c>
      <c r="D22" s="1126"/>
      <c r="E22" s="1148">
        <v>0.5</v>
      </c>
      <c r="F22" s="1127"/>
      <c r="G22" s="1128"/>
      <c r="H22" s="1099"/>
      <c r="I22" s="1099"/>
    </row>
    <row r="23" spans="1:9" s="1583" customFormat="1" ht="19.5" customHeight="1">
      <c r="A23" s="3449" t="s">
        <v>1027</v>
      </c>
      <c r="B23" s="1148" t="s">
        <v>1444</v>
      </c>
      <c r="C23" s="1125" t="s">
        <v>1455</v>
      </c>
      <c r="D23" s="1126"/>
      <c r="E23" s="1148">
        <v>1</v>
      </c>
      <c r="F23" s="1127" t="s">
        <v>1456</v>
      </c>
      <c r="G23" s="1128"/>
      <c r="H23" s="1099"/>
      <c r="I23" s="1099"/>
    </row>
    <row r="24" spans="1:9" s="1583" customFormat="1" ht="19.5" customHeight="1">
      <c r="A24" s="3449"/>
      <c r="B24" s="3449" t="s">
        <v>1447</v>
      </c>
      <c r="C24" s="1125" t="s">
        <v>1457</v>
      </c>
      <c r="D24" s="1126"/>
      <c r="E24" s="1148">
        <v>0.5</v>
      </c>
      <c r="F24" s="1127"/>
      <c r="G24" s="1128"/>
      <c r="H24" s="1099"/>
      <c r="I24" s="1099"/>
    </row>
    <row r="25" spans="1:9" s="1583" customFormat="1" ht="19.5" customHeight="1">
      <c r="A25" s="3449"/>
      <c r="B25" s="3449"/>
      <c r="C25" s="1125" t="s">
        <v>1458</v>
      </c>
      <c r="D25" s="1126"/>
      <c r="E25" s="1148">
        <v>1.1000000000000001</v>
      </c>
      <c r="F25" s="1127"/>
      <c r="G25" s="1128"/>
      <c r="H25" s="1099"/>
      <c r="I25" s="1099"/>
    </row>
    <row r="26" spans="1:9" s="1583" customFormat="1" ht="19.5" customHeight="1">
      <c r="A26" s="3449"/>
      <c r="B26" s="3449"/>
      <c r="C26" s="1125" t="s">
        <v>1459</v>
      </c>
      <c r="D26" s="1126"/>
      <c r="E26" s="1148">
        <v>1.1000000000000001</v>
      </c>
      <c r="F26" s="1127"/>
      <c r="G26" s="1128"/>
      <c r="H26" s="1099"/>
      <c r="I26" s="1099"/>
    </row>
    <row r="27" spans="1:9" s="1583" customFormat="1" ht="19.5" customHeight="1">
      <c r="A27" s="3449"/>
      <c r="B27" s="3449"/>
      <c r="C27" s="1125" t="s">
        <v>1460</v>
      </c>
      <c r="D27" s="1126"/>
      <c r="E27" s="1148">
        <v>0.9</v>
      </c>
      <c r="F27" s="1127" t="s">
        <v>1461</v>
      </c>
      <c r="G27" s="1128"/>
      <c r="H27" s="1099"/>
      <c r="I27" s="1099"/>
    </row>
    <row r="28" spans="1:9" s="1583" customFormat="1" ht="19.5" customHeight="1">
      <c r="A28" s="3449"/>
      <c r="B28" s="3449"/>
      <c r="C28" s="1125" t="s">
        <v>1462</v>
      </c>
      <c r="D28" s="1126"/>
      <c r="E28" s="1148">
        <v>0.9</v>
      </c>
      <c r="F28" s="1127" t="s">
        <v>1463</v>
      </c>
      <c r="G28" s="1128"/>
      <c r="H28" s="1099"/>
      <c r="I28" s="1099"/>
    </row>
    <row r="29" spans="1:9" s="1583" customFormat="1" ht="19.5" customHeight="1">
      <c r="A29" s="3449"/>
      <c r="B29" s="3449"/>
      <c r="C29" s="1125" t="s">
        <v>1464</v>
      </c>
      <c r="D29" s="1126"/>
      <c r="E29" s="1148">
        <v>0.9</v>
      </c>
      <c r="F29" s="1127" t="s">
        <v>1465</v>
      </c>
      <c r="G29" s="1128"/>
      <c r="H29" s="1099"/>
      <c r="I29" s="1099"/>
    </row>
    <row r="30" spans="1:9" s="1583" customFormat="1" ht="19.5" customHeight="1">
      <c r="A30" s="3449"/>
      <c r="B30" s="3449"/>
      <c r="C30" s="1125" t="s">
        <v>1466</v>
      </c>
      <c r="D30" s="1126"/>
      <c r="E30" s="1148">
        <v>0.9</v>
      </c>
      <c r="F30" s="1127" t="s">
        <v>1467</v>
      </c>
      <c r="G30" s="1128"/>
      <c r="H30" s="1099"/>
      <c r="I30" s="1099"/>
    </row>
    <row r="31" spans="1:9" s="1583" customFormat="1" ht="19.5" customHeight="1">
      <c r="A31" s="3449"/>
      <c r="B31" s="3449"/>
      <c r="C31" s="1125" t="s">
        <v>1468</v>
      </c>
      <c r="D31" s="1126"/>
      <c r="E31" s="1148">
        <v>0.8</v>
      </c>
      <c r="F31" s="1127" t="s">
        <v>1469</v>
      </c>
      <c r="G31" s="1128"/>
      <c r="H31" s="1099"/>
      <c r="I31" s="1099"/>
    </row>
    <row r="32" spans="1:9" s="1583" customFormat="1" ht="19.5" customHeight="1">
      <c r="A32" s="3449"/>
      <c r="B32" s="3449"/>
      <c r="C32" s="1125" t="s">
        <v>1470</v>
      </c>
      <c r="D32" s="1126"/>
      <c r="E32" s="1148">
        <v>0.8</v>
      </c>
      <c r="F32" s="1127" t="s">
        <v>1471</v>
      </c>
      <c r="G32" s="1128"/>
      <c r="H32" s="1099"/>
      <c r="I32" s="1099"/>
    </row>
    <row r="33" spans="1:9" s="1583" customFormat="1" ht="19.5" customHeight="1">
      <c r="A33" s="3449" t="s">
        <v>1472</v>
      </c>
      <c r="B33" s="1148" t="s">
        <v>1444</v>
      </c>
      <c r="C33" s="1125" t="s">
        <v>1473</v>
      </c>
      <c r="D33" s="1126"/>
      <c r="E33" s="1148">
        <v>1</v>
      </c>
      <c r="F33" s="1127" t="s">
        <v>1474</v>
      </c>
      <c r="G33" s="1128"/>
      <c r="H33" s="1099"/>
      <c r="I33" s="1099"/>
    </row>
    <row r="34" spans="1:9" s="1583" customFormat="1" ht="19.5" customHeight="1">
      <c r="A34" s="3449"/>
      <c r="B34" s="1148" t="s">
        <v>1447</v>
      </c>
      <c r="C34" s="1125" t="s">
        <v>1475</v>
      </c>
      <c r="D34" s="1126"/>
      <c r="E34" s="1148">
        <v>1.5</v>
      </c>
      <c r="F34" s="1127" t="s">
        <v>1476</v>
      </c>
      <c r="G34" s="1128"/>
      <c r="H34" s="1099"/>
      <c r="I34" s="1099"/>
    </row>
    <row r="35" spans="1:9" s="1583" customFormat="1" ht="19.5" customHeight="1">
      <c r="A35" s="3449" t="s">
        <v>1430</v>
      </c>
      <c r="B35" s="1148" t="s">
        <v>1444</v>
      </c>
      <c r="C35" s="1125" t="s">
        <v>1477</v>
      </c>
      <c r="D35" s="1126"/>
      <c r="E35" s="1148">
        <v>1</v>
      </c>
      <c r="F35" s="1127" t="s">
        <v>1478</v>
      </c>
      <c r="G35" s="1128"/>
      <c r="H35" s="1099"/>
      <c r="I35" s="1099"/>
    </row>
    <row r="36" spans="1:9" s="1583" customFormat="1" ht="19.5" customHeight="1">
      <c r="A36" s="3449"/>
      <c r="B36" s="3449" t="s">
        <v>1447</v>
      </c>
      <c r="C36" s="1125" t="s">
        <v>1479</v>
      </c>
      <c r="D36" s="1126"/>
      <c r="E36" s="1148">
        <v>1</v>
      </c>
      <c r="F36" s="1127" t="s">
        <v>1480</v>
      </c>
      <c r="G36" s="1128"/>
      <c r="H36" s="1099"/>
      <c r="I36" s="1099"/>
    </row>
    <row r="37" spans="1:9" s="1583" customFormat="1" ht="19.5" customHeight="1">
      <c r="A37" s="3449"/>
      <c r="B37" s="3449"/>
      <c r="C37" s="1125" t="s">
        <v>1481</v>
      </c>
      <c r="D37" s="1126"/>
      <c r="E37" s="1148">
        <v>1.5</v>
      </c>
      <c r="F37" s="1127" t="s">
        <v>1482</v>
      </c>
      <c r="G37" s="1128"/>
      <c r="H37" s="1099"/>
      <c r="I37" s="1099"/>
    </row>
    <row r="38" spans="1:9" s="1583" customFormat="1" ht="19.5" customHeight="1">
      <c r="A38" s="3449"/>
      <c r="B38" s="3449"/>
      <c r="C38" s="1125" t="s">
        <v>1483</v>
      </c>
      <c r="D38" s="1126"/>
      <c r="E38" s="1148">
        <v>1</v>
      </c>
      <c r="F38" s="1127" t="s">
        <v>1484</v>
      </c>
      <c r="G38" s="1128"/>
      <c r="H38" s="1099"/>
      <c r="I38" s="1099"/>
    </row>
    <row r="39" spans="1:9" s="1583" customFormat="1" ht="19.5" customHeight="1">
      <c r="A39" s="3449"/>
      <c r="B39" s="3449"/>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49" t="s">
        <v>1499</v>
      </c>
      <c r="C61" s="1062" t="s">
        <v>1500</v>
      </c>
      <c r="D61" s="1062" t="s">
        <v>1501</v>
      </c>
      <c r="E61" s="1133">
        <v>0.5</v>
      </c>
      <c r="F61" s="1148">
        <v>80</v>
      </c>
      <c r="H61" s="1099">
        <f>SUMIF(C59:C119,基准地价!C8,E59:E119)</f>
        <v>0</v>
      </c>
    </row>
    <row r="62" spans="1:8" s="1099" customFormat="1" ht="24">
      <c r="A62" s="1148">
        <v>2</v>
      </c>
      <c r="B62" s="3449"/>
      <c r="C62" s="1062" t="s">
        <v>1502</v>
      </c>
      <c r="D62" s="1062" t="s">
        <v>1503</v>
      </c>
      <c r="E62" s="1133">
        <v>0.5</v>
      </c>
      <c r="F62" s="1148">
        <v>80</v>
      </c>
    </row>
    <row r="63" spans="1:8" s="1099" customFormat="1" ht="36">
      <c r="A63" s="1148">
        <v>3</v>
      </c>
      <c r="B63" s="3449"/>
      <c r="C63" s="1062" t="s">
        <v>1504</v>
      </c>
      <c r="D63" s="1062" t="s">
        <v>1505</v>
      </c>
      <c r="E63" s="1133">
        <v>0.5</v>
      </c>
      <c r="F63" s="1148">
        <v>80</v>
      </c>
    </row>
    <row r="64" spans="1:8" s="1099" customFormat="1" ht="36">
      <c r="A64" s="1148">
        <v>4</v>
      </c>
      <c r="B64" s="3449"/>
      <c r="C64" s="1062" t="s">
        <v>1506</v>
      </c>
      <c r="D64" s="1062" t="s">
        <v>1507</v>
      </c>
      <c r="E64" s="1133">
        <v>0.4</v>
      </c>
      <c r="F64" s="1148">
        <v>60</v>
      </c>
    </row>
    <row r="65" spans="1:6" s="1099" customFormat="1" ht="36">
      <c r="A65" s="1148">
        <v>5</v>
      </c>
      <c r="B65" s="3449"/>
      <c r="C65" s="1062" t="s">
        <v>1508</v>
      </c>
      <c r="D65" s="1062" t="s">
        <v>1509</v>
      </c>
      <c r="E65" s="1133">
        <v>0.2</v>
      </c>
      <c r="F65" s="1148">
        <v>30</v>
      </c>
    </row>
    <row r="66" spans="1:6" s="1099" customFormat="1" ht="36">
      <c r="A66" s="1148">
        <v>6</v>
      </c>
      <c r="B66" s="3449"/>
      <c r="C66" s="1062" t="s">
        <v>1510</v>
      </c>
      <c r="D66" s="1062" t="s">
        <v>1511</v>
      </c>
      <c r="E66" s="1133">
        <v>0.3</v>
      </c>
      <c r="F66" s="1148">
        <v>50</v>
      </c>
    </row>
    <row r="67" spans="1:6" s="1099" customFormat="1" ht="36">
      <c r="A67" s="1148">
        <v>7</v>
      </c>
      <c r="B67" s="3449"/>
      <c r="C67" s="1062" t="s">
        <v>1512</v>
      </c>
      <c r="D67" s="1062" t="s">
        <v>1513</v>
      </c>
      <c r="E67" s="1133">
        <v>0.2</v>
      </c>
      <c r="F67" s="1148">
        <v>30</v>
      </c>
    </row>
    <row r="68" spans="1:6" s="1099" customFormat="1" ht="36">
      <c r="A68" s="1148">
        <v>8</v>
      </c>
      <c r="B68" s="3449"/>
      <c r="C68" s="1062" t="s">
        <v>1514</v>
      </c>
      <c r="D68" s="1062" t="s">
        <v>1515</v>
      </c>
      <c r="E68" s="1133">
        <v>0.2</v>
      </c>
      <c r="F68" s="1148">
        <v>30</v>
      </c>
    </row>
    <row r="69" spans="1:6" s="1099" customFormat="1" ht="36">
      <c r="A69" s="1148">
        <v>9</v>
      </c>
      <c r="B69" s="3449"/>
      <c r="C69" s="1062" t="s">
        <v>1516</v>
      </c>
      <c r="D69" s="1062" t="s">
        <v>1517</v>
      </c>
      <c r="E69" s="1133">
        <v>0.2</v>
      </c>
      <c r="F69" s="1148">
        <v>30</v>
      </c>
    </row>
    <row r="70" spans="1:6" s="1099" customFormat="1" ht="48">
      <c r="A70" s="1148">
        <v>10</v>
      </c>
      <c r="B70" s="3449"/>
      <c r="C70" s="1062" t="s">
        <v>1518</v>
      </c>
      <c r="D70" s="1062" t="s">
        <v>1519</v>
      </c>
      <c r="E70" s="1133">
        <v>0.2</v>
      </c>
      <c r="F70" s="1148">
        <v>30</v>
      </c>
    </row>
    <row r="71" spans="1:6" s="1099" customFormat="1" ht="48">
      <c r="A71" s="1148">
        <v>11</v>
      </c>
      <c r="B71" s="3449"/>
      <c r="C71" s="1062" t="s">
        <v>1520</v>
      </c>
      <c r="D71" s="1062" t="s">
        <v>1521</v>
      </c>
      <c r="E71" s="1133">
        <v>0.2</v>
      </c>
      <c r="F71" s="1148">
        <v>30</v>
      </c>
    </row>
    <row r="72" spans="1:6" s="1099" customFormat="1" ht="36">
      <c r="A72" s="1148">
        <v>12</v>
      </c>
      <c r="B72" s="3449"/>
      <c r="C72" s="1062" t="s">
        <v>1522</v>
      </c>
      <c r="D72" s="1062" t="s">
        <v>1523</v>
      </c>
      <c r="E72" s="1133">
        <v>0.5</v>
      </c>
      <c r="F72" s="1148">
        <v>80</v>
      </c>
    </row>
    <row r="73" spans="1:6" s="1099" customFormat="1" ht="24">
      <c r="A73" s="1148">
        <v>13</v>
      </c>
      <c r="B73" s="3449"/>
      <c r="C73" s="1062" t="s">
        <v>1524</v>
      </c>
      <c r="D73" s="1062" t="s">
        <v>1525</v>
      </c>
      <c r="E73" s="1133">
        <v>0.4</v>
      </c>
      <c r="F73" s="1148">
        <v>60</v>
      </c>
    </row>
    <row r="74" spans="1:6" s="1099" customFormat="1" ht="24">
      <c r="A74" s="1148">
        <v>14</v>
      </c>
      <c r="B74" s="3449"/>
      <c r="C74" s="1062" t="s">
        <v>1526</v>
      </c>
      <c r="D74" s="1062" t="s">
        <v>1527</v>
      </c>
      <c r="E74" s="1133">
        <v>0.2</v>
      </c>
      <c r="F74" s="1148">
        <v>30</v>
      </c>
    </row>
    <row r="75" spans="1:6" s="1099" customFormat="1" ht="24">
      <c r="A75" s="1148">
        <v>15</v>
      </c>
      <c r="B75" s="3449"/>
      <c r="C75" s="1062" t="s">
        <v>1528</v>
      </c>
      <c r="D75" s="1062" t="s">
        <v>1529</v>
      </c>
      <c r="E75" s="1133">
        <v>0.2</v>
      </c>
      <c r="F75" s="1148">
        <v>30</v>
      </c>
    </row>
    <row r="76" spans="1:6" s="1099" customFormat="1" ht="24">
      <c r="A76" s="1148">
        <v>16</v>
      </c>
      <c r="B76" s="3449" t="s">
        <v>1530</v>
      </c>
      <c r="C76" s="1062" t="s">
        <v>1531</v>
      </c>
      <c r="D76" s="1062" t="s">
        <v>1532</v>
      </c>
      <c r="E76" s="1133">
        <v>0.5</v>
      </c>
      <c r="F76" s="1148">
        <v>80</v>
      </c>
    </row>
    <row r="77" spans="1:6" s="1099" customFormat="1" ht="24">
      <c r="A77" s="1148">
        <v>17</v>
      </c>
      <c r="B77" s="3449"/>
      <c r="C77" s="1062" t="s">
        <v>1533</v>
      </c>
      <c r="D77" s="1062" t="s">
        <v>1534</v>
      </c>
      <c r="E77" s="1133">
        <v>0.5</v>
      </c>
      <c r="F77" s="1148">
        <v>80</v>
      </c>
    </row>
    <row r="78" spans="1:6" s="1099" customFormat="1" ht="24">
      <c r="A78" s="1148">
        <v>18</v>
      </c>
      <c r="B78" s="3449"/>
      <c r="C78" s="1062" t="s">
        <v>1535</v>
      </c>
      <c r="D78" s="1062" t="s">
        <v>1536</v>
      </c>
      <c r="E78" s="1133">
        <v>0.2</v>
      </c>
      <c r="F78" s="1148">
        <v>30</v>
      </c>
    </row>
    <row r="79" spans="1:6" s="1099" customFormat="1" ht="24">
      <c r="A79" s="1148">
        <v>19</v>
      </c>
      <c r="B79" s="3449"/>
      <c r="C79" s="1062" t="s">
        <v>1537</v>
      </c>
      <c r="D79" s="1062" t="s">
        <v>1538</v>
      </c>
      <c r="E79" s="1133">
        <v>0.5</v>
      </c>
      <c r="F79" s="1148">
        <v>80</v>
      </c>
    </row>
    <row r="80" spans="1:6" s="1099" customFormat="1" ht="36">
      <c r="A80" s="1148">
        <v>20</v>
      </c>
      <c r="B80" s="3449"/>
      <c r="C80" s="1062" t="s">
        <v>1539</v>
      </c>
      <c r="D80" s="1062" t="s">
        <v>1540</v>
      </c>
      <c r="E80" s="1133">
        <v>0.2</v>
      </c>
      <c r="F80" s="1148">
        <v>30</v>
      </c>
    </row>
    <row r="81" spans="1:6" s="1099" customFormat="1" ht="36">
      <c r="A81" s="1148">
        <v>21</v>
      </c>
      <c r="B81" s="3449"/>
      <c r="C81" s="1062" t="s">
        <v>1541</v>
      </c>
      <c r="D81" s="1062" t="s">
        <v>1542</v>
      </c>
      <c r="E81" s="1133">
        <v>0.2</v>
      </c>
      <c r="F81" s="1148">
        <v>30</v>
      </c>
    </row>
    <row r="82" spans="1:6" s="1099" customFormat="1" ht="48">
      <c r="A82" s="1148">
        <v>22</v>
      </c>
      <c r="B82" s="3449"/>
      <c r="C82" s="1062" t="s">
        <v>1543</v>
      </c>
      <c r="D82" s="1062" t="s">
        <v>1544</v>
      </c>
      <c r="E82" s="1133">
        <v>0.2</v>
      </c>
      <c r="F82" s="1148">
        <v>30</v>
      </c>
    </row>
    <row r="83" spans="1:6" s="1099" customFormat="1" ht="48">
      <c r="A83" s="1148">
        <v>23</v>
      </c>
      <c r="B83" s="3449"/>
      <c r="C83" s="1062" t="s">
        <v>1545</v>
      </c>
      <c r="D83" s="1062" t="s">
        <v>1546</v>
      </c>
      <c r="E83" s="1133">
        <v>0.2</v>
      </c>
      <c r="F83" s="1148">
        <v>30</v>
      </c>
    </row>
    <row r="84" spans="1:6" s="1099" customFormat="1" ht="36">
      <c r="A84" s="1148">
        <v>24</v>
      </c>
      <c r="B84" s="3449"/>
      <c r="C84" s="1062" t="s">
        <v>1547</v>
      </c>
      <c r="D84" s="1062" t="s">
        <v>1548</v>
      </c>
      <c r="E84" s="1133">
        <v>0.2</v>
      </c>
      <c r="F84" s="1148">
        <v>30</v>
      </c>
    </row>
    <row r="85" spans="1:6" s="1099" customFormat="1" ht="36">
      <c r="A85" s="1148">
        <v>25</v>
      </c>
      <c r="B85" s="3449"/>
      <c r="C85" s="1062" t="s">
        <v>1549</v>
      </c>
      <c r="D85" s="1062" t="s">
        <v>1550</v>
      </c>
      <c r="E85" s="1133">
        <v>0.5</v>
      </c>
      <c r="F85" s="1148">
        <v>80</v>
      </c>
    </row>
    <row r="86" spans="1:6" s="1099" customFormat="1" ht="36">
      <c r="A86" s="1148">
        <v>26</v>
      </c>
      <c r="B86" s="3449"/>
      <c r="C86" s="1062" t="s">
        <v>1551</v>
      </c>
      <c r="D86" s="1062" t="s">
        <v>1552</v>
      </c>
      <c r="E86" s="1133">
        <v>0.2</v>
      </c>
      <c r="F86" s="1148">
        <v>30</v>
      </c>
    </row>
    <row r="87" spans="1:6" s="1099" customFormat="1" ht="36">
      <c r="A87" s="1148">
        <v>27</v>
      </c>
      <c r="B87" s="3449"/>
      <c r="C87" s="1062" t="s">
        <v>1553</v>
      </c>
      <c r="D87" s="1062" t="s">
        <v>1554</v>
      </c>
      <c r="E87" s="1133">
        <v>0.2</v>
      </c>
      <c r="F87" s="1148">
        <v>30</v>
      </c>
    </row>
    <row r="88" spans="1:6" s="1099" customFormat="1" ht="36">
      <c r="A88" s="1148">
        <v>28</v>
      </c>
      <c r="B88" s="3449"/>
      <c r="C88" s="1062" t="s">
        <v>1555</v>
      </c>
      <c r="D88" s="1062" t="s">
        <v>1556</v>
      </c>
      <c r="E88" s="1133">
        <v>0.2</v>
      </c>
      <c r="F88" s="1148">
        <v>30</v>
      </c>
    </row>
    <row r="89" spans="1:6" s="1099" customFormat="1" ht="24">
      <c r="A89" s="1148">
        <v>29</v>
      </c>
      <c r="B89" s="3449"/>
      <c r="C89" s="1062" t="s">
        <v>1557</v>
      </c>
      <c r="D89" s="1062" t="s">
        <v>1558</v>
      </c>
      <c r="E89" s="1133">
        <v>0.2</v>
      </c>
      <c r="F89" s="1148">
        <v>30</v>
      </c>
    </row>
    <row r="90" spans="1:6" s="1099" customFormat="1" ht="24">
      <c r="A90" s="1148">
        <v>30</v>
      </c>
      <c r="B90" s="3449"/>
      <c r="C90" s="1062" t="s">
        <v>1559</v>
      </c>
      <c r="D90" s="1062" t="s">
        <v>1560</v>
      </c>
      <c r="E90" s="1133">
        <v>0.2</v>
      </c>
      <c r="F90" s="1148">
        <v>30</v>
      </c>
    </row>
    <row r="91" spans="1:6" s="1099" customFormat="1" ht="36">
      <c r="A91" s="1148">
        <v>31</v>
      </c>
      <c r="B91" s="3449"/>
      <c r="C91" s="1062" t="s">
        <v>1561</v>
      </c>
      <c r="D91" s="1062" t="s">
        <v>1562</v>
      </c>
      <c r="E91" s="1133">
        <v>0.2</v>
      </c>
      <c r="F91" s="1148">
        <v>30</v>
      </c>
    </row>
    <row r="92" spans="1:6" s="1099" customFormat="1" ht="24">
      <c r="A92" s="1148">
        <v>32</v>
      </c>
      <c r="B92" s="3449" t="s">
        <v>1563</v>
      </c>
      <c r="C92" s="1148" t="s">
        <v>1564</v>
      </c>
      <c r="D92" s="1062" t="s">
        <v>1565</v>
      </c>
      <c r="E92" s="1133">
        <v>0.2</v>
      </c>
      <c r="F92" s="1148">
        <v>30</v>
      </c>
    </row>
    <row r="93" spans="1:6" s="1099" customFormat="1" ht="36">
      <c r="A93" s="1148">
        <v>33</v>
      </c>
      <c r="B93" s="3449"/>
      <c r="C93" s="1148" t="s">
        <v>1566</v>
      </c>
      <c r="D93" s="1062" t="s">
        <v>1567</v>
      </c>
      <c r="E93" s="1133">
        <v>0.2</v>
      </c>
      <c r="F93" s="1148">
        <v>30</v>
      </c>
    </row>
    <row r="94" spans="1:6" s="1099" customFormat="1" ht="48">
      <c r="A94" s="1148">
        <v>34</v>
      </c>
      <c r="B94" s="3449"/>
      <c r="C94" s="1148" t="s">
        <v>1568</v>
      </c>
      <c r="D94" s="1062" t="s">
        <v>1569</v>
      </c>
      <c r="E94" s="1133">
        <v>0.2</v>
      </c>
      <c r="F94" s="1148">
        <v>30</v>
      </c>
    </row>
    <row r="95" spans="1:6" s="1099" customFormat="1" ht="36">
      <c r="A95" s="1148">
        <v>35</v>
      </c>
      <c r="B95" s="3449"/>
      <c r="C95" s="1148" t="s">
        <v>1570</v>
      </c>
      <c r="D95" s="1062" t="s">
        <v>1571</v>
      </c>
      <c r="E95" s="1133">
        <v>0.2</v>
      </c>
      <c r="F95" s="1148">
        <v>30</v>
      </c>
    </row>
    <row r="96" spans="1:6" s="1099" customFormat="1" ht="48">
      <c r="A96" s="1148">
        <v>36</v>
      </c>
      <c r="B96" s="3449"/>
      <c r="C96" s="1062" t="s">
        <v>1572</v>
      </c>
      <c r="D96" s="1062" t="s">
        <v>1573</v>
      </c>
      <c r="E96" s="1133">
        <v>0.2</v>
      </c>
      <c r="F96" s="1148">
        <v>30</v>
      </c>
    </row>
    <row r="97" spans="1:6" s="1099" customFormat="1" ht="36">
      <c r="A97" s="1148">
        <v>37</v>
      </c>
      <c r="B97" s="3449"/>
      <c r="C97" s="1148" t="s">
        <v>1574</v>
      </c>
      <c r="D97" s="1062" t="s">
        <v>1575</v>
      </c>
      <c r="E97" s="1133">
        <v>0.2</v>
      </c>
      <c r="F97" s="1148">
        <v>30</v>
      </c>
    </row>
    <row r="98" spans="1:6" s="1099" customFormat="1" ht="36">
      <c r="A98" s="1148">
        <v>38</v>
      </c>
      <c r="B98" s="3449"/>
      <c r="C98" s="1148" t="s">
        <v>1576</v>
      </c>
      <c r="D98" s="1062" t="s">
        <v>1577</v>
      </c>
      <c r="E98" s="1133">
        <v>0.2</v>
      </c>
      <c r="F98" s="1148">
        <v>30</v>
      </c>
    </row>
    <row r="99" spans="1:6" s="1099" customFormat="1" ht="36">
      <c r="A99" s="1148">
        <v>39</v>
      </c>
      <c r="B99" s="3449" t="s">
        <v>1578</v>
      </c>
      <c r="C99" s="1148" t="s">
        <v>1579</v>
      </c>
      <c r="D99" s="1062" t="s">
        <v>1580</v>
      </c>
      <c r="E99" s="1133">
        <v>0.3</v>
      </c>
      <c r="F99" s="1148">
        <v>50</v>
      </c>
    </row>
    <row r="100" spans="1:6" s="1099" customFormat="1" ht="24">
      <c r="A100" s="1148">
        <v>40</v>
      </c>
      <c r="B100" s="3449"/>
      <c r="C100" s="1148" t="s">
        <v>1581</v>
      </c>
      <c r="D100" s="1062" t="s">
        <v>1582</v>
      </c>
      <c r="E100" s="1133">
        <v>0.2</v>
      </c>
      <c r="F100" s="1148">
        <v>30</v>
      </c>
    </row>
    <row r="101" spans="1:6" s="1099" customFormat="1" ht="36">
      <c r="A101" s="1148">
        <v>41</v>
      </c>
      <c r="B101" s="3449"/>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49" t="s">
        <v>1593</v>
      </c>
      <c r="C105" s="1148" t="s">
        <v>1594</v>
      </c>
      <c r="D105" s="1062" t="s">
        <v>1595</v>
      </c>
      <c r="E105" s="1133">
        <v>0.2</v>
      </c>
      <c r="F105" s="1148">
        <v>30</v>
      </c>
    </row>
    <row r="106" spans="1:6" s="1099" customFormat="1" ht="36">
      <c r="A106" s="1148">
        <v>46</v>
      </c>
      <c r="B106" s="3449"/>
      <c r="C106" s="1148" t="s">
        <v>1596</v>
      </c>
      <c r="D106" s="1062" t="s">
        <v>1597</v>
      </c>
      <c r="E106" s="1133">
        <v>0.2</v>
      </c>
      <c r="F106" s="1148">
        <v>30</v>
      </c>
    </row>
    <row r="107" spans="1:6" s="1099" customFormat="1" ht="36">
      <c r="A107" s="1148">
        <v>47</v>
      </c>
      <c r="B107" s="3449" t="s">
        <v>1598</v>
      </c>
      <c r="C107" s="1148" t="s">
        <v>1599</v>
      </c>
      <c r="D107" s="1062" t="s">
        <v>1600</v>
      </c>
      <c r="E107" s="1133">
        <v>0.3</v>
      </c>
      <c r="F107" s="1148">
        <v>50</v>
      </c>
    </row>
    <row r="108" spans="1:6" s="1099" customFormat="1" ht="36">
      <c r="A108" s="1148">
        <v>48</v>
      </c>
      <c r="B108" s="3449"/>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49" t="s">
        <v>1609</v>
      </c>
      <c r="C111" s="1148" t="s">
        <v>1610</v>
      </c>
      <c r="D111" s="1062" t="s">
        <v>1611</v>
      </c>
      <c r="E111" s="1133">
        <v>0.2</v>
      </c>
      <c r="F111" s="1148">
        <v>30</v>
      </c>
    </row>
    <row r="112" spans="1:6" s="1099" customFormat="1" ht="24">
      <c r="A112" s="1148">
        <v>52</v>
      </c>
      <c r="B112" s="3449"/>
      <c r="C112" s="1148" t="s">
        <v>1612</v>
      </c>
      <c r="D112" s="1062" t="s">
        <v>1613</v>
      </c>
      <c r="E112" s="1133">
        <v>0.2</v>
      </c>
      <c r="F112" s="1148">
        <v>30</v>
      </c>
    </row>
    <row r="113" spans="1:14" s="1099" customFormat="1" ht="24">
      <c r="A113" s="1148">
        <v>53</v>
      </c>
      <c r="B113" s="3449"/>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49" t="s">
        <v>1622</v>
      </c>
      <c r="C116" s="1148" t="s">
        <v>1623</v>
      </c>
      <c r="D116" s="1062" t="s">
        <v>1624</v>
      </c>
      <c r="E116" s="1133">
        <v>0.2</v>
      </c>
      <c r="F116" s="1148">
        <v>30</v>
      </c>
    </row>
    <row r="117" spans="1:14" ht="36">
      <c r="A117" s="1148">
        <v>57</v>
      </c>
      <c r="B117" s="3449"/>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48" t="s">
        <v>1631</v>
      </c>
      <c r="B121" s="3448"/>
      <c r="C121" s="3448"/>
      <c r="D121" s="3448"/>
      <c r="E121" s="3448"/>
      <c r="F121" s="3448"/>
      <c r="G121" s="3448"/>
      <c r="H121" s="3448"/>
      <c r="I121" s="3448"/>
      <c r="J121" s="344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3" t="s">
        <v>1037</v>
      </c>
      <c r="B1" s="3463"/>
      <c r="C1" s="3463"/>
      <c r="D1" s="3463"/>
      <c r="E1" s="3463"/>
      <c r="F1" s="3463"/>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64" t="s">
        <v>1050</v>
      </c>
      <c r="B2" s="3464"/>
      <c r="C2" s="3464"/>
      <c r="D2" s="3464"/>
      <c r="E2" s="3464"/>
      <c r="F2" s="3464"/>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65"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66"/>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2418</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2419</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7" t="s">
        <v>2077</v>
      </c>
      <c r="B1" s="3467"/>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1094</v>
      </c>
      <c r="B6" s="1843" t="s">
        <v>2086</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2087</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2088</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2089</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2090</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2091</v>
      </c>
      <c r="C72" s="1853"/>
      <c r="D72" s="1853"/>
      <c r="E72" s="1853"/>
      <c r="F72" s="1845">
        <v>0.05</v>
      </c>
    </row>
    <row r="73" spans="1:6" ht="14.25" thickBot="1">
      <c r="A73" s="1839" t="s">
        <v>923</v>
      </c>
      <c r="B73" s="1843" t="s">
        <v>2092</v>
      </c>
      <c r="C73" s="1853"/>
      <c r="D73" s="1853"/>
      <c r="E73" s="1853"/>
      <c r="F73" s="1845">
        <v>0.05</v>
      </c>
    </row>
    <row r="74" spans="1:6" ht="14.25" thickBot="1">
      <c r="A74" s="1839" t="s">
        <v>923</v>
      </c>
      <c r="B74" s="1843" t="s">
        <v>2093</v>
      </c>
      <c r="C74" s="1853"/>
      <c r="D74" s="1853"/>
      <c r="E74" s="1853"/>
      <c r="F74" s="1845">
        <v>0.05</v>
      </c>
    </row>
    <row r="75" spans="1:6" ht="14.25" thickBot="1">
      <c r="A75" s="1847" t="s">
        <v>923</v>
      </c>
      <c r="B75" s="1854" t="s">
        <v>2094</v>
      </c>
      <c r="C75" s="1850"/>
      <c r="D75" s="1850"/>
      <c r="E75" s="1850"/>
      <c r="F75" s="1855">
        <v>0.05</v>
      </c>
    </row>
    <row r="76" spans="1:6" ht="14.25" thickBot="1">
      <c r="A76" s="1839" t="s">
        <v>1405</v>
      </c>
      <c r="B76" s="1840" t="s">
        <v>2095</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2096</v>
      </c>
      <c r="C102" s="1853"/>
      <c r="D102" s="1853"/>
      <c r="E102" s="1853"/>
      <c r="F102" s="1845">
        <v>0.05</v>
      </c>
    </row>
    <row r="103" spans="1:6" ht="24.75" thickBot="1">
      <c r="A103" s="1839" t="s">
        <v>1405</v>
      </c>
      <c r="B103" s="1843" t="s">
        <v>2097</v>
      </c>
      <c r="C103" s="1853"/>
      <c r="D103" s="1853"/>
      <c r="E103" s="1853"/>
      <c r="F103" s="1845">
        <v>0.05</v>
      </c>
    </row>
    <row r="104" spans="1:6" ht="14.25" thickBot="1">
      <c r="A104" s="1839" t="s">
        <v>1405</v>
      </c>
      <c r="B104" s="1843" t="s">
        <v>2098</v>
      </c>
      <c r="C104" s="1853"/>
      <c r="D104" s="1853"/>
      <c r="E104" s="1853"/>
      <c r="F104" s="1845">
        <v>0.05</v>
      </c>
    </row>
    <row r="105" spans="1:6" ht="14.25" thickBot="1">
      <c r="A105" s="1839" t="s">
        <v>1405</v>
      </c>
      <c r="B105" s="1843" t="s">
        <v>2099</v>
      </c>
      <c r="C105" s="1853"/>
      <c r="D105" s="1853"/>
      <c r="E105" s="1853"/>
      <c r="F105" s="1845">
        <v>0.05</v>
      </c>
    </row>
    <row r="106" spans="1:6" ht="14.25" thickBot="1">
      <c r="A106" s="1839" t="s">
        <v>1405</v>
      </c>
      <c r="B106" s="1843" t="s">
        <v>2100</v>
      </c>
      <c r="C106" s="1853"/>
      <c r="D106" s="1853"/>
      <c r="E106" s="1853"/>
      <c r="F106" s="1845">
        <v>0.05</v>
      </c>
    </row>
    <row r="107" spans="1:6" ht="24.75" thickBot="1">
      <c r="A107" s="1839" t="s">
        <v>1405</v>
      </c>
      <c r="B107" s="1843" t="s">
        <v>2101</v>
      </c>
      <c r="C107" s="1853"/>
      <c r="D107" s="1853"/>
      <c r="E107" s="1853"/>
      <c r="F107" s="1845">
        <v>0.05</v>
      </c>
    </row>
    <row r="108" spans="1:6" ht="24.75" thickBot="1">
      <c r="A108" s="1839" t="s">
        <v>1405</v>
      </c>
      <c r="B108" s="1843" t="s">
        <v>2102</v>
      </c>
      <c r="C108" s="1853"/>
      <c r="D108" s="1853"/>
      <c r="E108" s="1853"/>
      <c r="F108" s="1845">
        <v>0.05</v>
      </c>
    </row>
    <row r="109" spans="1:6" ht="24.75" thickBot="1">
      <c r="A109" s="1847" t="s">
        <v>1405</v>
      </c>
      <c r="B109" s="1854" t="s">
        <v>2103</v>
      </c>
      <c r="C109" s="1850"/>
      <c r="D109" s="1850"/>
      <c r="E109" s="1850"/>
      <c r="F109" s="1855">
        <v>0.05</v>
      </c>
    </row>
    <row r="110" spans="1:6" ht="14.25" thickBot="1">
      <c r="A110" s="1839" t="s">
        <v>1407</v>
      </c>
      <c r="B110" s="1840" t="s">
        <v>2104</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2105</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2106</v>
      </c>
      <c r="C138" s="1844">
        <v>0.105</v>
      </c>
      <c r="D138" s="1844">
        <v>0.125</v>
      </c>
      <c r="E138" s="1844">
        <v>0.112</v>
      </c>
      <c r="F138" s="1852"/>
    </row>
    <row r="139" spans="1:6" ht="14.25" thickBot="1">
      <c r="A139" s="1839" t="s">
        <v>1407</v>
      </c>
      <c r="B139" s="1843" t="s">
        <v>2107</v>
      </c>
      <c r="C139" s="1844">
        <v>0.127</v>
      </c>
      <c r="D139" s="1844">
        <v>0.127</v>
      </c>
      <c r="E139" s="1844">
        <v>0.122</v>
      </c>
      <c r="F139" s="1845">
        <v>0.13</v>
      </c>
    </row>
    <row r="140" spans="1:6" ht="14.25" thickBot="1">
      <c r="A140" s="1839" t="s">
        <v>1407</v>
      </c>
      <c r="B140" s="1843" t="s">
        <v>2108</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2109</v>
      </c>
      <c r="C144" s="1857">
        <v>0.126</v>
      </c>
      <c r="D144" s="1857">
        <v>0.126</v>
      </c>
      <c r="E144" s="1857">
        <v>0.121</v>
      </c>
      <c r="F144" s="1852"/>
    </row>
    <row r="145" spans="1:6" ht="14.25" thickBot="1">
      <c r="A145" s="1847" t="s">
        <v>1407</v>
      </c>
      <c r="B145" s="1858" t="s">
        <v>2110</v>
      </c>
      <c r="C145" s="1859"/>
      <c r="D145" s="1859"/>
      <c r="E145" s="1859"/>
      <c r="F145" s="1860">
        <v>0.05</v>
      </c>
    </row>
    <row r="146" spans="1:6" ht="24.75" thickBot="1">
      <c r="A146" s="1861" t="s">
        <v>1407</v>
      </c>
      <c r="B146" s="1846" t="s">
        <v>2111</v>
      </c>
      <c r="C146" s="1853"/>
      <c r="D146" s="1853"/>
      <c r="E146" s="1853"/>
      <c r="F146" s="1862">
        <v>0.05</v>
      </c>
    </row>
    <row r="147" spans="1:6" ht="24.75" thickBot="1">
      <c r="A147" s="1839" t="s">
        <v>1407</v>
      </c>
      <c r="B147" s="1843" t="s">
        <v>2112</v>
      </c>
      <c r="C147" s="1853"/>
      <c r="D147" s="1853"/>
      <c r="E147" s="1853"/>
      <c r="F147" s="1845">
        <v>0.05</v>
      </c>
    </row>
    <row r="148" spans="1:6" ht="24.75" thickBot="1">
      <c r="A148" s="1839" t="s">
        <v>1407</v>
      </c>
      <c r="B148" s="1843" t="s">
        <v>2113</v>
      </c>
      <c r="C148" s="1853"/>
      <c r="D148" s="1853"/>
      <c r="E148" s="1853"/>
      <c r="F148" s="1845">
        <v>0.05</v>
      </c>
    </row>
    <row r="149" spans="1:6" ht="24.75" thickBot="1">
      <c r="A149" s="1839" t="s">
        <v>1407</v>
      </c>
      <c r="B149" s="1843" t="s">
        <v>2114</v>
      </c>
      <c r="C149" s="1853"/>
      <c r="D149" s="1853"/>
      <c r="E149" s="1853"/>
      <c r="F149" s="1845">
        <v>0.05</v>
      </c>
    </row>
    <row r="150" spans="1:6" ht="24.75" thickBot="1">
      <c r="A150" s="1839" t="s">
        <v>1407</v>
      </c>
      <c r="B150" s="1843" t="s">
        <v>2115</v>
      </c>
      <c r="C150" s="1853"/>
      <c r="D150" s="1853"/>
      <c r="E150" s="1853"/>
      <c r="F150" s="1845">
        <v>0.05</v>
      </c>
    </row>
    <row r="151" spans="1:6" ht="24.75" thickBot="1">
      <c r="A151" s="1839" t="s">
        <v>1407</v>
      </c>
      <c r="B151" s="1843" t="s">
        <v>2116</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2117</v>
      </c>
      <c r="C153" s="1853"/>
      <c r="D153" s="1853"/>
      <c r="E153" s="1853"/>
      <c r="F153" s="1845">
        <v>0.05</v>
      </c>
    </row>
    <row r="154" spans="1:6" ht="14.25" thickBot="1">
      <c r="A154" s="1839" t="s">
        <v>1407</v>
      </c>
      <c r="B154" s="1843" t="s">
        <v>2118</v>
      </c>
      <c r="C154" s="1853"/>
      <c r="D154" s="1853"/>
      <c r="E154" s="1853"/>
      <c r="F154" s="1845">
        <v>0.05</v>
      </c>
    </row>
    <row r="155" spans="1:6" ht="24.75" thickBot="1">
      <c r="A155" s="1839" t="s">
        <v>1407</v>
      </c>
      <c r="B155" s="1843" t="s">
        <v>2119</v>
      </c>
      <c r="C155" s="1853"/>
      <c r="D155" s="1853"/>
      <c r="E155" s="1853"/>
      <c r="F155" s="1845">
        <v>0.05</v>
      </c>
    </row>
    <row r="156" spans="1:6" ht="24.75" thickBot="1">
      <c r="A156" s="1839" t="s">
        <v>1407</v>
      </c>
      <c r="B156" s="1843" t="s">
        <v>2120</v>
      </c>
      <c r="C156" s="1853"/>
      <c r="D156" s="1853"/>
      <c r="E156" s="1853"/>
      <c r="F156" s="1845">
        <v>0.05</v>
      </c>
    </row>
    <row r="157" spans="1:6" ht="14.25" thickBot="1">
      <c r="A157" s="1847" t="s">
        <v>1407</v>
      </c>
      <c r="B157" s="1854" t="s">
        <v>2121</v>
      </c>
      <c r="C157" s="1850"/>
      <c r="D157" s="1850"/>
      <c r="E157" s="1850"/>
      <c r="F157" s="1855">
        <v>0.05</v>
      </c>
    </row>
    <row r="158" spans="1:6" ht="14.25" thickBot="1">
      <c r="A158" s="1839" t="s">
        <v>1409</v>
      </c>
      <c r="B158" s="1840" t="s">
        <v>2122</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2123</v>
      </c>
      <c r="C171" s="1844">
        <v>0.127</v>
      </c>
      <c r="D171" s="1844">
        <v>0.126</v>
      </c>
      <c r="E171" s="1844">
        <v>0.126</v>
      </c>
      <c r="F171" s="1845">
        <v>0.11799999999999999</v>
      </c>
    </row>
    <row r="172" spans="1:6" ht="14.25" thickBot="1">
      <c r="A172" s="1839" t="s">
        <v>1409</v>
      </c>
      <c r="B172" s="1843" t="s">
        <v>2124</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2125</v>
      </c>
      <c r="C174" s="1844">
        <v>0.13</v>
      </c>
      <c r="D174" s="1844">
        <v>0.13</v>
      </c>
      <c r="E174" s="1844">
        <v>0.13</v>
      </c>
      <c r="F174" s="1845">
        <v>0.13</v>
      </c>
    </row>
    <row r="175" spans="1:6" ht="14.25" thickBot="1">
      <c r="A175" s="1839" t="s">
        <v>1409</v>
      </c>
      <c r="B175" s="1843" t="s">
        <v>2126</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2127</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2128</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2129</v>
      </c>
      <c r="C185" s="1844">
        <v>0.127</v>
      </c>
      <c r="D185" s="1844">
        <v>0.127</v>
      </c>
      <c r="E185" s="1844">
        <v>0.128</v>
      </c>
      <c r="F185" s="1845">
        <v>0.13</v>
      </c>
    </row>
    <row r="186" spans="1:6" ht="24.75" thickBot="1">
      <c r="A186" s="1839" t="s">
        <v>1409</v>
      </c>
      <c r="B186" s="1843" t="s">
        <v>2130</v>
      </c>
      <c r="C186" s="1853"/>
      <c r="D186" s="1853"/>
      <c r="E186" s="1853"/>
      <c r="F186" s="1845">
        <v>0.05</v>
      </c>
    </row>
    <row r="187" spans="1:6" ht="14.25" thickBot="1">
      <c r="A187" s="1839" t="s">
        <v>1409</v>
      </c>
      <c r="B187" s="1843" t="s">
        <v>2131</v>
      </c>
      <c r="C187" s="1853"/>
      <c r="D187" s="1853"/>
      <c r="E187" s="1853"/>
      <c r="F187" s="1845">
        <v>0.05</v>
      </c>
    </row>
    <row r="188" spans="1:6" ht="14.25" thickBot="1">
      <c r="A188" s="1839" t="s">
        <v>1409</v>
      </c>
      <c r="B188" s="1843" t="s">
        <v>2132</v>
      </c>
      <c r="C188" s="1853"/>
      <c r="D188" s="1853"/>
      <c r="E188" s="1853"/>
      <c r="F188" s="1845">
        <v>0.05</v>
      </c>
    </row>
    <row r="189" spans="1:6" ht="24.75" thickBot="1">
      <c r="A189" s="1839" t="s">
        <v>1409</v>
      </c>
      <c r="B189" s="1843" t="s">
        <v>2133</v>
      </c>
      <c r="C189" s="1853"/>
      <c r="D189" s="1853"/>
      <c r="E189" s="1853"/>
      <c r="F189" s="1845">
        <v>0.05</v>
      </c>
    </row>
    <row r="190" spans="1:6" ht="24.75" thickBot="1">
      <c r="A190" s="1839" t="s">
        <v>1409</v>
      </c>
      <c r="B190" s="1843" t="s">
        <v>2134</v>
      </c>
      <c r="C190" s="1853"/>
      <c r="D190" s="1853"/>
      <c r="E190" s="1853"/>
      <c r="F190" s="1845">
        <v>0.05</v>
      </c>
    </row>
    <row r="191" spans="1:6" ht="24.75" thickBot="1">
      <c r="A191" s="1839" t="s">
        <v>1409</v>
      </c>
      <c r="B191" s="1843" t="s">
        <v>2135</v>
      </c>
      <c r="C191" s="1853"/>
      <c r="D191" s="1853"/>
      <c r="E191" s="1853"/>
      <c r="F191" s="1845">
        <v>0.05</v>
      </c>
    </row>
    <row r="192" spans="1:6" ht="24.75" thickBot="1">
      <c r="A192" s="1839" t="s">
        <v>1409</v>
      </c>
      <c r="B192" s="1843" t="s">
        <v>2136</v>
      </c>
      <c r="C192" s="1853"/>
      <c r="D192" s="1853"/>
      <c r="E192" s="1853"/>
      <c r="F192" s="1845">
        <v>0.05</v>
      </c>
    </row>
    <row r="193" spans="1:6" ht="24.75" thickBot="1">
      <c r="A193" s="1839" t="s">
        <v>1409</v>
      </c>
      <c r="B193" s="1843" t="s">
        <v>2137</v>
      </c>
      <c r="C193" s="1853"/>
      <c r="D193" s="1853"/>
      <c r="E193" s="1853"/>
      <c r="F193" s="1845">
        <v>0.05</v>
      </c>
    </row>
    <row r="194" spans="1:6" ht="24.75" thickBot="1">
      <c r="A194" s="1839" t="s">
        <v>1409</v>
      </c>
      <c r="B194" s="1843" t="s">
        <v>2138</v>
      </c>
      <c r="C194" s="1853"/>
      <c r="D194" s="1853"/>
      <c r="E194" s="1853"/>
      <c r="F194" s="1845">
        <v>0.05</v>
      </c>
    </row>
    <row r="195" spans="1:6" ht="14.25" thickBot="1">
      <c r="A195" s="1839" t="s">
        <v>1409</v>
      </c>
      <c r="B195" s="1843" t="s">
        <v>2139</v>
      </c>
      <c r="C195" s="1853"/>
      <c r="D195" s="1853"/>
      <c r="E195" s="1853"/>
      <c r="F195" s="1845">
        <v>0.05</v>
      </c>
    </row>
    <row r="196" spans="1:6" ht="24.75" thickBot="1">
      <c r="A196" s="1839" t="s">
        <v>1409</v>
      </c>
      <c r="B196" s="1843" t="s">
        <v>2140</v>
      </c>
      <c r="C196" s="1853"/>
      <c r="D196" s="1853"/>
      <c r="E196" s="1853"/>
      <c r="F196" s="1845">
        <v>0.05</v>
      </c>
    </row>
    <row r="197" spans="1:6" ht="24.75" thickBot="1">
      <c r="A197" s="1839" t="s">
        <v>1409</v>
      </c>
      <c r="B197" s="1843" t="s">
        <v>2141</v>
      </c>
      <c r="C197" s="1853"/>
      <c r="D197" s="1853"/>
      <c r="E197" s="1853"/>
      <c r="F197" s="1845">
        <v>0.05</v>
      </c>
    </row>
    <row r="198" spans="1:6" ht="24.75" thickBot="1">
      <c r="A198" s="1839" t="s">
        <v>1409</v>
      </c>
      <c r="B198" s="1843" t="s">
        <v>2142</v>
      </c>
      <c r="C198" s="1853"/>
      <c r="D198" s="1853"/>
      <c r="E198" s="1853"/>
      <c r="F198" s="1845">
        <v>0.05</v>
      </c>
    </row>
    <row r="199" spans="1:6" ht="24.75" thickBot="1">
      <c r="A199" s="1839" t="s">
        <v>1409</v>
      </c>
      <c r="B199" s="1843" t="s">
        <v>2143</v>
      </c>
      <c r="C199" s="1853"/>
      <c r="D199" s="1853"/>
      <c r="E199" s="1853"/>
      <c r="F199" s="1845">
        <v>0.05</v>
      </c>
    </row>
    <row r="200" spans="1:6" ht="24.75" thickBot="1">
      <c r="A200" s="1839" t="s">
        <v>1409</v>
      </c>
      <c r="B200" s="1843" t="s">
        <v>2144</v>
      </c>
      <c r="C200" s="1853"/>
      <c r="D200" s="1853"/>
      <c r="E200" s="1853"/>
      <c r="F200" s="1845">
        <v>0.05</v>
      </c>
    </row>
    <row r="201" spans="1:6" ht="24.75" thickBot="1">
      <c r="A201" s="1839" t="s">
        <v>1409</v>
      </c>
      <c r="B201" s="1843" t="s">
        <v>2145</v>
      </c>
      <c r="C201" s="1853"/>
      <c r="D201" s="1853"/>
      <c r="E201" s="1853"/>
      <c r="F201" s="1845">
        <v>0.05</v>
      </c>
    </row>
    <row r="202" spans="1:6" ht="24.75" thickBot="1">
      <c r="A202" s="1839" t="s">
        <v>1409</v>
      </c>
      <c r="B202" s="1843" t="s">
        <v>2146</v>
      </c>
      <c r="C202" s="1853"/>
      <c r="D202" s="1853"/>
      <c r="E202" s="1853"/>
      <c r="F202" s="1845">
        <v>0.05</v>
      </c>
    </row>
    <row r="203" spans="1:6" ht="24.75" thickBot="1">
      <c r="A203" s="1839" t="s">
        <v>1409</v>
      </c>
      <c r="B203" s="1843" t="s">
        <v>2147</v>
      </c>
      <c r="C203" s="1853"/>
      <c r="D203" s="1853"/>
      <c r="E203" s="1853"/>
      <c r="F203" s="1845">
        <v>0.05</v>
      </c>
    </row>
    <row r="204" spans="1:6" ht="14.25" thickBot="1">
      <c r="A204" s="1839" t="s">
        <v>1409</v>
      </c>
      <c r="B204" s="1843" t="s">
        <v>2148</v>
      </c>
      <c r="C204" s="1853"/>
      <c r="D204" s="1853"/>
      <c r="E204" s="1853"/>
      <c r="F204" s="1845">
        <v>0.05</v>
      </c>
    </row>
    <row r="205" spans="1:6" ht="14.25" thickBot="1">
      <c r="A205" s="1847" t="s">
        <v>1409</v>
      </c>
      <c r="B205" s="1854" t="s">
        <v>2149</v>
      </c>
      <c r="C205" s="1850"/>
      <c r="D205" s="1850"/>
      <c r="E205" s="1850"/>
      <c r="F205" s="1855">
        <v>0.05</v>
      </c>
    </row>
    <row r="206" spans="1:6" ht="14.25" thickBot="1">
      <c r="A206" s="1839" t="s">
        <v>1411</v>
      </c>
      <c r="B206" s="1840" t="s">
        <v>2150</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2151</v>
      </c>
      <c r="C210" s="1844">
        <v>0.15</v>
      </c>
      <c r="D210" s="1844">
        <v>0.15</v>
      </c>
      <c r="E210" s="1844">
        <v>0.15</v>
      </c>
      <c r="F210" s="1845">
        <v>0.13800000000000001</v>
      </c>
    </row>
    <row r="211" spans="1:6" ht="14.25" thickBot="1">
      <c r="A211" s="1839" t="s">
        <v>1411</v>
      </c>
      <c r="B211" s="1843" t="s">
        <v>2152</v>
      </c>
      <c r="C211" s="1844">
        <v>0.13700000000000001</v>
      </c>
      <c r="D211" s="1844">
        <v>0.13500000000000001</v>
      </c>
      <c r="E211" s="1844">
        <v>0.13600000000000001</v>
      </c>
      <c r="F211" s="1845">
        <v>0.1</v>
      </c>
    </row>
    <row r="212" spans="1:6" ht="14.25" thickBot="1">
      <c r="A212" s="1839" t="s">
        <v>1411</v>
      </c>
      <c r="B212" s="1843" t="s">
        <v>2153</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2154</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2155</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2156</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2157</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2158</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2159</v>
      </c>
      <c r="C231" s="1844">
        <v>0.128</v>
      </c>
      <c r="D231" s="1844">
        <v>0.125</v>
      </c>
      <c r="E231" s="1844">
        <v>0.13200000000000001</v>
      </c>
      <c r="F231" s="1852"/>
    </row>
    <row r="232" spans="1:6" ht="14.25" thickBot="1">
      <c r="A232" s="1839" t="s">
        <v>1411</v>
      </c>
      <c r="B232" s="1843" t="s">
        <v>2160</v>
      </c>
      <c r="C232" s="1844">
        <v>0.14499999999999999</v>
      </c>
      <c r="D232" s="1844">
        <v>0.14399999999999999</v>
      </c>
      <c r="E232" s="1844">
        <v>0.14599999999999999</v>
      </c>
      <c r="F232" s="1845">
        <v>0.13800000000000001</v>
      </c>
    </row>
    <row r="233" spans="1:6" ht="14.25" thickBot="1">
      <c r="A233" s="1839" t="s">
        <v>1411</v>
      </c>
      <c r="B233" s="1843" t="s">
        <v>2161</v>
      </c>
      <c r="C233" s="1844">
        <v>0.14499999999999999</v>
      </c>
      <c r="D233" s="1844">
        <v>0.14299999999999999</v>
      </c>
      <c r="E233" s="1844">
        <v>0.14199999999999999</v>
      </c>
      <c r="F233" s="1852"/>
    </row>
    <row r="234" spans="1:6" ht="14.25" thickBot="1">
      <c r="A234" s="1839" t="s">
        <v>1411</v>
      </c>
      <c r="B234" s="1843" t="s">
        <v>2162</v>
      </c>
      <c r="C234" s="1844">
        <v>0.14000000000000001</v>
      </c>
      <c r="D234" s="1844">
        <v>0.14000000000000001</v>
      </c>
      <c r="E234" s="1844">
        <v>0.14399999999999999</v>
      </c>
      <c r="F234" s="1852"/>
    </row>
    <row r="235" spans="1:6" ht="14.25" thickBot="1">
      <c r="A235" s="1839" t="s">
        <v>1411</v>
      </c>
      <c r="B235" s="1843" t="s">
        <v>2163</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2164</v>
      </c>
      <c r="C237" s="1853"/>
      <c r="D237" s="1853"/>
      <c r="E237" s="1853"/>
      <c r="F237" s="1845">
        <v>0.05</v>
      </c>
    </row>
    <row r="238" spans="1:6" ht="24.75" thickBot="1">
      <c r="A238" s="1839" t="s">
        <v>1411</v>
      </c>
      <c r="B238" s="1843" t="s">
        <v>2165</v>
      </c>
      <c r="C238" s="1853"/>
      <c r="D238" s="1853"/>
      <c r="E238" s="1853"/>
      <c r="F238" s="1845">
        <v>0.05</v>
      </c>
    </row>
    <row r="239" spans="1:6" ht="24.75" thickBot="1">
      <c r="A239" s="1839" t="s">
        <v>1411</v>
      </c>
      <c r="B239" s="1843" t="s">
        <v>2166</v>
      </c>
      <c r="C239" s="1853"/>
      <c r="D239" s="1853"/>
      <c r="E239" s="1853"/>
      <c r="F239" s="1845">
        <v>0.05</v>
      </c>
    </row>
    <row r="240" spans="1:6" ht="24.75" thickBot="1">
      <c r="A240" s="1839" t="s">
        <v>1411</v>
      </c>
      <c r="B240" s="1843" t="s">
        <v>2167</v>
      </c>
      <c r="C240" s="1853"/>
      <c r="D240" s="1853"/>
      <c r="E240" s="1853"/>
      <c r="F240" s="1845">
        <v>0.05</v>
      </c>
    </row>
    <row r="241" spans="1:6" ht="24.75" thickBot="1">
      <c r="A241" s="1839" t="s">
        <v>1411</v>
      </c>
      <c r="B241" s="1843" t="s">
        <v>2168</v>
      </c>
      <c r="C241" s="1853"/>
      <c r="D241" s="1853"/>
      <c r="E241" s="1853"/>
      <c r="F241" s="1845">
        <v>0.05</v>
      </c>
    </row>
    <row r="242" spans="1:6" ht="24.75" thickBot="1">
      <c r="A242" s="1839" t="s">
        <v>1411</v>
      </c>
      <c r="B242" s="1843" t="s">
        <v>2169</v>
      </c>
      <c r="C242" s="1853"/>
      <c r="D242" s="1853"/>
      <c r="E242" s="1853"/>
      <c r="F242" s="1845">
        <v>0.05</v>
      </c>
    </row>
    <row r="243" spans="1:6" ht="24.75" thickBot="1">
      <c r="A243" s="1839" t="s">
        <v>1411</v>
      </c>
      <c r="B243" s="1843" t="s">
        <v>2170</v>
      </c>
      <c r="C243" s="1853"/>
      <c r="D243" s="1853"/>
      <c r="E243" s="1853"/>
      <c r="F243" s="1845">
        <v>0.05</v>
      </c>
    </row>
    <row r="244" spans="1:6" ht="24.75" thickBot="1">
      <c r="A244" s="1847" t="s">
        <v>1411</v>
      </c>
      <c r="B244" s="1854" t="s">
        <v>2171</v>
      </c>
      <c r="C244" s="1850"/>
      <c r="D244" s="1850"/>
      <c r="E244" s="1850"/>
      <c r="F244" s="1855">
        <v>0.05</v>
      </c>
    </row>
    <row r="245" spans="1:6" ht="14.25" thickBot="1">
      <c r="A245" s="1839" t="s">
        <v>1413</v>
      </c>
      <c r="B245" s="1840" t="s">
        <v>2172</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2173</v>
      </c>
      <c r="C247" s="1844">
        <v>0.15</v>
      </c>
      <c r="D247" s="1844">
        <v>0.15</v>
      </c>
      <c r="E247" s="1844">
        <v>0.15</v>
      </c>
      <c r="F247" s="1845">
        <v>0.15</v>
      </c>
    </row>
    <row r="248" spans="1:6" ht="14.25" thickBot="1">
      <c r="A248" s="1839" t="s">
        <v>1413</v>
      </c>
      <c r="B248" s="1843" t="s">
        <v>2174</v>
      </c>
      <c r="C248" s="1844">
        <v>0.15</v>
      </c>
      <c r="D248" s="1844">
        <v>0.15</v>
      </c>
      <c r="E248" s="1844">
        <v>0.15</v>
      </c>
      <c r="F248" s="1845">
        <v>0.14000000000000001</v>
      </c>
    </row>
    <row r="249" spans="1:6" ht="14.25" thickBot="1">
      <c r="A249" s="1839" t="s">
        <v>1413</v>
      </c>
      <c r="B249" s="1843" t="s">
        <v>2175</v>
      </c>
      <c r="C249" s="1844">
        <v>0.15</v>
      </c>
      <c r="D249" s="1844">
        <v>0.14899999999999999</v>
      </c>
      <c r="E249" s="1844">
        <v>0.15</v>
      </c>
      <c r="F249" s="1845">
        <v>0.1</v>
      </c>
    </row>
    <row r="250" spans="1:6" ht="14.25" thickBot="1">
      <c r="A250" s="1839" t="s">
        <v>1413</v>
      </c>
      <c r="B250" s="1843" t="s">
        <v>2176</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2177</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2178</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2179</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2180</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2181</v>
      </c>
      <c r="C273" s="1844">
        <v>0.14199999999999999</v>
      </c>
      <c r="D273" s="1844">
        <v>0.14299999999999999</v>
      </c>
      <c r="E273" s="1844">
        <v>0.15</v>
      </c>
      <c r="F273" s="1845">
        <v>0.1</v>
      </c>
    </row>
    <row r="274" spans="1:6" ht="14.25" thickBot="1">
      <c r="A274" s="1839" t="s">
        <v>1413</v>
      </c>
      <c r="B274" s="1843" t="s">
        <v>2182</v>
      </c>
      <c r="C274" s="1844">
        <v>0.14799999999999999</v>
      </c>
      <c r="D274" s="1844">
        <v>0.14799999999999999</v>
      </c>
      <c r="E274" s="1844">
        <v>0.15</v>
      </c>
      <c r="F274" s="1845">
        <v>6.7000000000000004E-2</v>
      </c>
    </row>
    <row r="275" spans="1:6" ht="14.25" thickBot="1">
      <c r="A275" s="1839" t="s">
        <v>1413</v>
      </c>
      <c r="B275" s="1843" t="s">
        <v>2183</v>
      </c>
      <c r="C275" s="1844">
        <v>0.15</v>
      </c>
      <c r="D275" s="1844">
        <v>0.15</v>
      </c>
      <c r="E275" s="1844">
        <v>0.15</v>
      </c>
      <c r="F275" s="1845">
        <v>0.15</v>
      </c>
    </row>
    <row r="276" spans="1:6" ht="14.25" thickBot="1">
      <c r="A276" s="1839" t="s">
        <v>1413</v>
      </c>
      <c r="B276" s="1843" t="s">
        <v>2184</v>
      </c>
      <c r="C276" s="1844">
        <v>0.14499999999999999</v>
      </c>
      <c r="D276" s="1844">
        <v>0.14299999999999999</v>
      </c>
      <c r="E276" s="1844">
        <v>0.15</v>
      </c>
      <c r="F276" s="1845">
        <v>5.8999999999999997E-2</v>
      </c>
    </row>
    <row r="277" spans="1:6" ht="14.25" thickBot="1">
      <c r="A277" s="1839" t="s">
        <v>1413</v>
      </c>
      <c r="B277" s="1843" t="s">
        <v>2185</v>
      </c>
      <c r="C277" s="1844">
        <v>0.15</v>
      </c>
      <c r="D277" s="1844">
        <v>0.15</v>
      </c>
      <c r="E277" s="1844">
        <v>0.15</v>
      </c>
      <c r="F277" s="1845">
        <v>0.121</v>
      </c>
    </row>
    <row r="278" spans="1:6" ht="14.25" thickBot="1">
      <c r="A278" s="1839" t="s">
        <v>1413</v>
      </c>
      <c r="B278" s="1843" t="s">
        <v>2186</v>
      </c>
      <c r="C278" s="1844">
        <v>0.15</v>
      </c>
      <c r="D278" s="1844">
        <v>0.15</v>
      </c>
      <c r="E278" s="1844">
        <v>0.15</v>
      </c>
      <c r="F278" s="1845">
        <v>0.13800000000000001</v>
      </c>
    </row>
    <row r="279" spans="1:6" ht="24.75" thickBot="1">
      <c r="A279" s="1839" t="s">
        <v>1413</v>
      </c>
      <c r="B279" s="1843" t="s">
        <v>2187</v>
      </c>
      <c r="C279" s="1853"/>
      <c r="D279" s="1853"/>
      <c r="E279" s="1853"/>
      <c r="F279" s="1845">
        <v>0.05</v>
      </c>
    </row>
    <row r="280" spans="1:6" ht="24.75" thickBot="1">
      <c r="A280" s="1839" t="s">
        <v>1413</v>
      </c>
      <c r="B280" s="1843" t="s">
        <v>2188</v>
      </c>
      <c r="C280" s="1853"/>
      <c r="D280" s="1853"/>
      <c r="E280" s="1853"/>
      <c r="F280" s="1845">
        <v>0.05</v>
      </c>
    </row>
    <row r="281" spans="1:6" ht="24.75" thickBot="1">
      <c r="A281" s="1839" t="s">
        <v>1413</v>
      </c>
      <c r="B281" s="1843" t="s">
        <v>2189</v>
      </c>
      <c r="C281" s="1853"/>
      <c r="D281" s="1853"/>
      <c r="E281" s="1853"/>
      <c r="F281" s="1845">
        <v>0.05</v>
      </c>
    </row>
    <row r="282" spans="1:6" ht="24.75" thickBot="1">
      <c r="A282" s="1839" t="s">
        <v>1413</v>
      </c>
      <c r="B282" s="1843" t="s">
        <v>2190</v>
      </c>
      <c r="C282" s="1853"/>
      <c r="D282" s="1853"/>
      <c r="E282" s="1853"/>
      <c r="F282" s="1845">
        <v>0.05</v>
      </c>
    </row>
    <row r="283" spans="1:6" ht="24.75" thickBot="1">
      <c r="A283" s="1839" t="s">
        <v>1413</v>
      </c>
      <c r="B283" s="1843" t="s">
        <v>2191</v>
      </c>
      <c r="C283" s="1853"/>
      <c r="D283" s="1853"/>
      <c r="E283" s="1853"/>
      <c r="F283" s="1845">
        <v>0.05</v>
      </c>
    </row>
    <row r="284" spans="1:6" ht="24.75" thickBot="1">
      <c r="A284" s="1839" t="s">
        <v>1413</v>
      </c>
      <c r="B284" s="1843" t="s">
        <v>2192</v>
      </c>
      <c r="C284" s="1853"/>
      <c r="D284" s="1853"/>
      <c r="E284" s="1853"/>
      <c r="F284" s="1845">
        <v>0.05</v>
      </c>
    </row>
    <row r="285" spans="1:6" ht="24.75" thickBot="1">
      <c r="A285" s="1839" t="s">
        <v>1413</v>
      </c>
      <c r="B285" s="1843" t="s">
        <v>2193</v>
      </c>
      <c r="C285" s="1853"/>
      <c r="D285" s="1853"/>
      <c r="E285" s="1853"/>
      <c r="F285" s="1845">
        <v>0.05</v>
      </c>
    </row>
    <row r="286" spans="1:6" ht="24.75" thickBot="1">
      <c r="A286" s="1839" t="s">
        <v>1413</v>
      </c>
      <c r="B286" s="1843" t="s">
        <v>2194</v>
      </c>
      <c r="C286" s="1853"/>
      <c r="D286" s="1853"/>
      <c r="E286" s="1853"/>
      <c r="F286" s="1845">
        <v>0.05</v>
      </c>
    </row>
    <row r="287" spans="1:6" ht="24.75" thickBot="1">
      <c r="A287" s="1839" t="s">
        <v>1413</v>
      </c>
      <c r="B287" s="1843" t="s">
        <v>2195</v>
      </c>
      <c r="C287" s="1853"/>
      <c r="D287" s="1853"/>
      <c r="E287" s="1853"/>
      <c r="F287" s="1845">
        <v>0.05</v>
      </c>
    </row>
    <row r="288" spans="1:6" ht="24.75" thickBot="1">
      <c r="A288" s="1839" t="s">
        <v>1413</v>
      </c>
      <c r="B288" s="1843" t="s">
        <v>2196</v>
      </c>
      <c r="C288" s="1853"/>
      <c r="D288" s="1853"/>
      <c r="E288" s="1853"/>
      <c r="F288" s="1845">
        <v>0.05</v>
      </c>
    </row>
    <row r="289" spans="1:6" ht="24.75" thickBot="1">
      <c r="A289" s="1847" t="s">
        <v>1413</v>
      </c>
      <c r="B289" s="1854" t="s">
        <v>2197</v>
      </c>
      <c r="C289" s="1850"/>
      <c r="D289" s="1850"/>
      <c r="E289" s="1850"/>
      <c r="F289" s="1855">
        <v>0.05</v>
      </c>
    </row>
    <row r="290" spans="1:6" ht="14.25" thickBot="1">
      <c r="A290" s="1839" t="s">
        <v>1417</v>
      </c>
      <c r="B290" s="1840" t="s">
        <v>2198</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2199</v>
      </c>
      <c r="C292" s="1844">
        <v>0.15</v>
      </c>
      <c r="D292" s="1844">
        <v>0.15</v>
      </c>
      <c r="E292" s="1844">
        <v>0.15</v>
      </c>
      <c r="F292" s="1845">
        <v>0.14699999999999999</v>
      </c>
    </row>
    <row r="293" spans="1:6" ht="14.25" thickBot="1">
      <c r="A293" s="1839" t="s">
        <v>1417</v>
      </c>
      <c r="B293" s="1843" t="s">
        <v>2200</v>
      </c>
      <c r="C293" s="1853"/>
      <c r="D293" s="1853"/>
      <c r="E293" s="1853"/>
      <c r="F293" s="1845">
        <v>0.1</v>
      </c>
    </row>
    <row r="294" spans="1:6" ht="14.25" thickBot="1">
      <c r="A294" s="1839" t="s">
        <v>1417</v>
      </c>
      <c r="B294" s="1843" t="s">
        <v>2201</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2202</v>
      </c>
      <c r="C296" s="1844">
        <v>0.15</v>
      </c>
      <c r="D296" s="1844">
        <v>0.15</v>
      </c>
      <c r="E296" s="1844">
        <v>0.15</v>
      </c>
      <c r="F296" s="1845">
        <v>0.15</v>
      </c>
    </row>
    <row r="297" spans="1:6" ht="14.25" thickBot="1">
      <c r="A297" s="1839" t="s">
        <v>1417</v>
      </c>
      <c r="B297" s="1843" t="s">
        <v>2203</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2204</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2205</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2206</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2207</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2208</v>
      </c>
      <c r="C310" s="1844">
        <v>0.15</v>
      </c>
      <c r="D310" s="1844">
        <v>0.15</v>
      </c>
      <c r="E310" s="1844">
        <v>0.15</v>
      </c>
      <c r="F310" s="1845">
        <v>0.13700000000000001</v>
      </c>
    </row>
    <row r="311" spans="1:6" ht="14.25" thickBot="1">
      <c r="A311" s="1839" t="s">
        <v>1417</v>
      </c>
      <c r="B311" s="1843" t="s">
        <v>2209</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2210</v>
      </c>
      <c r="C313" s="1844">
        <v>0.15</v>
      </c>
      <c r="D313" s="1844">
        <v>0.15</v>
      </c>
      <c r="E313" s="1844">
        <v>0.15</v>
      </c>
      <c r="F313" s="1845">
        <v>0.15</v>
      </c>
    </row>
    <row r="314" spans="1:6" ht="24.75" thickBot="1">
      <c r="A314" s="1839" t="s">
        <v>1417</v>
      </c>
      <c r="B314" s="1843" t="s">
        <v>2211</v>
      </c>
      <c r="C314" s="1853"/>
      <c r="D314" s="1853"/>
      <c r="E314" s="1853"/>
      <c r="F314" s="1845">
        <v>0.05</v>
      </c>
    </row>
    <row r="315" spans="1:6" ht="24.75" thickBot="1">
      <c r="A315" s="1839" t="s">
        <v>1417</v>
      </c>
      <c r="B315" s="1843" t="s">
        <v>2212</v>
      </c>
      <c r="C315" s="1853"/>
      <c r="D315" s="1853"/>
      <c r="E315" s="1853"/>
      <c r="F315" s="1845">
        <v>0.05</v>
      </c>
    </row>
    <row r="316" spans="1:6" ht="24.75" thickBot="1">
      <c r="A316" s="1847" t="s">
        <v>1417</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1105</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1174</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1194</v>
      </c>
      <c r="C328" s="1844">
        <v>0.15</v>
      </c>
      <c r="D328" s="1844">
        <v>0.15</v>
      </c>
      <c r="E328" s="1844">
        <v>0.15</v>
      </c>
      <c r="F328" s="1845">
        <v>0.14099999999999999</v>
      </c>
    </row>
    <row r="329" spans="1:6" ht="14.25" thickBot="1">
      <c r="A329" s="1839" t="s">
        <v>2214</v>
      </c>
      <c r="B329" s="1843" t="s">
        <v>1204</v>
      </c>
      <c r="C329" s="1844">
        <v>0.15</v>
      </c>
      <c r="D329" s="1844">
        <v>0.15</v>
      </c>
      <c r="E329" s="1844">
        <v>0.15</v>
      </c>
      <c r="F329" s="1845">
        <v>0.15</v>
      </c>
    </row>
    <row r="330" spans="1:6" ht="14.25" thickBot="1">
      <c r="A330" s="1839" t="s">
        <v>2214</v>
      </c>
      <c r="B330" s="1843" t="s">
        <v>1214</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1234</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1254</v>
      </c>
      <c r="C334" s="1844">
        <v>0.15</v>
      </c>
      <c r="D334" s="1844">
        <v>0.15</v>
      </c>
      <c r="E334" s="1844">
        <v>0.15</v>
      </c>
      <c r="F334" s="1845">
        <v>0.15</v>
      </c>
    </row>
    <row r="335" spans="1:6" ht="14.25" thickBot="1">
      <c r="A335" s="1839" t="s">
        <v>2214</v>
      </c>
      <c r="B335" s="1843" t="s">
        <v>1264</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1282</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0" t="s">
        <v>2572</v>
      </c>
      <c r="C1" s="3470"/>
      <c r="D1" s="3470"/>
      <c r="E1" s="3470"/>
      <c r="F1" s="3470"/>
      <c r="G1" s="3469" t="s">
        <v>2573</v>
      </c>
      <c r="H1" s="3469"/>
      <c r="I1" s="3469"/>
      <c r="J1" s="3469"/>
      <c r="K1" s="3469"/>
      <c r="L1" s="3469"/>
      <c r="N1" s="3469" t="s">
        <v>2574</v>
      </c>
      <c r="O1" s="3469"/>
      <c r="P1" s="3469"/>
      <c r="Q1" s="3469"/>
      <c r="R1" s="2617"/>
      <c r="S1" s="3469" t="s">
        <v>2575</v>
      </c>
      <c r="T1" s="3469"/>
      <c r="U1" s="3469"/>
      <c r="V1" s="3469"/>
      <c r="X1" s="3468" t="s">
        <v>2635</v>
      </c>
      <c r="Y1" s="3469"/>
      <c r="Z1" s="3469"/>
      <c r="AA1" s="3469"/>
      <c r="AB1" s="3469"/>
      <c r="AD1" s="3468" t="s">
        <v>2639</v>
      </c>
      <c r="AE1" s="3469"/>
      <c r="AF1" s="3469"/>
      <c r="AG1" s="3469"/>
      <c r="AH1" s="3469"/>
    </row>
    <row r="2" spans="1:34" s="2718" customFormat="1" ht="14.25" thickBot="1">
      <c r="B2" s="2726" t="s">
        <v>2576</v>
      </c>
      <c r="C2" s="2726" t="s">
        <v>2637</v>
      </c>
      <c r="D2" s="2719" t="s">
        <v>1642</v>
      </c>
      <c r="E2" s="2719" t="s">
        <v>1947</v>
      </c>
      <c r="F2" s="2726" t="s">
        <v>2638</v>
      </c>
      <c r="G2" s="2722"/>
      <c r="H2" s="2721"/>
      <c r="I2" s="2726" t="s">
        <v>2951</v>
      </c>
      <c r="J2" s="2719" t="s">
        <v>2953</v>
      </c>
      <c r="K2" s="2719" t="s">
        <v>2954</v>
      </c>
      <c r="L2" s="2726" t="s">
        <v>2955</v>
      </c>
      <c r="N2" s="2726" t="s">
        <v>2576</v>
      </c>
      <c r="O2" s="2719" t="s">
        <v>2952</v>
      </c>
      <c r="P2" s="2719" t="s">
        <v>1947</v>
      </c>
      <c r="Q2" s="2726" t="s">
        <v>2638</v>
      </c>
      <c r="R2" s="2720"/>
      <c r="S2" s="2726" t="s">
        <v>2576</v>
      </c>
      <c r="T2" s="2719" t="s">
        <v>2952</v>
      </c>
      <c r="U2" s="2719" t="s">
        <v>1947</v>
      </c>
      <c r="V2" s="2726" t="s">
        <v>2638</v>
      </c>
      <c r="X2" s="2726" t="s">
        <v>2576</v>
      </c>
      <c r="Y2" s="2726" t="s">
        <v>2637</v>
      </c>
      <c r="Z2" s="2719" t="s">
        <v>1642</v>
      </c>
      <c r="AA2" s="2719" t="s">
        <v>1947</v>
      </c>
      <c r="AB2" s="2726" t="s">
        <v>2638</v>
      </c>
      <c r="AD2" s="2726" t="s">
        <v>2576</v>
      </c>
      <c r="AE2" s="2726" t="s">
        <v>2637</v>
      </c>
      <c r="AF2" s="2719" t="s">
        <v>1642</v>
      </c>
      <c r="AG2" s="2719" t="s">
        <v>1947</v>
      </c>
      <c r="AH2" s="2726" t="s">
        <v>2638</v>
      </c>
    </row>
    <row r="3" spans="1:34" s="3082" customFormat="1" ht="14.25">
      <c r="A3" s="3094" t="s">
        <v>2964</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2987</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2965</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2988</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2984</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72">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2974</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72"/>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2975</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72"/>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2971</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78"/>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2962</v>
      </c>
      <c r="B11" s="3096">
        <v>439</v>
      </c>
      <c r="C11" s="3096">
        <v>327</v>
      </c>
      <c r="D11" s="3096">
        <f t="shared" si="54"/>
        <v>327</v>
      </c>
      <c r="E11" s="3096">
        <v>627</v>
      </c>
      <c r="F11" s="3097">
        <v>283</v>
      </c>
      <c r="G11" s="347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2966</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72"/>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2577</v>
      </c>
      <c r="B13" s="2631">
        <f t="shared" si="66"/>
        <v>419.31181600000002</v>
      </c>
      <c r="C13" s="2631">
        <f t="shared" si="66"/>
        <v>313.95436800000004</v>
      </c>
      <c r="D13" s="2631">
        <f t="shared" si="54"/>
        <v>313.95436800000004</v>
      </c>
      <c r="E13" s="2631">
        <f t="shared" si="67"/>
        <v>596.63028431999999</v>
      </c>
      <c r="F13" s="2631">
        <f t="shared" si="67"/>
        <v>274.74220703999998</v>
      </c>
      <c r="G13" s="3472"/>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2578</v>
      </c>
      <c r="B14" s="2631">
        <f t="shared" si="66"/>
        <v>405.524</v>
      </c>
      <c r="C14" s="2631">
        <f t="shared" si="66"/>
        <v>307.79840000000002</v>
      </c>
      <c r="D14" s="2631">
        <f t="shared" si="54"/>
        <v>307.79840000000002</v>
      </c>
      <c r="E14" s="2631">
        <f t="shared" si="67"/>
        <v>574.67759999999998</v>
      </c>
      <c r="F14" s="2631">
        <f t="shared" si="67"/>
        <v>270.20280000000002</v>
      </c>
      <c r="G14" s="3478"/>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968</v>
      </c>
      <c r="B15" s="2623">
        <v>392</v>
      </c>
      <c r="C15" s="2623">
        <v>302</v>
      </c>
      <c r="D15" s="2623">
        <f t="shared" si="54"/>
        <v>302</v>
      </c>
      <c r="E15" s="2623">
        <v>553</v>
      </c>
      <c r="F15" s="2624">
        <v>266</v>
      </c>
      <c r="G15" s="347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967</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72"/>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957</v>
      </c>
      <c r="B17" s="2631">
        <f t="shared" si="75"/>
        <v>360.06949782209392</v>
      </c>
      <c r="C17" s="2631">
        <f t="shared" si="75"/>
        <v>289.84672674747821</v>
      </c>
      <c r="D17" s="2631">
        <f t="shared" si="76"/>
        <v>289.84672674747821</v>
      </c>
      <c r="E17" s="2631">
        <f t="shared" si="77"/>
        <v>501.06543001181495</v>
      </c>
      <c r="F17" s="2631">
        <f t="shared" si="77"/>
        <v>256.82882500744967</v>
      </c>
      <c r="G17" s="3472"/>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966</v>
      </c>
      <c r="B18" s="2631">
        <f t="shared" si="75"/>
        <v>346.720748986128</v>
      </c>
      <c r="C18" s="2631">
        <f t="shared" si="75"/>
        <v>284.30282172386285</v>
      </c>
      <c r="D18" s="2631">
        <f t="shared" si="76"/>
        <v>284.30282172386285</v>
      </c>
      <c r="E18" s="2631">
        <f t="shared" si="77"/>
        <v>479.58023546306947</v>
      </c>
      <c r="F18" s="2631">
        <f t="shared" si="77"/>
        <v>253.25788877571213</v>
      </c>
      <c r="G18" s="3473"/>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965</v>
      </c>
      <c r="B19" s="2623">
        <v>333</v>
      </c>
      <c r="C19" s="2623">
        <v>277</v>
      </c>
      <c r="D19" s="2623">
        <f t="shared" si="76"/>
        <v>277</v>
      </c>
      <c r="E19" s="2623">
        <v>459</v>
      </c>
      <c r="F19" s="2624">
        <v>249</v>
      </c>
      <c r="G19" s="3471">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964</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72"/>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963</v>
      </c>
      <c r="B21" s="2631">
        <f t="shared" si="79"/>
        <v>322.34053690220776</v>
      </c>
      <c r="C21" s="2631">
        <f t="shared" si="79"/>
        <v>271.46160770422546</v>
      </c>
      <c r="D21" s="2631">
        <f t="shared" si="76"/>
        <v>271.46160770422546</v>
      </c>
      <c r="E21" s="2631">
        <f t="shared" si="80"/>
        <v>442.69434542172456</v>
      </c>
      <c r="F21" s="2631">
        <f t="shared" si="80"/>
        <v>241.34030753190925</v>
      </c>
      <c r="G21" s="3472"/>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962</v>
      </c>
      <c r="B22" s="2631">
        <f t="shared" si="79"/>
        <v>319.87748030386797</v>
      </c>
      <c r="C22" s="2631">
        <f t="shared" si="79"/>
        <v>269.60135833173649</v>
      </c>
      <c r="D22" s="2631">
        <f t="shared" si="76"/>
        <v>269.60135833173649</v>
      </c>
      <c r="E22" s="2631">
        <f t="shared" si="80"/>
        <v>439.18089823583784</v>
      </c>
      <c r="F22" s="2631">
        <f t="shared" si="80"/>
        <v>239.23503918706311</v>
      </c>
      <c r="G22" s="3473"/>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961</v>
      </c>
      <c r="B23" s="2645">
        <v>318</v>
      </c>
      <c r="C23" s="2645">
        <v>268</v>
      </c>
      <c r="D23" s="2645">
        <f t="shared" si="76"/>
        <v>268</v>
      </c>
      <c r="E23" s="2645">
        <v>437</v>
      </c>
      <c r="F23" s="2646">
        <v>237</v>
      </c>
      <c r="G23" s="3471">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960</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72"/>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959</v>
      </c>
      <c r="B25" s="2631">
        <f t="shared" si="81"/>
        <v>314.72141172386546</v>
      </c>
      <c r="C25" s="2631">
        <f t="shared" si="81"/>
        <v>263.03901319069001</v>
      </c>
      <c r="D25" s="2631">
        <f t="shared" si="76"/>
        <v>263.03901319069001</v>
      </c>
      <c r="E25" s="2631">
        <f t="shared" si="82"/>
        <v>433.65745506782821</v>
      </c>
      <c r="F25" s="2631">
        <f t="shared" si="82"/>
        <v>233.23005080045735</v>
      </c>
      <c r="G25" s="3472"/>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958</v>
      </c>
      <c r="B26" s="2650">
        <f t="shared" si="81"/>
        <v>307.34512863658733</v>
      </c>
      <c r="C26" s="2650">
        <f t="shared" si="81"/>
        <v>257.80556031626975</v>
      </c>
      <c r="D26" s="2650">
        <f t="shared" si="76"/>
        <v>257.80556031626975</v>
      </c>
      <c r="E26" s="2650">
        <f t="shared" si="82"/>
        <v>422.70928459677179</v>
      </c>
      <c r="F26" s="2650">
        <f t="shared" si="82"/>
        <v>229.73803270336617</v>
      </c>
      <c r="G26" s="3473"/>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2636</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2579</v>
      </c>
      <c r="B27" s="2623">
        <v>299</v>
      </c>
      <c r="C27" s="2623">
        <v>252</v>
      </c>
      <c r="D27" s="2623">
        <f t="shared" si="76"/>
        <v>252</v>
      </c>
      <c r="E27" s="2623">
        <v>409</v>
      </c>
      <c r="F27" s="2624">
        <v>227</v>
      </c>
      <c r="G27" s="3474">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2580</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5"/>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2581</v>
      </c>
      <c r="B29" s="2631">
        <f t="shared" si="85"/>
        <v>288.2649053828776</v>
      </c>
      <c r="C29" s="2631">
        <f t="shared" si="85"/>
        <v>243.64564425013293</v>
      </c>
      <c r="D29" s="2631">
        <f t="shared" si="76"/>
        <v>243.64564425013293</v>
      </c>
      <c r="E29" s="2631">
        <f t="shared" si="86"/>
        <v>393.31080825986544</v>
      </c>
      <c r="F29" s="2631">
        <f t="shared" si="86"/>
        <v>223.07903790551154</v>
      </c>
      <c r="G29" s="3475"/>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2582</v>
      </c>
      <c r="B30" s="2631">
        <f t="shared" si="85"/>
        <v>282.50186729015837</v>
      </c>
      <c r="C30" s="2631">
        <f t="shared" si="85"/>
        <v>238.09796174155468</v>
      </c>
      <c r="D30" s="2631">
        <f t="shared" si="76"/>
        <v>238.09796174155468</v>
      </c>
      <c r="E30" s="2631">
        <f t="shared" si="86"/>
        <v>385.33438646014054</v>
      </c>
      <c r="F30" s="2631">
        <f t="shared" si="86"/>
        <v>221.55034055567739</v>
      </c>
      <c r="G30" s="3476"/>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2583</v>
      </c>
      <c r="B31" s="2661">
        <v>278</v>
      </c>
      <c r="C31" s="2661">
        <v>234</v>
      </c>
      <c r="D31" s="2661">
        <f t="shared" si="76"/>
        <v>234</v>
      </c>
      <c r="E31" s="2661">
        <v>379</v>
      </c>
      <c r="F31" s="2662">
        <v>220</v>
      </c>
      <c r="G31" s="3471">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2584</v>
      </c>
      <c r="B32" s="2631">
        <f>B31/(1+N31)</f>
        <v>275.49301357645425</v>
      </c>
      <c r="C32" s="2631">
        <f>C31/(1+O31)</f>
        <v>232.41954707985698</v>
      </c>
      <c r="D32" s="2631">
        <f t="shared" si="76"/>
        <v>232.41954707985698</v>
      </c>
      <c r="E32" s="2631">
        <f t="shared" ref="E32:F34" si="87">E31/(1+P31)</f>
        <v>375.32184591008121</v>
      </c>
      <c r="F32" s="2631">
        <f t="shared" si="87"/>
        <v>218.03766105054513</v>
      </c>
      <c r="G32" s="3472"/>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2585</v>
      </c>
      <c r="B33" s="2631">
        <f>B32/(1+N32)</f>
        <v>275.24529281292263</v>
      </c>
      <c r="C33" s="2631">
        <f>C32/(1+O32)</f>
        <v>231.74747938962707</v>
      </c>
      <c r="D33" s="2631">
        <f t="shared" si="76"/>
        <v>231.74747938962707</v>
      </c>
      <c r="E33" s="2631">
        <f t="shared" si="87"/>
        <v>375.35938184826603</v>
      </c>
      <c r="F33" s="2631">
        <f t="shared" si="87"/>
        <v>216.78033510692495</v>
      </c>
      <c r="G33" s="3472"/>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2586</v>
      </c>
      <c r="B34" s="2631">
        <f>B33/(1+N33)</f>
        <v>275.19025476197027</v>
      </c>
      <c r="C34" s="2663">
        <v>232</v>
      </c>
      <c r="D34" s="2663">
        <f t="shared" si="76"/>
        <v>232</v>
      </c>
      <c r="E34" s="2631">
        <f t="shared" si="87"/>
        <v>375.65990977608692</v>
      </c>
      <c r="F34" s="2631">
        <f t="shared" si="87"/>
        <v>214.12518283971252</v>
      </c>
      <c r="G34" s="3473"/>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2587</v>
      </c>
      <c r="B35" s="2623">
        <v>275</v>
      </c>
      <c r="C35" s="2623">
        <v>232</v>
      </c>
      <c r="D35" s="2623">
        <f t="shared" si="76"/>
        <v>232</v>
      </c>
      <c r="E35" s="2623">
        <v>376</v>
      </c>
      <c r="F35" s="2624">
        <v>213</v>
      </c>
      <c r="G35" s="3471">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2588</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72">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2589</v>
      </c>
      <c r="B37" s="2631">
        <f t="shared" si="88"/>
        <v>275.19335084830601</v>
      </c>
      <c r="C37" s="2631">
        <f t="shared" si="88"/>
        <v>230.18088050139744</v>
      </c>
      <c r="D37" s="2631">
        <f t="shared" si="76"/>
        <v>230.18088050139744</v>
      </c>
      <c r="E37" s="2631">
        <f t="shared" si="89"/>
        <v>377.58482925212331</v>
      </c>
      <c r="F37" s="2631">
        <f t="shared" si="89"/>
        <v>210.90687997847917</v>
      </c>
      <c r="G37" s="3472">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2590</v>
      </c>
      <c r="B38" s="2631">
        <f t="shared" si="88"/>
        <v>276.29854502841971</v>
      </c>
      <c r="C38" s="2631">
        <f t="shared" si="88"/>
        <v>229.79023709833027</v>
      </c>
      <c r="D38" s="2631">
        <f t="shared" si="76"/>
        <v>229.79023709833027</v>
      </c>
      <c r="E38" s="2631">
        <f t="shared" si="89"/>
        <v>379.78759731655936</v>
      </c>
      <c r="F38" s="2631">
        <f t="shared" si="89"/>
        <v>211.32953905659235</v>
      </c>
      <c r="G38" s="3473">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2591</v>
      </c>
      <c r="B39" s="2623">
        <v>269</v>
      </c>
      <c r="C39" s="2623">
        <v>221</v>
      </c>
      <c r="D39" s="2623">
        <f t="shared" si="76"/>
        <v>221</v>
      </c>
      <c r="E39" s="2623">
        <v>373</v>
      </c>
      <c r="F39" s="2624">
        <v>196</v>
      </c>
      <c r="G39" s="3471">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2592</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72">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2593</v>
      </c>
      <c r="B41" s="2631">
        <f t="shared" si="90"/>
        <v>242.95398227588385</v>
      </c>
      <c r="C41" s="2631">
        <f t="shared" si="90"/>
        <v>199.59137053614126</v>
      </c>
      <c r="D41" s="2631">
        <f t="shared" si="76"/>
        <v>199.59137053614126</v>
      </c>
      <c r="E41" s="2631">
        <f t="shared" si="91"/>
        <v>335.92189522342125</v>
      </c>
      <c r="F41" s="2631">
        <f t="shared" si="91"/>
        <v>183.10139991109489</v>
      </c>
      <c r="G41" s="3472">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2594</v>
      </c>
      <c r="B42" s="2631">
        <f t="shared" si="90"/>
        <v>232.06990378821649</v>
      </c>
      <c r="C42" s="2631">
        <f t="shared" si="90"/>
        <v>192.74878854286936</v>
      </c>
      <c r="D42" s="2631">
        <f t="shared" si="76"/>
        <v>192.74878854286936</v>
      </c>
      <c r="E42" s="2631">
        <f t="shared" si="91"/>
        <v>319.71247284992984</v>
      </c>
      <c r="F42" s="2631">
        <f t="shared" si="91"/>
        <v>175.67053622862409</v>
      </c>
      <c r="G42" s="3473">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2595</v>
      </c>
      <c r="B43" s="2623">
        <v>220</v>
      </c>
      <c r="C43" s="2623">
        <v>187</v>
      </c>
      <c r="D43" s="2623">
        <f t="shared" si="76"/>
        <v>187</v>
      </c>
      <c r="E43" s="2623">
        <v>301</v>
      </c>
      <c r="F43" s="2624">
        <v>168</v>
      </c>
      <c r="G43" s="3471">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2596</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72">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2597</v>
      </c>
      <c r="B45" s="2631">
        <f t="shared" si="92"/>
        <v>210.630522469011</v>
      </c>
      <c r="C45" s="2631">
        <f t="shared" si="92"/>
        <v>181.69567812247232</v>
      </c>
      <c r="D45" s="2631">
        <f t="shared" si="76"/>
        <v>181.69567812247232</v>
      </c>
      <c r="E45" s="2631">
        <f t="shared" si="93"/>
        <v>286.13517466736738</v>
      </c>
      <c r="F45" s="2631">
        <f t="shared" si="93"/>
        <v>165.47535084591149</v>
      </c>
      <c r="G45" s="3472">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2598</v>
      </c>
      <c r="B46" s="2631">
        <f t="shared" si="92"/>
        <v>208.83454537875372</v>
      </c>
      <c r="C46" s="2631">
        <f t="shared" si="92"/>
        <v>183.77230517090351</v>
      </c>
      <c r="D46" s="2631">
        <f t="shared" si="76"/>
        <v>183.77230517090351</v>
      </c>
      <c r="E46" s="2631">
        <f t="shared" si="93"/>
        <v>281.10342338870947</v>
      </c>
      <c r="F46" s="2631">
        <f t="shared" si="93"/>
        <v>168.97309388942256</v>
      </c>
      <c r="G46" s="3473">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2599</v>
      </c>
      <c r="B47" s="2661">
        <v>214</v>
      </c>
      <c r="C47" s="2661">
        <v>188</v>
      </c>
      <c r="D47" s="2661">
        <f t="shared" si="76"/>
        <v>188</v>
      </c>
      <c r="E47" s="2661">
        <v>289</v>
      </c>
      <c r="F47" s="2662">
        <v>166</v>
      </c>
      <c r="G47" s="3471">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2600</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72">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2601</v>
      </c>
      <c r="B49" s="2631">
        <f t="shared" si="94"/>
        <v>206.31694671589116</v>
      </c>
      <c r="C49" s="2631">
        <f t="shared" si="94"/>
        <v>183.61041121036101</v>
      </c>
      <c r="D49" s="2631">
        <f t="shared" si="76"/>
        <v>183.61041121036101</v>
      </c>
      <c r="E49" s="2631">
        <f t="shared" si="95"/>
        <v>276.66850301795557</v>
      </c>
      <c r="F49" s="2631">
        <f t="shared" si="95"/>
        <v>165.1360938278614</v>
      </c>
      <c r="G49" s="3472">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2602</v>
      </c>
      <c r="B50" s="2664">
        <f t="shared" si="94"/>
        <v>196.62341248059772</v>
      </c>
      <c r="C50" s="2664">
        <f t="shared" si="94"/>
        <v>170.99125648199012</v>
      </c>
      <c r="D50" s="2664">
        <f t="shared" si="76"/>
        <v>170.99125648199012</v>
      </c>
      <c r="E50" s="2664">
        <f t="shared" si="95"/>
        <v>266.07857570490052</v>
      </c>
      <c r="F50" s="2664">
        <f t="shared" si="95"/>
        <v>154.53499328828505</v>
      </c>
      <c r="G50" s="3473">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2603</v>
      </c>
      <c r="B51" s="2623">
        <v>188</v>
      </c>
      <c r="C51" s="2623">
        <v>165</v>
      </c>
      <c r="D51" s="2623">
        <f t="shared" si="76"/>
        <v>165</v>
      </c>
      <c r="E51" s="2623">
        <v>254</v>
      </c>
      <c r="F51" s="2624">
        <v>148</v>
      </c>
      <c r="G51" s="3471">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2604</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72">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2605</v>
      </c>
      <c r="B53" s="2631">
        <f t="shared" si="98"/>
        <v>168.82017748715555</v>
      </c>
      <c r="C53" s="2631">
        <f t="shared" si="98"/>
        <v>148.06267029972753</v>
      </c>
      <c r="D53" s="2631">
        <f t="shared" si="76"/>
        <v>148.06267029972753</v>
      </c>
      <c r="E53" s="2631">
        <f t="shared" si="99"/>
        <v>216.46288379323747</v>
      </c>
      <c r="F53" s="2631">
        <f t="shared" si="99"/>
        <v>134.23529411764704</v>
      </c>
      <c r="G53" s="3472">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2606</v>
      </c>
      <c r="B54" s="2631">
        <f t="shared" si="98"/>
        <v>163.84913591779542</v>
      </c>
      <c r="C54" s="2631">
        <f t="shared" si="98"/>
        <v>145.0283378746594</v>
      </c>
      <c r="D54" s="2631">
        <f t="shared" si="76"/>
        <v>145.0283378746594</v>
      </c>
      <c r="E54" s="2631">
        <f t="shared" si="99"/>
        <v>204.95180722891567</v>
      </c>
      <c r="F54" s="2631">
        <f t="shared" si="99"/>
        <v>125.95920303605313</v>
      </c>
      <c r="G54" s="3473">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2607</v>
      </c>
      <c r="B55" s="2645">
        <v>159</v>
      </c>
      <c r="C55" s="2645">
        <v>141</v>
      </c>
      <c r="D55" s="2645">
        <f t="shared" si="76"/>
        <v>141</v>
      </c>
      <c r="E55" s="2645">
        <v>195</v>
      </c>
      <c r="F55" s="2646">
        <v>122</v>
      </c>
      <c r="G55" s="3471">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2608</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72">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2609</v>
      </c>
      <c r="B57" s="2631">
        <f t="shared" si="102"/>
        <v>146.57412060301507</v>
      </c>
      <c r="C57" s="2631">
        <f t="shared" si="102"/>
        <v>136.46831955922866</v>
      </c>
      <c r="D57" s="2631">
        <f t="shared" si="76"/>
        <v>136.46831955922866</v>
      </c>
      <c r="E57" s="2631">
        <f t="shared" si="103"/>
        <v>166.73864894795128</v>
      </c>
      <c r="F57" s="2631">
        <f t="shared" si="103"/>
        <v>115.05882352941177</v>
      </c>
      <c r="G57" s="3472">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2610</v>
      </c>
      <c r="B58" s="2631">
        <f t="shared" si="102"/>
        <v>144.04145728643215</v>
      </c>
      <c r="C58" s="2631">
        <f t="shared" si="102"/>
        <v>136.12396694214877</v>
      </c>
      <c r="D58" s="2631">
        <f t="shared" si="76"/>
        <v>136.12396694214877</v>
      </c>
      <c r="E58" s="2631">
        <f t="shared" si="103"/>
        <v>158.32225913621264</v>
      </c>
      <c r="F58" s="2631">
        <f t="shared" si="103"/>
        <v>114.04278074866311</v>
      </c>
      <c r="G58" s="3473">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2611</v>
      </c>
      <c r="B59" s="2645">
        <v>138</v>
      </c>
      <c r="C59" s="2645">
        <v>131</v>
      </c>
      <c r="D59" s="2645">
        <f t="shared" si="76"/>
        <v>131</v>
      </c>
      <c r="E59" s="2645">
        <v>155</v>
      </c>
      <c r="F59" s="2646">
        <v>114</v>
      </c>
      <c r="G59" s="3471">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2612</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72">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2613</v>
      </c>
      <c r="B61" s="2631">
        <f t="shared" si="106"/>
        <v>124.29032258064517</v>
      </c>
      <c r="C61" s="2631">
        <f t="shared" si="106"/>
        <v>123.8968609865471</v>
      </c>
      <c r="D61" s="2631">
        <f t="shared" si="76"/>
        <v>123.8968609865471</v>
      </c>
      <c r="E61" s="2631">
        <f t="shared" si="107"/>
        <v>138.00507614213197</v>
      </c>
      <c r="F61" s="2631">
        <f t="shared" si="107"/>
        <v>107.96106557377048</v>
      </c>
      <c r="G61" s="3472">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2614</v>
      </c>
      <c r="B62" s="2631">
        <f t="shared" si="106"/>
        <v>122.57204301075269</v>
      </c>
      <c r="C62" s="2631">
        <f t="shared" si="106"/>
        <v>123.4932735426009</v>
      </c>
      <c r="D62" s="2631">
        <f t="shared" si="76"/>
        <v>123.4932735426009</v>
      </c>
      <c r="E62" s="2631">
        <f t="shared" si="107"/>
        <v>129.82233502538071</v>
      </c>
      <c r="F62" s="2631">
        <f t="shared" si="107"/>
        <v>107.39446721311475</v>
      </c>
      <c r="G62" s="3473">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2615</v>
      </c>
      <c r="B63" s="2661">
        <v>121</v>
      </c>
      <c r="C63" s="2661">
        <v>122</v>
      </c>
      <c r="D63" s="2661">
        <f t="shared" si="76"/>
        <v>122</v>
      </c>
      <c r="E63" s="2661">
        <v>124</v>
      </c>
      <c r="F63" s="2662">
        <v>107</v>
      </c>
      <c r="G63" s="3471">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2616</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72">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2617</v>
      </c>
      <c r="B65" s="2631">
        <f t="shared" si="110"/>
        <v>116.99099099099099</v>
      </c>
      <c r="C65" s="2631">
        <f t="shared" si="110"/>
        <v>118.84848484848486</v>
      </c>
      <c r="D65" s="2631">
        <f t="shared" si="76"/>
        <v>118.84848484848486</v>
      </c>
      <c r="E65" s="2631">
        <f t="shared" si="111"/>
        <v>117.60960960960961</v>
      </c>
      <c r="F65" s="2631">
        <f t="shared" si="111"/>
        <v>104</v>
      </c>
      <c r="G65" s="3472">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2618</v>
      </c>
      <c r="B66" s="2664">
        <f t="shared" si="110"/>
        <v>112.48648648648648</v>
      </c>
      <c r="C66" s="2664">
        <f t="shared" si="110"/>
        <v>115.21212121212122</v>
      </c>
      <c r="D66" s="2664">
        <f t="shared" si="76"/>
        <v>115.21212121212122</v>
      </c>
      <c r="E66" s="2664">
        <f t="shared" si="111"/>
        <v>110.4024024024024</v>
      </c>
      <c r="F66" s="2664">
        <f t="shared" si="111"/>
        <v>104</v>
      </c>
      <c r="G66" s="3473">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2619</v>
      </c>
      <c r="B67" s="2682">
        <v>111</v>
      </c>
      <c r="C67" s="2682">
        <v>114</v>
      </c>
      <c r="D67" s="2682">
        <f t="shared" si="76"/>
        <v>114</v>
      </c>
      <c r="E67" s="2682">
        <v>108</v>
      </c>
      <c r="F67" s="2683">
        <v>104</v>
      </c>
      <c r="G67" s="3471">
        <v>2003</v>
      </c>
      <c r="H67" s="2672">
        <v>4</v>
      </c>
      <c r="I67" s="2684"/>
      <c r="J67" s="2684"/>
      <c r="K67" s="2684"/>
      <c r="L67" s="2684"/>
      <c r="N67" s="2685"/>
      <c r="O67" s="2684"/>
      <c r="P67" s="2684"/>
      <c r="Q67" s="2684"/>
      <c r="S67" s="2685"/>
      <c r="T67" s="2684"/>
      <c r="U67" s="2684"/>
      <c r="V67" s="2684"/>
      <c r="X67" s="2676"/>
      <c r="Y67" s="2676"/>
      <c r="Z67" s="2676"/>
    </row>
    <row r="68" spans="1:26">
      <c r="A68" s="2618" t="s">
        <v>2620</v>
      </c>
      <c r="B68" s="2686">
        <f t="shared" ref="B68:C70" si="112">B69+(B$67-B$71)/4</f>
        <v>109.75</v>
      </c>
      <c r="C68" s="2686">
        <f t="shared" si="112"/>
        <v>112.25</v>
      </c>
      <c r="D68" s="2686">
        <f t="shared" si="76"/>
        <v>112.25</v>
      </c>
      <c r="E68" s="2686">
        <f t="shared" ref="E68:F70" si="113">E69+(E$67-E$71)/4</f>
        <v>107.25</v>
      </c>
      <c r="F68" s="2686">
        <f t="shared" si="113"/>
        <v>103.5</v>
      </c>
      <c r="G68" s="3472">
        <v>2003</v>
      </c>
      <c r="H68" s="2642">
        <v>3</v>
      </c>
      <c r="I68" s="2684"/>
      <c r="J68" s="2684"/>
      <c r="K68" s="2684"/>
      <c r="L68" s="2684"/>
      <c r="X68" s="2676"/>
      <c r="Y68" s="2676"/>
      <c r="Z68" s="2676"/>
    </row>
    <row r="69" spans="1:26">
      <c r="A69" s="2618" t="s">
        <v>2621</v>
      </c>
      <c r="B69" s="2686">
        <f t="shared" si="112"/>
        <v>108.5</v>
      </c>
      <c r="C69" s="2686">
        <f t="shared" si="112"/>
        <v>110.5</v>
      </c>
      <c r="D69" s="2686">
        <f t="shared" si="76"/>
        <v>110.5</v>
      </c>
      <c r="E69" s="2686">
        <f t="shared" si="113"/>
        <v>106.5</v>
      </c>
      <c r="F69" s="2686">
        <f t="shared" si="113"/>
        <v>103</v>
      </c>
      <c r="G69" s="3472">
        <v>2003</v>
      </c>
      <c r="H69" s="2622">
        <v>2</v>
      </c>
      <c r="I69" s="2684"/>
      <c r="J69" s="2684"/>
      <c r="K69" s="2684"/>
      <c r="L69" s="2684"/>
      <c r="X69" s="2676"/>
      <c r="Y69" s="2676"/>
      <c r="Z69" s="2676"/>
    </row>
    <row r="70" spans="1:26" ht="13.5" thickBot="1">
      <c r="A70" s="2618" t="s">
        <v>2622</v>
      </c>
      <c r="B70" s="2686">
        <f t="shared" si="112"/>
        <v>107.25</v>
      </c>
      <c r="C70" s="2686">
        <f t="shared" si="112"/>
        <v>108.75</v>
      </c>
      <c r="D70" s="2686">
        <f t="shared" si="76"/>
        <v>108.75</v>
      </c>
      <c r="E70" s="2686">
        <f t="shared" si="113"/>
        <v>105.75</v>
      </c>
      <c r="F70" s="2686">
        <f t="shared" si="113"/>
        <v>102.5</v>
      </c>
      <c r="G70" s="3473">
        <v>2003</v>
      </c>
      <c r="H70" s="2687">
        <v>1</v>
      </c>
      <c r="I70" s="2684"/>
      <c r="J70" s="2684"/>
      <c r="K70" s="2684"/>
      <c r="L70" s="2684"/>
      <c r="S70" s="2626"/>
      <c r="T70" s="2627"/>
      <c r="U70" s="2627"/>
      <c r="X70" s="2676"/>
      <c r="Y70" s="2676"/>
      <c r="Z70" s="2676"/>
    </row>
    <row r="71" spans="1:26" ht="13.5" thickBot="1">
      <c r="A71" s="2618" t="s">
        <v>2623</v>
      </c>
      <c r="B71" s="2688">
        <v>106</v>
      </c>
      <c r="C71" s="2688">
        <v>107</v>
      </c>
      <c r="D71" s="2688">
        <f t="shared" si="76"/>
        <v>107</v>
      </c>
      <c r="E71" s="2688">
        <v>105</v>
      </c>
      <c r="F71" s="2689">
        <v>102</v>
      </c>
      <c r="G71" s="3471">
        <v>2002</v>
      </c>
      <c r="H71" s="2637">
        <v>4</v>
      </c>
      <c r="I71" s="2684"/>
      <c r="J71" s="2684"/>
      <c r="K71" s="2684"/>
      <c r="L71" s="2684"/>
      <c r="N71" s="2685"/>
      <c r="O71" s="2684"/>
      <c r="P71" s="2684"/>
      <c r="Q71" s="2684"/>
      <c r="S71" s="2685"/>
      <c r="T71" s="2684"/>
      <c r="U71" s="2684"/>
      <c r="V71" s="2684"/>
      <c r="X71" s="2676"/>
      <c r="Y71" s="2676"/>
      <c r="Z71" s="2676"/>
    </row>
    <row r="72" spans="1:26">
      <c r="A72" s="2618" t="s">
        <v>2624</v>
      </c>
      <c r="B72" s="2686">
        <f t="shared" ref="B72:C74" si="114">B73+(B$71-B$75)/4</f>
        <v>105</v>
      </c>
      <c r="C72" s="2686">
        <f t="shared" si="114"/>
        <v>106</v>
      </c>
      <c r="D72" s="2686">
        <f t="shared" si="76"/>
        <v>106</v>
      </c>
      <c r="E72" s="2686">
        <f t="shared" ref="E72:F74" si="115">E73+(E$71-E$75)/4</f>
        <v>104.5</v>
      </c>
      <c r="F72" s="2686">
        <f t="shared" si="115"/>
        <v>101.5</v>
      </c>
      <c r="G72" s="3472">
        <v>2002</v>
      </c>
      <c r="H72" s="2642">
        <v>3</v>
      </c>
      <c r="I72" s="2684"/>
      <c r="J72" s="2684"/>
      <c r="K72" s="2684"/>
      <c r="L72" s="2684"/>
      <c r="X72" s="2676"/>
      <c r="Y72" s="2676"/>
      <c r="Z72" s="2676"/>
    </row>
    <row r="73" spans="1:26">
      <c r="A73" s="2618" t="s">
        <v>2625</v>
      </c>
      <c r="B73" s="2686">
        <f t="shared" si="114"/>
        <v>104</v>
      </c>
      <c r="C73" s="2686">
        <f t="shared" si="114"/>
        <v>105</v>
      </c>
      <c r="D73" s="2686">
        <f t="shared" si="76"/>
        <v>105</v>
      </c>
      <c r="E73" s="2686">
        <f t="shared" si="115"/>
        <v>104</v>
      </c>
      <c r="F73" s="2686">
        <f t="shared" si="115"/>
        <v>101</v>
      </c>
      <c r="G73" s="3472">
        <v>2002</v>
      </c>
      <c r="H73" s="2622">
        <v>2</v>
      </c>
      <c r="I73" s="2684"/>
      <c r="J73" s="2684"/>
      <c r="K73" s="2684"/>
      <c r="L73" s="2684"/>
      <c r="X73" s="2676"/>
      <c r="Y73" s="2676"/>
      <c r="Z73" s="2676"/>
    </row>
    <row r="74" spans="1:26" s="2653" customFormat="1" ht="13.5" thickBot="1">
      <c r="A74" s="2649" t="s">
        <v>2626</v>
      </c>
      <c r="B74" s="2690">
        <f t="shared" si="114"/>
        <v>103</v>
      </c>
      <c r="C74" s="2690">
        <f t="shared" si="114"/>
        <v>104</v>
      </c>
      <c r="D74" s="2690">
        <f t="shared" si="76"/>
        <v>104</v>
      </c>
      <c r="E74" s="2690">
        <f t="shared" si="115"/>
        <v>103.5</v>
      </c>
      <c r="F74" s="2690">
        <f t="shared" si="115"/>
        <v>100.5</v>
      </c>
      <c r="G74" s="3473">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2627</v>
      </c>
      <c r="G77" s="2700"/>
      <c r="N77" s="2700"/>
      <c r="S77" s="2700"/>
    </row>
    <row r="78" spans="1:26" s="2699" customFormat="1">
      <c r="A78" s="2699" t="s">
        <v>2628</v>
      </c>
      <c r="G78" s="2700"/>
      <c r="N78" s="2700"/>
      <c r="S78" s="2700"/>
    </row>
    <row r="79" spans="1:26" s="2699" customFormat="1">
      <c r="A79" s="2699" t="s">
        <v>2629</v>
      </c>
      <c r="G79" s="2700"/>
      <c r="I79" s="2701"/>
      <c r="J79" s="2701"/>
      <c r="K79" s="2701"/>
      <c r="L79" s="2701"/>
      <c r="N79" s="2702"/>
      <c r="O79" s="2701"/>
      <c r="P79" s="2701"/>
      <c r="Q79" s="2701"/>
      <c r="S79" s="2702"/>
      <c r="T79" s="2701"/>
      <c r="U79" s="2701"/>
      <c r="V79" s="2701"/>
    </row>
    <row r="80" spans="1:26" s="2699" customFormat="1">
      <c r="A80" s="2699" t="s">
        <v>2630</v>
      </c>
      <c r="G80" s="2700"/>
      <c r="N80" s="2700"/>
      <c r="S80" s="2700"/>
    </row>
    <row r="87" spans="7:22" ht="13.5" thickBot="1"/>
    <row r="88" spans="7:22">
      <c r="G88" s="2625"/>
      <c r="S88" s="2703" t="s">
        <v>2631</v>
      </c>
      <c r="T88" s="2704" t="s">
        <v>2632</v>
      </c>
      <c r="U88" s="2704" t="s">
        <v>2633</v>
      </c>
      <c r="V88" s="2704" t="s">
        <v>2634</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2076</v>
      </c>
      <c r="D3" s="3057" t="s">
        <v>2941</v>
      </c>
      <c r="E3" s="3058">
        <f ca="1">SUMIF(E7:E14,"&lt;&gt;#ref!",E7:E14)</f>
        <v>0</v>
      </c>
      <c r="F3" s="3056"/>
    </row>
    <row r="4" spans="1:6" ht="14.25">
      <c r="A4" s="3057" t="s">
        <v>2948</v>
      </c>
      <c r="B4" s="3058" t="e">
        <f ca="1">ROUND(B2*10000/E4,0)</f>
        <v>#DIV/0!</v>
      </c>
      <c r="C4" s="3057" t="s">
        <v>2076</v>
      </c>
      <c r="D4" s="3057" t="s">
        <v>2949</v>
      </c>
      <c r="E4" s="3058">
        <f ca="1">SUMIF(F7:F14,"&lt;&gt;#ref!",F7:F14)</f>
        <v>0</v>
      </c>
      <c r="F4" s="3056"/>
    </row>
    <row r="5" spans="1:6" ht="14.25">
      <c r="A5" s="3059"/>
      <c r="B5" s="1865"/>
      <c r="C5" s="1865"/>
      <c r="D5" s="1865"/>
      <c r="E5" s="1865"/>
      <c r="F5" s="3056"/>
    </row>
    <row r="6" spans="1:6" ht="28.5">
      <c r="A6" s="3060" t="s">
        <v>2945</v>
      </c>
      <c r="B6" s="3057" t="s">
        <v>2942</v>
      </c>
      <c r="C6" s="3058"/>
      <c r="D6" s="1865"/>
      <c r="E6" s="3057" t="s">
        <v>2943</v>
      </c>
      <c r="F6" s="3057" t="s">
        <v>2947</v>
      </c>
    </row>
    <row r="7" spans="1:6" ht="14.25">
      <c r="A7" s="260" t="s">
        <v>2946</v>
      </c>
      <c r="B7" s="3061" t="e">
        <f ca="1">SUMIF(INDIRECT("'"&amp;A7&amp;"'"&amp;"!A:A"),"总价",INDIRECT("'"&amp;A7&amp;"'"&amp;"!B:B"))</f>
        <v>#DIV/0!</v>
      </c>
      <c r="C7" s="3057" t="s">
        <v>2940</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2940</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2940</v>
      </c>
      <c r="D9" s="1865"/>
      <c r="E9" s="3062" t="e">
        <f t="shared" ca="1" si="1"/>
        <v>#REF!</v>
      </c>
      <c r="F9" s="3062" t="e">
        <f t="shared" ca="1" si="2"/>
        <v>#REF!</v>
      </c>
    </row>
    <row r="10" spans="1:6" ht="14.25">
      <c r="A10" s="260"/>
      <c r="B10" s="3061" t="e">
        <f t="shared" ca="1" si="0"/>
        <v>#REF!</v>
      </c>
      <c r="C10" s="3057" t="s">
        <v>2940</v>
      </c>
      <c r="D10" s="1865"/>
      <c r="E10" s="3062" t="e">
        <f t="shared" ca="1" si="1"/>
        <v>#REF!</v>
      </c>
      <c r="F10" s="3062" t="e">
        <f t="shared" ca="1" si="2"/>
        <v>#REF!</v>
      </c>
    </row>
    <row r="11" spans="1:6" ht="14.25">
      <c r="A11" s="260"/>
      <c r="B11" s="3061" t="e">
        <f t="shared" ca="1" si="0"/>
        <v>#REF!</v>
      </c>
      <c r="C11" s="3057" t="s">
        <v>2940</v>
      </c>
      <c r="D11" s="1865"/>
      <c r="E11" s="3062" t="e">
        <f t="shared" ca="1" si="1"/>
        <v>#REF!</v>
      </c>
      <c r="F11" s="3062" t="e">
        <f t="shared" ca="1" si="2"/>
        <v>#REF!</v>
      </c>
    </row>
    <row r="12" spans="1:6" ht="14.25">
      <c r="A12" s="260"/>
      <c r="B12" s="3061" t="e">
        <f t="shared" ca="1" si="0"/>
        <v>#REF!</v>
      </c>
      <c r="C12" s="3057" t="s">
        <v>2940</v>
      </c>
      <c r="D12" s="1865"/>
      <c r="E12" s="3062" t="e">
        <f t="shared" ca="1" si="1"/>
        <v>#REF!</v>
      </c>
      <c r="F12" s="3062" t="e">
        <f t="shared" ca="1" si="2"/>
        <v>#REF!</v>
      </c>
    </row>
    <row r="13" spans="1:6" ht="14.25">
      <c r="A13" s="260"/>
      <c r="B13" s="3061" t="e">
        <f t="shared" ca="1" si="0"/>
        <v>#REF!</v>
      </c>
      <c r="C13" s="3057" t="s">
        <v>2940</v>
      </c>
      <c r="D13" s="1865"/>
      <c r="E13" s="3062" t="e">
        <f t="shared" ca="1" si="1"/>
        <v>#REF!</v>
      </c>
      <c r="F13" s="3062" t="e">
        <f t="shared" ca="1" si="2"/>
        <v>#REF!</v>
      </c>
    </row>
    <row r="14" spans="1:6" ht="14.25">
      <c r="A14" s="3055"/>
      <c r="B14" s="3061" t="e">
        <f t="shared" ca="1" si="0"/>
        <v>#REF!</v>
      </c>
      <c r="C14" s="3057" t="s">
        <v>2940</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五矿信托：</v>
      </c>
    </row>
    <row r="4" spans="1:4" ht="37.5">
      <c r="A4" s="1775" t="str">
        <f>"受贵公司委托，我公司对"&amp;项目基本情况!K2&amp;项目基本情况!B9&amp;"进行了预评估。"</f>
        <v>受贵公司委托，我公司对山东诸城出让国有建设用地使用权抵押价格进行了预评估。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7" spans="1:4" ht="56.25">
      <c r="A7" s="1779" t="s">
        <v>2743</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2019年5月9日（评估专业人员勘察现场之日）</v>
      </c>
    </row>
    <row r="12" spans="1:4" ht="18.75">
      <c r="A12" s="1781" t="s">
        <v>2023</v>
      </c>
    </row>
    <row r="13" spans="1:4" ht="18.75">
      <c r="A13" s="1775" t="s">
        <v>2936</v>
      </c>
    </row>
    <row r="14" spans="1:4" ht="37.5">
      <c r="A14" s="1775" t="str">
        <f>"根据"&amp;项目基本情况!F12&amp;"，本次评估估价对象证载（地类）用途为"&amp;项目基本情况!B12&amp;"。"</f>
        <v>根据《国有土地使用证》[诸国用（2013）第03046号]，本次评估估价对象证载（地类）用途为其他商服用地。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根据《国有土地使用证》[]，估价对象（分摊）出让国有建设用地使用权面积为37520平方米。根据《建设工程规划许可证》[]、《出让合同》[]，估价对象规划建筑面积为56280平方米。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本次估价对象为出让国有建设用地使用权，《国有土地使用证》[诸国用（2013）第03046号]证载土地终止日期为商业2053年7月4日。截至估价期日，出让国有建设用地使用权剩余土地使用年限为。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2370</v>
      </c>
      <c r="F1" s="2351">
        <f ca="1">J54</f>
        <v>-1.5</v>
      </c>
      <c r="G1" s="774">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7"/>
      <c r="H7" s="781">
        <v>1</v>
      </c>
      <c r="I7" s="782" t="s">
        <v>2454</v>
      </c>
      <c r="J7" s="53">
        <f ca="1">J8+J12+J14</f>
        <v>0</v>
      </c>
      <c r="K7" s="2459" t="s">
        <v>2457</v>
      </c>
      <c r="L7" s="2453"/>
      <c r="M7" s="2454"/>
    </row>
    <row r="8" spans="1:25" ht="18" customHeight="1">
      <c r="A8" s="1814" t="s">
        <v>1822</v>
      </c>
      <c r="B8" s="3480" t="s">
        <v>2459</v>
      </c>
      <c r="C8" s="1809">
        <f ca="1">ROUND(F8*F10*F9*(1-F11)/10000,0)</f>
        <v>0</v>
      </c>
      <c r="D8" s="1806" t="s">
        <v>2530</v>
      </c>
      <c r="E8" s="61" t="s">
        <v>637</v>
      </c>
      <c r="F8" s="785">
        <f ca="1">INDIRECT("'数据-取费表'!u"&amp;$G$1)</f>
        <v>0</v>
      </c>
      <c r="G8" s="1577"/>
      <c r="H8" s="2467" t="s">
        <v>1822</v>
      </c>
      <c r="I8" s="3480" t="s">
        <v>2459</v>
      </c>
      <c r="J8" s="783">
        <f ca="1">ROUND(M8*M10*M9*(1-M11)/10000,0)</f>
        <v>0</v>
      </c>
      <c r="K8" s="341" t="s">
        <v>2530</v>
      </c>
      <c r="L8" s="784" t="s">
        <v>1736</v>
      </c>
      <c r="M8" s="785">
        <f ca="1">INDIRECT("'数据-取费表'!z"&amp;$G$1)</f>
        <v>0</v>
      </c>
    </row>
    <row r="9" spans="1:25" ht="18" customHeight="1">
      <c r="A9" s="2463"/>
      <c r="B9" s="3481"/>
      <c r="C9" s="1810"/>
      <c r="D9" s="1807"/>
      <c r="E9" s="61" t="s">
        <v>638</v>
      </c>
      <c r="F9" s="785">
        <f ca="1">IF(INDIRECT("'数据-取费表'!ah"&amp;$G$1)="",INDIRECT("'数据-取费表'!k"&amp;$G$1),INDIRECT("'数据-取费表'!ah"&amp;$G$1))</f>
        <v>0</v>
      </c>
      <c r="G9" s="1577"/>
      <c r="H9" s="2452"/>
      <c r="I9" s="3481"/>
      <c r="J9" s="788"/>
      <c r="K9" s="789"/>
      <c r="L9" s="784" t="s">
        <v>1737</v>
      </c>
      <c r="M9" s="785">
        <f ca="1">F9</f>
        <v>0</v>
      </c>
    </row>
    <row r="10" spans="1:25" ht="18" customHeight="1">
      <c r="A10" s="2456"/>
      <c r="B10" s="3482"/>
      <c r="C10" s="1810"/>
      <c r="D10" s="1807"/>
      <c r="E10" s="61" t="s">
        <v>639</v>
      </c>
      <c r="F10" s="785">
        <f ca="1">INDIRECT("'数据-取费表'!ai"&amp;$G$1)</f>
        <v>0</v>
      </c>
      <c r="G10" s="1577"/>
      <c r="H10" s="2452"/>
      <c r="I10" s="3482"/>
      <c r="J10" s="788"/>
      <c r="K10" s="789"/>
      <c r="L10" s="784" t="s">
        <v>1738</v>
      </c>
      <c r="M10" s="785">
        <f ca="1">INDIRECT("'数据-取费表'!ai"&amp;$G$1)</f>
        <v>0</v>
      </c>
    </row>
    <row r="11" spans="1:25" ht="18" customHeight="1">
      <c r="A11" s="786"/>
      <c r="B11" s="3483"/>
      <c r="C11" s="1810"/>
      <c r="D11" s="1807"/>
      <c r="E11" s="61" t="s">
        <v>640</v>
      </c>
      <c r="F11" s="794">
        <f ca="1">INDIRECT("'数据-取费表'!w"&amp;$G$1)</f>
        <v>0</v>
      </c>
      <c r="G11" s="1577"/>
      <c r="H11" s="2468"/>
      <c r="I11" s="3482"/>
      <c r="J11" s="788"/>
      <c r="K11" s="789"/>
      <c r="L11" s="795" t="s">
        <v>1739</v>
      </c>
      <c r="M11" s="796">
        <f ca="1">INDIRECT("'数据-取费表'!ab"&amp;$G$1)</f>
        <v>0</v>
      </c>
    </row>
    <row r="12" spans="1:25" ht="18" customHeight="1">
      <c r="A12" s="1814" t="s">
        <v>1823</v>
      </c>
      <c r="B12" s="2457" t="s">
        <v>2455</v>
      </c>
      <c r="C12" s="799">
        <f ca="1">ROUND(IF(F12="押一",C8/12*F13,IF(F12="押二",C8/12*2*F13,IF(F12="押三",C8/12*3*F13,C13*F13))),0)</f>
        <v>0</v>
      </c>
      <c r="D12" s="2464" t="s">
        <v>2969</v>
      </c>
      <c r="E12" s="2461" t="s">
        <v>2460</v>
      </c>
      <c r="F12" s="2584"/>
      <c r="G12" s="1577"/>
      <c r="H12" s="2524" t="s">
        <v>1823</v>
      </c>
      <c r="I12" s="2529" t="s">
        <v>2455</v>
      </c>
      <c r="J12" s="783">
        <f ca="1">ROUND(IF(M12="押一",J8/12*M13,IF(M12="押二",J8/12*2*M13,IF(M12="押三",J8/12*3*M13,J13*M13))),0)</f>
        <v>0</v>
      </c>
      <c r="K12" s="2464" t="s">
        <v>2969</v>
      </c>
      <c r="L12" s="2461" t="s">
        <v>2460</v>
      </c>
      <c r="M12" s="2584"/>
    </row>
    <row r="13" spans="1:25" ht="18" customHeight="1">
      <c r="A13" s="790"/>
      <c r="B13" s="2458" t="s">
        <v>2569</v>
      </c>
      <c r="C13" s="2462"/>
      <c r="D13" s="789"/>
      <c r="E13" s="2461" t="s">
        <v>2452</v>
      </c>
      <c r="F13" s="796">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2067</v>
      </c>
      <c r="I16" s="2215" t="s">
        <v>2821</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0.04</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ROUND(J7*M20/1.05,1)</f>
        <v>0</v>
      </c>
      <c r="K20" s="1961" t="s">
        <v>661</v>
      </c>
      <c r="L20" s="784" t="s">
        <v>649</v>
      </c>
      <c r="M20" s="809">
        <f>'数据-取费表'!B41</f>
        <v>3.3599999999999998E-2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6.4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1873</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1.5</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962" t="s">
        <v>2818</v>
      </c>
      <c r="J27" s="799">
        <f ca="1">J7-J18</f>
        <v>0</v>
      </c>
      <c r="K27" s="1963" t="s">
        <v>700</v>
      </c>
      <c r="L27" s="1965"/>
      <c r="M27" s="820"/>
    </row>
    <row r="28" spans="1:25" ht="18" customHeight="1">
      <c r="A28" s="803" t="s">
        <v>1873</v>
      </c>
      <c r="B28" s="784" t="s">
        <v>2434</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3.2599999999999997E-2</v>
      </c>
      <c r="D30" s="812" t="s">
        <v>709</v>
      </c>
      <c r="E30" s="784" t="s">
        <v>649</v>
      </c>
      <c r="F30" s="809">
        <f>'数据-取费表'!B41</f>
        <v>3.3599999999999998E-2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2819</v>
      </c>
      <c r="C31" s="2507">
        <f ca="1">ROUND((C21+C22+C25+C28)/(1-F23-C26-C29-C30),0)</f>
        <v>0</v>
      </c>
      <c r="D31" s="2508"/>
      <c r="E31" s="2509"/>
      <c r="F31" s="2510"/>
      <c r="G31" s="1578"/>
      <c r="H31" s="823" t="s">
        <v>1870</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ROUND(C7*F34/1.05,1)</f>
        <v>0</v>
      </c>
      <c r="D34" s="1961" t="s">
        <v>661</v>
      </c>
      <c r="E34" s="784" t="s">
        <v>649</v>
      </c>
      <c r="F34" s="809">
        <f>'数据-取费表'!B41</f>
        <v>3.3599999999999998E-2</v>
      </c>
      <c r="G34" s="2046"/>
      <c r="H34" s="2055"/>
      <c r="I34" s="2056"/>
      <c r="J34" s="2057"/>
      <c r="K34" s="2058"/>
      <c r="L34" s="2059"/>
      <c r="M34" s="2060"/>
    </row>
    <row r="35" spans="1:18" ht="18" customHeight="1">
      <c r="A35" s="803" t="s">
        <v>1847</v>
      </c>
      <c r="B35" s="784" t="s">
        <v>664</v>
      </c>
      <c r="C35" s="53">
        <f ca="1">IF(D35="按租金收入计税",ROUND(C7*F35,1),IF(D35="按房产原值计税",ROUND(C31*F35*0.7,1),INDIRECT("'数据-取费表'!Aj"&amp;$G$1)))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6.4</v>
      </c>
      <c r="G36" s="2046"/>
      <c r="H36" s="2049"/>
      <c r="I36" s="3479"/>
      <c r="J36" s="2063"/>
      <c r="K36" s="2064"/>
      <c r="L36" s="2063"/>
      <c r="M36" s="2063"/>
    </row>
    <row r="37" spans="1:18" ht="18" customHeight="1">
      <c r="A37" s="815"/>
      <c r="B37" s="793"/>
      <c r="C37" s="69"/>
      <c r="D37" s="816"/>
      <c r="E37" s="784" t="s">
        <v>674</v>
      </c>
      <c r="F37" s="785">
        <f ca="1">INDIRECT("'数据-取费表'!r"&amp;$G$1)</f>
        <v>0</v>
      </c>
      <c r="G37" s="2046"/>
      <c r="H37" s="2049"/>
      <c r="I37" s="3479"/>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3073" t="s">
        <v>2957</v>
      </c>
      <c r="F43" s="3074">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98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3075" t="s">
        <v>2960</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8" t="str">
        <f ca="1">IF(M48="住宅",0,IF(L49&gt;J52,L61,J61))</f>
        <v>0</v>
      </c>
      <c r="O47" s="2357" t="s">
        <v>2406</v>
      </c>
      <c r="P47" s="1577"/>
      <c r="Q47" s="1588"/>
      <c r="R47" s="1577"/>
    </row>
    <row r="48" spans="1:18" s="2043" customFormat="1" ht="18" customHeight="1" thickBot="1">
      <c r="A48" s="2068"/>
      <c r="C48" s="2071"/>
      <c r="D48" s="2072"/>
      <c r="E48" s="2072"/>
      <c r="F48" s="2073"/>
      <c r="G48" s="2074"/>
      <c r="I48" s="3098" t="s">
        <v>2340</v>
      </c>
      <c r="J48" s="2344"/>
      <c r="K48" s="3105" t="s">
        <v>2345</v>
      </c>
      <c r="L48" s="3109">
        <f ca="1">INDIRECT("'数据-取费表'!d"&amp;$G$1)</f>
        <v>0</v>
      </c>
      <c r="M48" s="3072"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7" t="s">
        <v>2341</v>
      </c>
      <c r="J49" s="2345"/>
      <c r="K49" s="3106"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7" t="s">
        <v>2342</v>
      </c>
      <c r="J50" s="2346"/>
      <c r="K50" s="3107"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7" t="s">
        <v>2343</v>
      </c>
      <c r="J51" s="3102">
        <f>SUMPRODUCT((I64:I66=J48)*(J63:L63=J49)*(J64:L66))</f>
        <v>0</v>
      </c>
      <c r="K51" s="3107" t="s">
        <v>2349</v>
      </c>
      <c r="L51" s="2347"/>
      <c r="O51" s="2364" t="s">
        <v>2379</v>
      </c>
      <c r="P51" s="2362" t="s">
        <v>2403</v>
      </c>
      <c r="Q51" s="2363">
        <f ca="1">C31</f>
        <v>0</v>
      </c>
      <c r="R51" s="2362" t="s">
        <v>2376</v>
      </c>
    </row>
    <row r="52" spans="1:18" s="2043" customFormat="1" ht="18" customHeight="1" thickBot="1">
      <c r="A52" s="2080"/>
      <c r="F52" s="2069"/>
      <c r="I52" s="3099" t="s">
        <v>2344</v>
      </c>
      <c r="J52" s="3103">
        <f>IF(J50="",J51,J50+J51-YEAR('数据-取费表'!B3))</f>
        <v>0</v>
      </c>
      <c r="K52" s="3077" t="s">
        <v>2350</v>
      </c>
      <c r="L52" s="3110">
        <f ca="1">ROUND(-PV(INDIRECT("'数据-取费表'!h"&amp;$G$1),L49,(C40-C14*J36),0),0)</f>
        <v>0</v>
      </c>
      <c r="O52" s="2364" t="s">
        <v>2380</v>
      </c>
      <c r="P52" s="2362" t="s">
        <v>2381</v>
      </c>
      <c r="Q52" s="2365" t="e">
        <f ca="1">J59</f>
        <v>#VALUE!</v>
      </c>
      <c r="R52" s="2366"/>
    </row>
    <row r="53" spans="1:18" s="2043" customFormat="1" ht="18" customHeight="1" thickBot="1">
      <c r="A53" s="2080"/>
      <c r="F53" s="2069"/>
      <c r="I53" s="3100" t="s">
        <v>2417</v>
      </c>
      <c r="J53" s="2348"/>
      <c r="K53" s="3100" t="s">
        <v>2416</v>
      </c>
      <c r="L53" s="2348"/>
      <c r="O53" s="2364" t="s">
        <v>2382</v>
      </c>
      <c r="P53" s="2362" t="s">
        <v>2383</v>
      </c>
      <c r="Q53" s="2365">
        <f>J53</f>
        <v>0</v>
      </c>
      <c r="R53" s="2366"/>
    </row>
    <row r="54" spans="1:18" s="2043" customFormat="1" ht="29.25" thickBot="1">
      <c r="A54" s="2080"/>
      <c r="I54" s="3101" t="s">
        <v>2973</v>
      </c>
      <c r="J54" s="3104">
        <f ca="1">IF(M48="住宅",MAX(J52,L49-'数据-取费表'!B20),MIN(J52,L49-'数据-取费表'!B20))</f>
        <v>-1.5</v>
      </c>
      <c r="K54" s="3484"/>
      <c r="L54" s="3485"/>
      <c r="O54" s="2364" t="s">
        <v>2384</v>
      </c>
      <c r="P54" s="2362" t="s">
        <v>2385</v>
      </c>
      <c r="Q54" s="2363">
        <f ca="1">J54</f>
        <v>-1.5</v>
      </c>
      <c r="R54" s="2362" t="s">
        <v>2386</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2387</v>
      </c>
      <c r="P55" s="2362" t="s">
        <v>2404</v>
      </c>
      <c r="Q55" s="2363">
        <f ca="1">Q49+Q50</f>
        <v>0</v>
      </c>
      <c r="R55" s="2366" t="s">
        <v>2388</v>
      </c>
    </row>
    <row r="56" spans="1:18" s="2043" customFormat="1" ht="16.5" thickBot="1">
      <c r="A56" s="2080"/>
      <c r="B56" s="2081"/>
      <c r="C56" s="2081"/>
      <c r="I56" s="3113" t="s">
        <v>2351</v>
      </c>
      <c r="J56" s="3052" t="e">
        <f ca="1">ROUND(IF(J48="钢混",J58/J51,1-(1-2%)*(J51-J58)/J51),3)</f>
        <v>#VALUE!</v>
      </c>
      <c r="K56" s="3114" t="s">
        <v>2352</v>
      </c>
      <c r="L56" s="2349"/>
      <c r="O56" s="2367" t="s">
        <v>2407</v>
      </c>
      <c r="P56" s="1577"/>
      <c r="Q56" s="1588"/>
      <c r="R56" s="1577"/>
    </row>
    <row r="57" spans="1:18" s="2043" customFormat="1" ht="43.5" thickBot="1">
      <c r="A57" s="2080"/>
      <c r="B57" s="2081"/>
      <c r="C57" s="2081"/>
      <c r="I57" s="3115" t="s">
        <v>2353</v>
      </c>
      <c r="J57" s="3125" t="s">
        <v>1676</v>
      </c>
      <c r="K57" s="3077" t="s">
        <v>2358</v>
      </c>
      <c r="L57" s="1892">
        <f ca="1">IF(L49&lt;J52,"——",L49-J52)</f>
        <v>0</v>
      </c>
      <c r="O57" s="2358" t="s">
        <v>2371</v>
      </c>
      <c r="P57" s="2359" t="s">
        <v>2372</v>
      </c>
      <c r="Q57" s="2360" t="s">
        <v>2373</v>
      </c>
      <c r="R57" s="2359" t="s">
        <v>2374</v>
      </c>
    </row>
    <row r="58" spans="1:18" s="2043" customFormat="1" ht="29.25" thickBot="1">
      <c r="A58" s="2080"/>
      <c r="B58" s="2081"/>
      <c r="C58" s="2081"/>
      <c r="I58" s="3116" t="s">
        <v>2354</v>
      </c>
      <c r="J58" s="3117" t="str">
        <f ca="1">IF(OR(M48="住宅",J52&lt;L49,J57="是"),"——",J52-L49)</f>
        <v>——</v>
      </c>
      <c r="K58" s="3077" t="s">
        <v>2359</v>
      </c>
      <c r="L58" s="1892">
        <f ca="1">IF(L49&lt;J52,"——",IF(L56="比较法",L50,IF(L56="基准地价",L51,L52)))</f>
        <v>0</v>
      </c>
      <c r="O58" s="2361" t="s">
        <v>2375</v>
      </c>
      <c r="P58" s="2362" t="s">
        <v>2401</v>
      </c>
      <c r="Q58" s="2363">
        <f ca="1">C41+J31</f>
        <v>0</v>
      </c>
      <c r="R58" s="2362" t="s">
        <v>2376</v>
      </c>
    </row>
    <row r="59" spans="1:18" s="2043" customFormat="1" ht="29.25" thickBot="1">
      <c r="A59" s="2080"/>
      <c r="B59" s="2081"/>
      <c r="C59" s="2081"/>
      <c r="I59" s="3116" t="s">
        <v>2355</v>
      </c>
      <c r="J59" s="3053" t="e">
        <f ca="1">IF(J56&lt;0.4,0.4,J56)</f>
        <v>#VALUE!</v>
      </c>
      <c r="K59" s="3077"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29.25" thickBot="1">
      <c r="A60" s="2080"/>
      <c r="B60" s="2081"/>
      <c r="C60" s="2081"/>
      <c r="I60" s="3116" t="s">
        <v>2356</v>
      </c>
      <c r="J60" s="3117" t="str">
        <f ca="1">IF(OR(M48="住宅",J52&lt;L49,J57="是"),"——",ROUND(C30*J59,0))</f>
        <v>——</v>
      </c>
      <c r="K60" s="3077"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5.75" thickBot="1">
      <c r="A61" s="2080"/>
      <c r="B61" s="2081"/>
      <c r="C61" s="2081"/>
      <c r="I61" s="3118" t="s">
        <v>2357</v>
      </c>
      <c r="J61" s="3119" t="str">
        <f ca="1">IF(OR(M48="住宅",J52&lt;L49,J57="是"),"0",ROUND(J60/(1+J53)^J54,0))</f>
        <v>0</v>
      </c>
      <c r="K61" s="3120" t="s">
        <v>2362</v>
      </c>
      <c r="L61" s="3119" t="e">
        <f ca="1">IF(OR(M48="住宅",L49&lt;J52),0,ROUND(L58*(L59/L60-1),0))</f>
        <v>#DIV/0!</v>
      </c>
      <c r="O61" s="2364" t="s">
        <v>2380</v>
      </c>
      <c r="P61" s="2362" t="s">
        <v>2389</v>
      </c>
      <c r="Q61" s="2365">
        <f>L53</f>
        <v>0</v>
      </c>
      <c r="R61" s="2366"/>
    </row>
    <row r="62" spans="1:18" s="2043" customFormat="1" ht="20.25" thickBot="1">
      <c r="A62" s="2080"/>
      <c r="B62" s="2081"/>
      <c r="C62" s="2081"/>
      <c r="K62" s="2070"/>
      <c r="O62" s="2364" t="s">
        <v>2382</v>
      </c>
      <c r="P62" s="2362" t="s">
        <v>2390</v>
      </c>
      <c r="Q62" s="2363">
        <f ca="1">L59</f>
        <v>0</v>
      </c>
      <c r="R62" s="2366" t="s">
        <v>2391</v>
      </c>
    </row>
    <row r="63" spans="1:18" s="2043" customFormat="1" ht="20.25" thickBot="1">
      <c r="A63" s="2080"/>
      <c r="B63" s="2081"/>
      <c r="C63" s="2081"/>
      <c r="I63" s="3121" t="s">
        <v>2363</v>
      </c>
      <c r="J63" s="3122" t="s">
        <v>2364</v>
      </c>
      <c r="K63" s="3122" t="s">
        <v>2365</v>
      </c>
      <c r="L63" s="3122" t="s">
        <v>2346</v>
      </c>
      <c r="M63" s="3123" t="s">
        <v>2937</v>
      </c>
      <c r="O63" s="2364" t="s">
        <v>2384</v>
      </c>
      <c r="P63" s="2362" t="s">
        <v>2392</v>
      </c>
      <c r="Q63" s="2363">
        <f ca="1">L60</f>
        <v>0</v>
      </c>
      <c r="R63" s="2366" t="s">
        <v>2393</v>
      </c>
    </row>
    <row r="64" spans="1:18" s="2043" customFormat="1" ht="15.75" thickBot="1">
      <c r="A64" s="2080"/>
      <c r="B64" s="2081"/>
      <c r="C64" s="2081"/>
      <c r="I64" s="3121" t="s">
        <v>2366</v>
      </c>
      <c r="J64" s="3122">
        <v>70</v>
      </c>
      <c r="K64" s="3122">
        <v>50</v>
      </c>
      <c r="L64" s="3122">
        <v>80</v>
      </c>
      <c r="M64" s="3124">
        <v>0.02</v>
      </c>
      <c r="O64" s="2361" t="s">
        <v>2387</v>
      </c>
      <c r="P64" s="2362" t="s">
        <v>2404</v>
      </c>
      <c r="Q64" s="2363" t="e">
        <f ca="1">Q58+Q59</f>
        <v>#DIV/0!</v>
      </c>
      <c r="R64" s="2366" t="s">
        <v>2388</v>
      </c>
    </row>
    <row r="65" spans="1:18" s="2043" customFormat="1" ht="16.5" thickBot="1">
      <c r="A65" s="2080"/>
      <c r="B65" s="2081"/>
      <c r="C65" s="2081"/>
      <c r="I65" s="3121" t="s">
        <v>2367</v>
      </c>
      <c r="J65" s="3122">
        <v>50</v>
      </c>
      <c r="K65" s="3122">
        <v>35</v>
      </c>
      <c r="L65" s="3122">
        <v>60</v>
      </c>
      <c r="M65" s="846">
        <v>0</v>
      </c>
      <c r="O65" s="2367" t="s">
        <v>2411</v>
      </c>
      <c r="P65" s="1577"/>
      <c r="Q65" s="1588"/>
      <c r="R65" s="1577"/>
    </row>
    <row r="66" spans="1:18" s="2043" customFormat="1" ht="15.75" thickBot="1">
      <c r="A66" s="2080"/>
      <c r="B66" s="2081"/>
      <c r="C66" s="2081"/>
      <c r="I66" s="3121" t="s">
        <v>2368</v>
      </c>
      <c r="J66" s="3122">
        <v>40</v>
      </c>
      <c r="K66" s="3122">
        <v>30</v>
      </c>
      <c r="L66" s="3122">
        <v>50</v>
      </c>
      <c r="M66" s="3124">
        <v>0.02</v>
      </c>
      <c r="O66" s="2358" t="s">
        <v>2371</v>
      </c>
      <c r="P66" s="2359" t="s">
        <v>2372</v>
      </c>
      <c r="Q66" s="2360" t="s">
        <v>2373</v>
      </c>
      <c r="R66" s="2359" t="s">
        <v>2374</v>
      </c>
    </row>
    <row r="67" spans="1:18" s="2043" customFormat="1" ht="15.75" thickBot="1">
      <c r="A67" s="2080"/>
      <c r="B67" s="2081"/>
      <c r="C67" s="2081"/>
      <c r="K67" s="2070"/>
      <c r="O67" s="2361" t="s">
        <v>2375</v>
      </c>
      <c r="P67" s="2362" t="s">
        <v>2401</v>
      </c>
      <c r="Q67" s="2363">
        <f ca="1">C41+J31</f>
        <v>0</v>
      </c>
      <c r="R67" s="2362" t="s">
        <v>2376</v>
      </c>
    </row>
    <row r="68" spans="1:18" s="2043" customFormat="1" ht="20.25" thickBot="1">
      <c r="A68" s="2080"/>
      <c r="B68" s="2081"/>
      <c r="C68" s="2081"/>
      <c r="K68" s="2070"/>
      <c r="O68" s="2361" t="s">
        <v>2377</v>
      </c>
      <c r="P68" s="2362" t="s">
        <v>2408</v>
      </c>
      <c r="Q68" s="2363" t="e">
        <f ca="1">L61</f>
        <v>#DIV/0!</v>
      </c>
      <c r="R68" s="2366" t="s">
        <v>2410</v>
      </c>
    </row>
    <row r="69" spans="1:18" s="2043" customFormat="1" ht="21.75" thickBot="1">
      <c r="A69" s="2080"/>
      <c r="B69" s="2081"/>
      <c r="C69" s="2081"/>
      <c r="K69" s="2070"/>
      <c r="O69" s="2364" t="s">
        <v>2379</v>
      </c>
      <c r="P69" s="2362" t="s">
        <v>2409</v>
      </c>
      <c r="Q69" s="2368">
        <f ca="1">L52</f>
        <v>0</v>
      </c>
      <c r="R69" s="2369" t="s">
        <v>2412</v>
      </c>
    </row>
    <row r="70" spans="1:18" s="2043" customFormat="1" ht="20.25" thickBot="1">
      <c r="A70" s="2080"/>
      <c r="B70" s="2081"/>
      <c r="C70" s="2081"/>
      <c r="K70" s="2070"/>
      <c r="O70" s="2364" t="s">
        <v>2380</v>
      </c>
      <c r="P70" s="2370" t="s">
        <v>2394</v>
      </c>
      <c r="Q70" s="2363">
        <f ca="1">ROUND(Q71-Q72*Q73,0)</f>
        <v>0</v>
      </c>
      <c r="R70" s="2366"/>
    </row>
    <row r="71" spans="1:18" s="2043" customFormat="1" ht="15.75" thickBot="1">
      <c r="A71" s="2080"/>
      <c r="B71" s="2081"/>
      <c r="C71" s="2081"/>
      <c r="K71" s="2070"/>
      <c r="O71" s="2364" t="s">
        <v>2395</v>
      </c>
      <c r="P71" s="2370" t="s">
        <v>2396</v>
      </c>
      <c r="Q71" s="2363">
        <f ca="1">C42</f>
        <v>0</v>
      </c>
      <c r="R71" s="2362" t="s">
        <v>2376</v>
      </c>
    </row>
    <row r="72" spans="1:18" s="2043" customFormat="1" ht="15.75" thickBot="1">
      <c r="A72" s="2080"/>
      <c r="B72" s="2081"/>
      <c r="C72" s="2081"/>
      <c r="K72" s="2070"/>
      <c r="O72" s="2364" t="s">
        <v>2397</v>
      </c>
      <c r="P72" s="2370" t="s">
        <v>2398</v>
      </c>
      <c r="Q72" s="2363">
        <f ca="1">C15</f>
        <v>0</v>
      </c>
      <c r="R72" s="2362" t="s">
        <v>2376</v>
      </c>
    </row>
    <row r="73" spans="1:18" s="2043" customFormat="1" ht="15.75" thickBot="1">
      <c r="A73" s="2080"/>
      <c r="B73" s="2081"/>
      <c r="C73" s="2081"/>
      <c r="K73" s="2070"/>
      <c r="O73" s="2364" t="s">
        <v>2399</v>
      </c>
      <c r="P73" s="2370" t="s">
        <v>2400</v>
      </c>
      <c r="Q73" s="2365">
        <f ca="1">F43</f>
        <v>0</v>
      </c>
      <c r="R73" s="2366"/>
    </row>
    <row r="74" spans="1:18" s="2043" customFormat="1" ht="15.75" thickBot="1">
      <c r="A74" s="2080"/>
      <c r="B74" s="2081"/>
      <c r="C74" s="2081"/>
      <c r="K74" s="2070"/>
      <c r="O74" s="2364" t="s">
        <v>2382</v>
      </c>
      <c r="P74" s="2362" t="s">
        <v>2389</v>
      </c>
      <c r="Q74" s="2365">
        <f>L53</f>
        <v>0</v>
      </c>
      <c r="R74" s="2366"/>
    </row>
    <row r="75" spans="1:18" s="2043" customFormat="1" ht="20.25" thickBot="1">
      <c r="A75" s="2080"/>
      <c r="B75" s="2081"/>
      <c r="C75" s="2081"/>
      <c r="K75" s="2070"/>
      <c r="O75" s="2364" t="s">
        <v>2384</v>
      </c>
      <c r="P75" s="2362" t="s">
        <v>2390</v>
      </c>
      <c r="Q75" s="2363">
        <f ca="1">L59</f>
        <v>0</v>
      </c>
      <c r="R75" s="2366" t="s">
        <v>2391</v>
      </c>
    </row>
    <row r="76" spans="1:18" s="2043" customFormat="1" ht="20.25" thickBot="1">
      <c r="A76" s="2080"/>
      <c r="B76" s="2081"/>
      <c r="C76" s="2081"/>
      <c r="K76" s="2070"/>
      <c r="O76" s="2364" t="s">
        <v>2413</v>
      </c>
      <c r="P76" s="2362" t="s">
        <v>2392</v>
      </c>
      <c r="Q76" s="2363">
        <f ca="1">L60</f>
        <v>0</v>
      </c>
      <c r="R76" s="2366" t="s">
        <v>2393</v>
      </c>
    </row>
    <row r="77" spans="1:18" s="2043" customFormat="1" ht="15.75"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7" sqref="F1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3043</v>
      </c>
      <c r="D1" s="3076" t="s">
        <v>3320</v>
      </c>
      <c r="E1" s="2350" t="s">
        <v>2370</v>
      </c>
      <c r="F1" s="2351">
        <f ca="1">J53</f>
        <v>32.67</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39779</v>
      </c>
      <c r="C2" s="2041"/>
      <c r="D2" s="2039"/>
      <c r="E2" s="2040"/>
      <c r="F2" s="2040"/>
      <c r="G2" s="1575"/>
      <c r="H2" s="2041"/>
      <c r="I2" s="2041"/>
      <c r="J2" s="2041"/>
      <c r="K2" s="2042"/>
      <c r="L2" s="2041"/>
      <c r="M2" s="2041"/>
    </row>
    <row r="3" spans="1:33" ht="18" customHeight="1" thickBot="1">
      <c r="A3" s="833" t="s">
        <v>1725</v>
      </c>
      <c r="B3" s="834">
        <f ca="1">IF(ISERROR(B2*10000/F43),0,ROUND(B2*10000/F43,0))</f>
        <v>7068</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2454</v>
      </c>
      <c r="C5" s="55">
        <f ca="1">C6+C10+C12</f>
        <v>2534</v>
      </c>
      <c r="D5" s="2459" t="s">
        <v>2457</v>
      </c>
      <c r="E5" s="2453"/>
      <c r="F5" s="2454"/>
      <c r="G5" s="1577"/>
      <c r="H5" s="781">
        <v>1</v>
      </c>
      <c r="I5" s="782" t="s">
        <v>2454</v>
      </c>
      <c r="J5" s="55">
        <f ca="1">J6+J10+J12</f>
        <v>0</v>
      </c>
      <c r="K5" s="2459" t="s">
        <v>2457</v>
      </c>
      <c r="L5" s="2453"/>
      <c r="M5" s="2454"/>
    </row>
    <row r="6" spans="1:33" ht="18" customHeight="1">
      <c r="A6" s="1814" t="s">
        <v>1822</v>
      </c>
      <c r="B6" s="3480" t="s">
        <v>2459</v>
      </c>
      <c r="C6" s="783">
        <f ca="1">ROUND(F6*F8*F7*(1-F9)/10000,0)</f>
        <v>2531</v>
      </c>
      <c r="D6" s="2460" t="s">
        <v>2458</v>
      </c>
      <c r="E6" s="784" t="s">
        <v>1736</v>
      </c>
      <c r="F6" s="785">
        <f ca="1">INDIRECT("'数据-取费表'!u"&amp;$G$1)</f>
        <v>1.4</v>
      </c>
      <c r="G6" s="1577"/>
      <c r="H6" s="2467" t="s">
        <v>2464</v>
      </c>
      <c r="I6" s="3480" t="s">
        <v>2459</v>
      </c>
      <c r="J6" s="783">
        <f ca="1">ROUND(M6*M8*M7*(1-M9)/10000,0)</f>
        <v>0</v>
      </c>
      <c r="K6" s="341" t="s">
        <v>1735</v>
      </c>
      <c r="L6" s="784" t="s">
        <v>1736</v>
      </c>
      <c r="M6" s="785">
        <f ca="1">INDIRECT("'数据-取费表'!z"&amp;$G$1)</f>
        <v>0</v>
      </c>
    </row>
    <row r="7" spans="1:33" ht="18" customHeight="1">
      <c r="A7" s="2463"/>
      <c r="B7" s="3481"/>
      <c r="C7" s="788"/>
      <c r="D7" s="789"/>
      <c r="E7" s="784" t="s">
        <v>1737</v>
      </c>
      <c r="F7" s="785">
        <f ca="1">IF(INDIRECT("'数据-取费表'!ah"&amp;$G$1)="",INDIRECT("'数据-取费表'!k"&amp;$G$1),INDIRECT("'数据-取费表'!ah"&amp;$G$1))</f>
        <v>56280</v>
      </c>
      <c r="G7" s="1577"/>
      <c r="H7" s="2452"/>
      <c r="I7" s="3481"/>
      <c r="J7" s="788"/>
      <c r="K7" s="789"/>
      <c r="L7" s="784" t="s">
        <v>1737</v>
      </c>
      <c r="M7" s="785">
        <f ca="1">F7</f>
        <v>56280</v>
      </c>
    </row>
    <row r="8" spans="1:33" ht="18" customHeight="1">
      <c r="A8" s="2456"/>
      <c r="B8" s="3482"/>
      <c r="C8" s="788"/>
      <c r="D8" s="789"/>
      <c r="E8" s="784" t="s">
        <v>1738</v>
      </c>
      <c r="F8" s="785">
        <f ca="1">INDIRECT("'数据-取费表'!ai"&amp;$G$1)</f>
        <v>365</v>
      </c>
      <c r="G8" s="1577"/>
      <c r="H8" s="2452"/>
      <c r="I8" s="3482"/>
      <c r="J8" s="788"/>
      <c r="K8" s="789"/>
      <c r="L8" s="784" t="s">
        <v>1738</v>
      </c>
      <c r="M8" s="785">
        <f ca="1">INDIRECT("'数据-取费表'!ai"&amp;$G$1)</f>
        <v>365</v>
      </c>
    </row>
    <row r="9" spans="1:33" ht="18" customHeight="1">
      <c r="A9" s="786"/>
      <c r="B9" s="3483"/>
      <c r="C9" s="788"/>
      <c r="D9" s="789"/>
      <c r="E9" s="784" t="s">
        <v>1739</v>
      </c>
      <c r="F9" s="794">
        <f ca="1">INDIRECT("'数据-取费表'!w"&amp;$G$1)</f>
        <v>0.12</v>
      </c>
      <c r="G9" s="1577"/>
      <c r="H9" s="2468"/>
      <c r="I9" s="3482"/>
      <c r="J9" s="788"/>
      <c r="K9" s="789"/>
      <c r="L9" s="795" t="s">
        <v>1739</v>
      </c>
      <c r="M9" s="796">
        <f ca="1">INDIRECT("'数据-取费表'!ab"&amp;$G$1)</f>
        <v>0</v>
      </c>
    </row>
    <row r="10" spans="1:33" ht="18" customHeight="1">
      <c r="A10" s="1814" t="s">
        <v>2462</v>
      </c>
      <c r="B10" s="2457" t="s">
        <v>2455</v>
      </c>
      <c r="C10" s="799">
        <f ca="1">ROUND(IF(F10="押一",C6/12*F11,IF(F10="押二",C6/12*2*F11,IF(F10="押三",C6/12*3*F11,C11*F11))),0)</f>
        <v>3</v>
      </c>
      <c r="D10" s="2464" t="s">
        <v>2969</v>
      </c>
      <c r="E10" s="2461" t="s">
        <v>2460</v>
      </c>
      <c r="F10" s="2584" t="s">
        <v>3326</v>
      </c>
      <c r="G10" s="1577"/>
      <c r="H10" s="2524" t="s">
        <v>2465</v>
      </c>
      <c r="I10" s="2529" t="s">
        <v>2455</v>
      </c>
      <c r="J10" s="783">
        <f ca="1">ROUND(IF(M10="押一",J6/12*M11,IF(M10="押二",J6/12*2*M11,IF(M10="押三",J6/12*3*M11,J11*M11))),0)</f>
        <v>0</v>
      </c>
      <c r="K10" s="2464" t="s">
        <v>2969</v>
      </c>
      <c r="L10" s="2461" t="s">
        <v>2460</v>
      </c>
      <c r="M10" s="2584"/>
    </row>
    <row r="11" spans="1:33" ht="18" customHeight="1">
      <c r="A11" s="790"/>
      <c r="B11" s="2458" t="s">
        <v>2569</v>
      </c>
      <c r="C11" s="2462"/>
      <c r="D11" s="789"/>
      <c r="E11" s="2461" t="s">
        <v>2461</v>
      </c>
      <c r="F11" s="796">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1740</v>
      </c>
      <c r="C13" s="792">
        <f ca="1">ROUND(C29*F13,0)</f>
        <v>16658</v>
      </c>
      <c r="D13" s="1818" t="s">
        <v>2295</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11256</v>
      </c>
      <c r="D14" s="1963" t="s">
        <v>1743</v>
      </c>
      <c r="E14" s="1964"/>
      <c r="F14" s="805"/>
      <c r="G14" s="1577"/>
      <c r="H14" s="1633" t="s">
        <v>1828</v>
      </c>
      <c r="I14" s="2215" t="s">
        <v>2822</v>
      </c>
      <c r="J14" s="53">
        <f ca="1">C29</f>
        <v>16658</v>
      </c>
      <c r="K14" s="26"/>
      <c r="L14" s="801"/>
      <c r="M14" s="802"/>
    </row>
    <row r="15" spans="1:33" s="2048" customFormat="1" ht="18" customHeight="1" thickBot="1">
      <c r="A15" s="1632" t="s">
        <v>1883</v>
      </c>
      <c r="B15" s="784" t="s">
        <v>647</v>
      </c>
      <c r="C15" s="53">
        <f ca="1">ROUND(C14*F15,0)</f>
        <v>450</v>
      </c>
      <c r="D15" s="806" t="s">
        <v>1744</v>
      </c>
      <c r="E15" s="806" t="s">
        <v>1745</v>
      </c>
      <c r="F15" s="807">
        <f>'数据-取费表'!B33</f>
        <v>0.04</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1673</v>
      </c>
      <c r="K16" s="1805" t="s">
        <v>1748</v>
      </c>
      <c r="L16" s="2449"/>
      <c r="M16" s="2454"/>
    </row>
    <row r="17" spans="1:33" s="2048" customFormat="1" ht="18" customHeight="1">
      <c r="A17" s="1632" t="s">
        <v>1885</v>
      </c>
      <c r="B17" s="784" t="s">
        <v>653</v>
      </c>
      <c r="C17" s="53">
        <f ca="1">ROUND(F17*(F43+INDIRECT("'数据-取费表'!S"&amp;$G$1))/10000,0)</f>
        <v>1126</v>
      </c>
      <c r="D17" s="784" t="s">
        <v>1749</v>
      </c>
      <c r="E17" s="784" t="s">
        <v>1750</v>
      </c>
      <c r="F17" s="56">
        <f>'数据-取费表'!B35</f>
        <v>200</v>
      </c>
      <c r="G17" s="1578"/>
      <c r="H17" s="1633" t="s">
        <v>1828</v>
      </c>
      <c r="I17" s="784" t="s">
        <v>656</v>
      </c>
      <c r="J17" s="53">
        <f ca="1">ROUND(IF(项目基本情况!B11="自然人",J5*M17,J18+J19+J20),0)</f>
        <v>1423</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169</v>
      </c>
      <c r="D18" s="784" t="s">
        <v>1744</v>
      </c>
      <c r="E18" s="784" t="s">
        <v>1745</v>
      </c>
      <c r="F18" s="809">
        <f>'数据-取费表'!B36</f>
        <v>1.4999999999999999E-2</v>
      </c>
      <c r="G18" s="1578"/>
      <c r="H18" s="1632" t="s">
        <v>1882</v>
      </c>
      <c r="I18" s="784" t="s">
        <v>1753</v>
      </c>
      <c r="J18" s="53">
        <f ca="1">ROUND(J5*M18/1.05,1)</f>
        <v>0</v>
      </c>
      <c r="K18" s="2447" t="s">
        <v>1754</v>
      </c>
      <c r="L18" s="784" t="s">
        <v>1745</v>
      </c>
      <c r="M18" s="809">
        <f>'数据-取费表'!B41</f>
        <v>3.3599999999999998E-2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13001</v>
      </c>
      <c r="D19" s="261" t="s">
        <v>1755</v>
      </c>
      <c r="E19" s="1966"/>
      <c r="F19" s="56"/>
      <c r="G19" s="1577"/>
      <c r="H19" s="1632" t="s">
        <v>1883</v>
      </c>
      <c r="I19" s="784" t="s">
        <v>1756</v>
      </c>
      <c r="J19" s="53">
        <f ca="1">IF(K19="按租金收入计税",ROUND(J5*M19,1),ROUND(C29*F33*0.7,1))</f>
        <v>1399.3</v>
      </c>
      <c r="K19" s="811" t="s">
        <v>665</v>
      </c>
      <c r="L19" s="784" t="s">
        <v>1745</v>
      </c>
      <c r="M19" s="809">
        <f>IF(K19="按租金收入计税",'数据-取费表'!B51,'数据-取费表'!B50)</f>
        <v>1.2E-2</v>
      </c>
    </row>
    <row r="20" spans="1:33" s="2048" customFormat="1" ht="18" customHeight="1">
      <c r="A20" s="1633" t="s">
        <v>1887</v>
      </c>
      <c r="B20" s="784" t="s">
        <v>666</v>
      </c>
      <c r="C20" s="53">
        <f ca="1">ROUND(C19*F20,0)</f>
        <v>260</v>
      </c>
      <c r="D20" s="812" t="s">
        <v>1757</v>
      </c>
      <c r="E20" s="784" t="s">
        <v>1745</v>
      </c>
      <c r="F20" s="809">
        <f>'数据-取费表'!B37</f>
        <v>0.02</v>
      </c>
      <c r="G20" s="1578"/>
      <c r="H20" s="1635" t="s">
        <v>1878</v>
      </c>
      <c r="I20" s="341" t="s">
        <v>1758</v>
      </c>
      <c r="J20" s="54">
        <f ca="1">ROUND(M20*M21/10000,0)</f>
        <v>24</v>
      </c>
      <c r="K20" s="814" t="s">
        <v>1759</v>
      </c>
      <c r="L20" s="784" t="s">
        <v>1760</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2296</v>
      </c>
      <c r="E21" s="784" t="s">
        <v>1763</v>
      </c>
      <c r="F21" s="809">
        <f>'数据-取费表'!B38</f>
        <v>0.02</v>
      </c>
      <c r="G21" s="1578"/>
      <c r="H21" s="2469"/>
      <c r="I21" s="793"/>
      <c r="J21" s="69"/>
      <c r="K21" s="816"/>
      <c r="L21" s="784" t="s">
        <v>1764</v>
      </c>
      <c r="M21" s="785">
        <f ca="1">INDIRECT("'数据-取费表'!r"&amp;$G$1)</f>
        <v>37520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250</v>
      </c>
      <c r="K22" s="2447" t="s">
        <v>1767</v>
      </c>
      <c r="L22" s="784" t="s">
        <v>1745</v>
      </c>
      <c r="M22" s="817">
        <f ca="1">INDIRECT("'数据-取费表'!Ak"&amp;$G$1)</f>
        <v>1.4999999999999999E-2</v>
      </c>
    </row>
    <row r="23" spans="1:33" s="2048" customFormat="1" ht="18" customHeight="1">
      <c r="A23" s="1632" t="s">
        <v>1829</v>
      </c>
      <c r="B23" s="784" t="s">
        <v>2531</v>
      </c>
      <c r="C23" s="53">
        <f ca="1">ROUND(IF('数据-取费表'!B22&lt;=1,(C19+C20)*F24*F23/2,(C19+C20)*(POWER((1+F24),F23/2)-1)),0)</f>
        <v>470</v>
      </c>
      <c r="D23" s="2534" t="str">
        <f>IF(F23&lt;=1,"(建造成本+管理费用)×利率×(建设周期÷2)","(建造成本+管理费用)×((1+利率)^(建设周期÷2)-1)")</f>
        <v>(建造成本+管理费用)×((1+利率)^(建设周期÷2)-1)</v>
      </c>
      <c r="E23" s="784" t="s">
        <v>1768</v>
      </c>
      <c r="F23" s="640">
        <f>'数据-取费表'!B20</f>
        <v>1.5</v>
      </c>
      <c r="G23" s="1578"/>
      <c r="H23" s="1633"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961" t="s">
        <v>2818</v>
      </c>
      <c r="J25" s="792">
        <f ca="1">J5-J16</f>
        <v>-1673</v>
      </c>
      <c r="K25" s="2511" t="s">
        <v>1775</v>
      </c>
      <c r="L25" s="2512"/>
      <c r="M25" s="2513"/>
    </row>
    <row r="26" spans="1:33" ht="18" customHeight="1">
      <c r="A26" s="1632" t="s">
        <v>1829</v>
      </c>
      <c r="B26" s="784" t="s">
        <v>2434</v>
      </c>
      <c r="C26" s="53">
        <f ca="1">ROUND((C19+C20)*F26,0)</f>
        <v>1989</v>
      </c>
      <c r="D26" s="812" t="s">
        <v>1776</v>
      </c>
      <c r="E26" s="795" t="s">
        <v>1777</v>
      </c>
      <c r="F26" s="794">
        <f ca="1">INDIRECT("'数据-取费表'!q"&amp;$G$1)</f>
        <v>0.15</v>
      </c>
      <c r="G26" s="1577"/>
      <c r="H26" s="2465" t="s">
        <v>1778</v>
      </c>
      <c r="I26" s="2216" t="s">
        <v>2823</v>
      </c>
      <c r="J26" s="783">
        <f ca="1">IF(J5&lt;&gt;0,ROUND(J25*(1-((1+M28)/(1+M26))^M27)/(M26-M28),0),0)</f>
        <v>0</v>
      </c>
      <c r="K26" s="814" t="s">
        <v>1779</v>
      </c>
      <c r="L26" s="784" t="s">
        <v>2415</v>
      </c>
      <c r="M26" s="794">
        <f ca="1">INDIRECT("'数据-取费表'!I"&amp;$G$1)</f>
        <v>0.05</v>
      </c>
    </row>
    <row r="27" spans="1:33" ht="18" customHeight="1">
      <c r="A27" s="1632" t="s">
        <v>1830</v>
      </c>
      <c r="B27" s="784" t="s">
        <v>686</v>
      </c>
      <c r="C27" s="53">
        <f ca="1">ROUND(F21*F26,4)</f>
        <v>3.0000000000000001E-3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3.2599999999999997E-2</v>
      </c>
      <c r="D28" s="812" t="s">
        <v>2297</v>
      </c>
      <c r="E28" s="784" t="s">
        <v>1783</v>
      </c>
      <c r="F28" s="809">
        <f>'数据-取费表'!B41</f>
        <v>3.3599999999999998E-2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2298</v>
      </c>
      <c r="C29" s="2507">
        <f ca="1">ROUND((C19+C20+C23+C26)/(1-F21-C24-C27-C28),0)</f>
        <v>16658</v>
      </c>
      <c r="D29" s="2508"/>
      <c r="E29" s="2509"/>
      <c r="F29" s="2510"/>
      <c r="G29" s="1578"/>
      <c r="H29" s="823" t="s">
        <v>1785</v>
      </c>
      <c r="I29" s="824" t="s">
        <v>1786</v>
      </c>
      <c r="J29" s="825">
        <f ca="1">ROUND(J26/(1+F40)^F41,0)</f>
        <v>0</v>
      </c>
      <c r="K29" s="826" t="s">
        <v>1787</v>
      </c>
      <c r="L29" s="827"/>
      <c r="M29" s="828">
        <f ca="1">INDIRECT("'数据-取费表'!k"&amp;$G$1)</f>
        <v>56280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709</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ROUND(IF(项目基本情况!B11="自然人",C5*F31,C32+C33+C34),1)</f>
        <v>409.2</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ROUND(C5*F32/1.05,1)</f>
        <v>81.099999999999994</v>
      </c>
      <c r="D32" s="1961" t="s">
        <v>1793</v>
      </c>
      <c r="E32" s="784" t="s">
        <v>1794</v>
      </c>
      <c r="F32" s="809">
        <f>'数据-取费表'!B41</f>
        <v>3.3599999999999998E-2</v>
      </c>
      <c r="G32" s="2046"/>
      <c r="H32" s="2055"/>
      <c r="I32" s="2056"/>
      <c r="J32" s="2057"/>
      <c r="K32" s="2058"/>
      <c r="L32" s="2059"/>
      <c r="M32" s="2060"/>
    </row>
    <row r="33" spans="1:18" ht="18" customHeight="1">
      <c r="A33" s="1632" t="s">
        <v>1830</v>
      </c>
      <c r="B33" s="784" t="s">
        <v>1795</v>
      </c>
      <c r="C33" s="53">
        <f ca="1">IF(D33="按租金收入计税",ROUND(C5*F33,1),IF(D33="按房产原值计税",ROUND(C29*F33*0.7,1),INDIRECT("'数据-取费表'!Aj"&amp;$G$1)))</f>
        <v>304.10000000000002</v>
      </c>
      <c r="D33" s="811" t="s">
        <v>3322</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24</v>
      </c>
      <c r="D34" s="814" t="s">
        <v>1797</v>
      </c>
      <c r="E34" s="784" t="s">
        <v>1798</v>
      </c>
      <c r="F34" s="640">
        <f>'数据-取费表'!B52</f>
        <v>6.4</v>
      </c>
      <c r="G34" s="2046"/>
      <c r="H34" s="2049"/>
      <c r="I34" s="835" t="s">
        <v>1811</v>
      </c>
      <c r="J34" s="836"/>
      <c r="K34" s="2064"/>
      <c r="L34" s="2063"/>
      <c r="M34" s="2063"/>
    </row>
    <row r="35" spans="1:18" ht="18" customHeight="1">
      <c r="A35" s="815"/>
      <c r="B35" s="793"/>
      <c r="C35" s="69"/>
      <c r="D35" s="816"/>
      <c r="E35" s="784" t="s">
        <v>1799</v>
      </c>
      <c r="F35" s="785">
        <f ca="1">INDIRECT("'数据-取费表'!r"&amp;$G$1)</f>
        <v>37520</v>
      </c>
      <c r="G35" s="2046"/>
      <c r="H35" s="2049"/>
      <c r="I35" s="837" t="s">
        <v>1812</v>
      </c>
      <c r="J35" s="838">
        <f ca="1">ROUND(C13*J36,0)</f>
        <v>1416</v>
      </c>
      <c r="K35" s="2062"/>
      <c r="L35" s="2061"/>
      <c r="M35" s="2061"/>
    </row>
    <row r="36" spans="1:18" ht="18" customHeight="1">
      <c r="A36" s="1633" t="s">
        <v>1887</v>
      </c>
      <c r="B36" s="784" t="s">
        <v>1800</v>
      </c>
      <c r="C36" s="53">
        <f ca="1">ROUND(C29*F36,1)</f>
        <v>249.9</v>
      </c>
      <c r="D36" s="1961" t="s">
        <v>1801</v>
      </c>
      <c r="E36" s="784" t="s">
        <v>1794</v>
      </c>
      <c r="F36" s="817">
        <f ca="1">INDIRECT("'数据-取费表'!Ak"&amp;$G$1)</f>
        <v>1.4999999999999999E-2</v>
      </c>
      <c r="G36" s="2046"/>
      <c r="H36" s="2061"/>
      <c r="I36" s="839" t="s">
        <v>1813</v>
      </c>
      <c r="J36" s="840">
        <f ca="1">INDIRECT("'数据-取费表'!j"&amp;$G$1)</f>
        <v>8.5000000000000006E-2</v>
      </c>
      <c r="K36" s="2066"/>
      <c r="L36" s="2061"/>
      <c r="M36" s="2061"/>
    </row>
    <row r="37" spans="1:18" ht="18" customHeight="1">
      <c r="A37" s="1633" t="s">
        <v>1888</v>
      </c>
      <c r="B37" s="784" t="s">
        <v>679</v>
      </c>
      <c r="C37" s="53">
        <f ca="1">ROUND(C13*F37,1)</f>
        <v>25</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25.3</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1" t="s">
        <v>2818</v>
      </c>
      <c r="C39" s="792">
        <f ca="1">C5-C30</f>
        <v>1825</v>
      </c>
      <c r="D39" s="2511" t="s">
        <v>1804</v>
      </c>
      <c r="E39" s="2512"/>
      <c r="F39" s="2513"/>
      <c r="G39" s="2046"/>
      <c r="H39" s="2061"/>
      <c r="I39" s="837" t="s">
        <v>1816</v>
      </c>
      <c r="J39" s="845">
        <f ca="1">ROUND(J35/C39,3)</f>
        <v>0.77600000000000002</v>
      </c>
      <c r="K39" s="2067"/>
      <c r="L39" s="2061"/>
      <c r="M39" s="2061"/>
    </row>
    <row r="40" spans="1:18" ht="18" customHeight="1">
      <c r="A40" s="781" t="s">
        <v>1893</v>
      </c>
      <c r="B40" s="2216" t="s">
        <v>2299</v>
      </c>
      <c r="C40" s="783">
        <f ca="1">ROUND(C39*(1-((1+F42)/(1+F40))^F41)/(F40-F42),0)</f>
        <v>39779</v>
      </c>
      <c r="D40" s="814" t="s">
        <v>1805</v>
      </c>
      <c r="E40" s="784" t="s">
        <v>2415</v>
      </c>
      <c r="F40" s="794">
        <f ca="1">INDIRECT("'数据-取费表'!I"&amp;$G$1)</f>
        <v>0.05</v>
      </c>
      <c r="G40" s="2046"/>
      <c r="H40" s="2046"/>
      <c r="I40" s="837" t="s">
        <v>1817</v>
      </c>
      <c r="J40" s="845">
        <f ca="1">1-J39</f>
        <v>0.22399999999999998</v>
      </c>
      <c r="K40" s="2067"/>
      <c r="L40" s="2046"/>
      <c r="M40" s="2046"/>
    </row>
    <row r="41" spans="1:18" ht="18" customHeight="1">
      <c r="A41" s="786"/>
      <c r="B41" s="787"/>
      <c r="C41" s="788"/>
      <c r="D41" s="821" t="s">
        <v>1806</v>
      </c>
      <c r="E41" s="784" t="s">
        <v>2959</v>
      </c>
      <c r="F41" s="822">
        <f ca="1">IF(INDIRECT("'数据-取费表'!af"&amp;$G$1)=0,INDIRECT("'数据-取费表'!ae"&amp;$G$1),INDIRECT("'数据-取费表'!af"&amp;$G$1))</f>
        <v>32.67</v>
      </c>
      <c r="G41" s="2046"/>
      <c r="H41" s="1972"/>
      <c r="I41" s="843" t="s">
        <v>1818</v>
      </c>
      <c r="J41" s="846"/>
      <c r="K41" s="2066"/>
      <c r="L41" s="1972"/>
      <c r="M41" s="1972"/>
    </row>
    <row r="42" spans="1:18" ht="18" customHeight="1">
      <c r="A42" s="790"/>
      <c r="B42" s="791"/>
      <c r="C42" s="792"/>
      <c r="D42" s="816"/>
      <c r="E42" s="784" t="s">
        <v>1807</v>
      </c>
      <c r="F42" s="794">
        <f ca="1">INDIRECT("'数据-取费表'!v"&amp;$G$1)</f>
        <v>2.5000000000000001E-2</v>
      </c>
      <c r="G42" s="2046"/>
      <c r="H42" s="1972"/>
      <c r="I42" s="847" t="s">
        <v>1819</v>
      </c>
      <c r="J42" s="845">
        <f ca="1">ROUND(C13/C40,3)</f>
        <v>0.41899999999999998</v>
      </c>
      <c r="K42" s="2066"/>
      <c r="L42" s="1972"/>
      <c r="M42" s="1972"/>
    </row>
    <row r="43" spans="1:18" ht="18" customHeight="1" thickBot="1">
      <c r="A43" s="823" t="s">
        <v>1785</v>
      </c>
      <c r="B43" s="824" t="s">
        <v>1808</v>
      </c>
      <c r="C43" s="825">
        <f ca="1">ROUND(C40*10000/F43,0)</f>
        <v>7068</v>
      </c>
      <c r="D43" s="826" t="s">
        <v>1809</v>
      </c>
      <c r="E43" s="827" t="s">
        <v>1810</v>
      </c>
      <c r="F43" s="828">
        <f ca="1">INDIRECT("'数据-取费表'!k"&amp;$G$1)</f>
        <v>56280</v>
      </c>
      <c r="G43" s="2046"/>
      <c r="H43" s="1972"/>
      <c r="I43" s="847" t="s">
        <v>1820</v>
      </c>
      <c r="J43" s="848">
        <f ca="1">1-J42</f>
        <v>0.58099999999999996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-44544</v>
      </c>
      <c r="D46" s="2069"/>
      <c r="E46" s="2069"/>
      <c r="F46" s="2069"/>
      <c r="I46" s="2341" t="s">
        <v>2339</v>
      </c>
      <c r="J46" s="2342"/>
      <c r="K46" s="2343"/>
      <c r="L46" s="3108">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8" t="s">
        <v>2340</v>
      </c>
      <c r="J47" s="2344" t="s">
        <v>3321</v>
      </c>
      <c r="K47" s="3105" t="s">
        <v>2345</v>
      </c>
      <c r="L47" s="3109">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2294</v>
      </c>
      <c r="F48" s="2340"/>
      <c r="G48" s="2074"/>
      <c r="I48" s="3077" t="s">
        <v>2341</v>
      </c>
      <c r="J48" s="2345" t="s">
        <v>2346</v>
      </c>
      <c r="K48" s="3106" t="s">
        <v>2347</v>
      </c>
      <c r="L48" s="1892">
        <f ca="1">INDIRECT("'数据-取费表'!f"&amp;$G$1)</f>
        <v>34.17</v>
      </c>
      <c r="O48" s="2361" t="s">
        <v>2375</v>
      </c>
      <c r="P48" s="2362" t="s">
        <v>2401</v>
      </c>
      <c r="Q48" s="2363">
        <f ca="1">C40+J29</f>
        <v>39779</v>
      </c>
      <c r="R48" s="2362" t="s">
        <v>2376</v>
      </c>
    </row>
    <row r="49" spans="1:18" s="2043" customFormat="1" ht="18" customHeight="1" thickBot="1">
      <c r="A49" s="786"/>
      <c r="B49" s="787"/>
      <c r="C49" s="788"/>
      <c r="D49" s="789"/>
      <c r="E49" s="784" t="s">
        <v>1737</v>
      </c>
      <c r="F49" s="785">
        <f ca="1">F7</f>
        <v>56280</v>
      </c>
      <c r="G49" s="2074"/>
      <c r="H49" s="2077"/>
      <c r="I49" s="3077" t="s">
        <v>2342</v>
      </c>
      <c r="J49" s="2346">
        <v>2021</v>
      </c>
      <c r="K49" s="3107" t="s">
        <v>2348</v>
      </c>
      <c r="L49" s="2347"/>
      <c r="O49" s="2361" t="s">
        <v>2377</v>
      </c>
      <c r="P49" s="2362" t="s">
        <v>2402</v>
      </c>
      <c r="Q49" s="2363" t="str">
        <f ca="1">J60</f>
        <v>0</v>
      </c>
      <c r="R49" s="2362" t="s">
        <v>2378</v>
      </c>
    </row>
    <row r="50" spans="1:18" s="2043" customFormat="1" ht="18" customHeight="1" thickBot="1">
      <c r="A50" s="786"/>
      <c r="B50" s="787"/>
      <c r="C50" s="788"/>
      <c r="D50" s="789"/>
      <c r="E50" s="784" t="s">
        <v>1738</v>
      </c>
      <c r="F50" s="785">
        <f ca="1">F8</f>
        <v>365</v>
      </c>
      <c r="G50" s="2079"/>
      <c r="H50" s="2077"/>
      <c r="I50" s="3077" t="s">
        <v>2343</v>
      </c>
      <c r="J50" s="3102">
        <f>SUMPRODUCT((I63:I65=J47)*(J62:L62=J48)*(J63:L65))</f>
        <v>60</v>
      </c>
      <c r="K50" s="3107" t="s">
        <v>2349</v>
      </c>
      <c r="L50" s="2347"/>
      <c r="O50" s="2364" t="s">
        <v>2379</v>
      </c>
      <c r="P50" s="2362" t="s">
        <v>2403</v>
      </c>
      <c r="Q50" s="2363">
        <f ca="1">C29</f>
        <v>16658</v>
      </c>
      <c r="R50" s="2362" t="s">
        <v>2376</v>
      </c>
    </row>
    <row r="51" spans="1:18" s="2043" customFormat="1" ht="18" customHeight="1" thickBot="1">
      <c r="A51" s="786"/>
      <c r="B51" s="787"/>
      <c r="C51" s="788"/>
      <c r="D51" s="789"/>
      <c r="E51" s="784" t="s">
        <v>640</v>
      </c>
      <c r="F51" s="2334"/>
      <c r="H51" s="2077"/>
      <c r="I51" s="3099" t="s">
        <v>2344</v>
      </c>
      <c r="J51" s="3103">
        <f>IF(J49="",J50,J49+J50-YEAR('数据-取费表'!B2))</f>
        <v>62</v>
      </c>
      <c r="K51" s="3077" t="s">
        <v>2350</v>
      </c>
      <c r="L51" s="3110">
        <f ca="1">ROUND(-PV(INDIRECT("'数据-取费表'!h"&amp;$G$1),L48,(C39-C13*J36),0),0)</f>
        <v>7070</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2970</v>
      </c>
      <c r="E52" s="2461" t="s">
        <v>2460</v>
      </c>
      <c r="F52" s="2584"/>
      <c r="I52" s="3100" t="s">
        <v>2417</v>
      </c>
      <c r="J52" s="2348">
        <v>0.09</v>
      </c>
      <c r="K52" s="3100"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1" t="s">
        <v>2973</v>
      </c>
      <c r="J53" s="3104">
        <f ca="1">IF(M47="住宅",IF(D1="——",MAX(J51,L48),MAX(J51,L48-'数据-取费表'!B20)),IF(D1="——",MIN(J51,L48),MIN(J51,L48-'数据-取费表'!B20)))</f>
        <v>32.67</v>
      </c>
      <c r="K53" s="3486" t="s">
        <v>2961</v>
      </c>
      <c r="L53" s="3487"/>
      <c r="O53" s="2364" t="s">
        <v>2384</v>
      </c>
      <c r="P53" s="2362" t="s">
        <v>2385</v>
      </c>
      <c r="Q53" s="2363">
        <f ca="1">J53</f>
        <v>32.67</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39779</v>
      </c>
      <c r="R54" s="2366" t="s">
        <v>2388</v>
      </c>
    </row>
    <row r="55" spans="1:18" s="2043" customFormat="1" ht="18" customHeight="1" thickTop="1" thickBot="1">
      <c r="A55" s="797">
        <v>2</v>
      </c>
      <c r="B55" s="798" t="s">
        <v>644</v>
      </c>
      <c r="C55" s="799">
        <f ca="1">C13</f>
        <v>16658</v>
      </c>
      <c r="D55" s="795"/>
      <c r="E55" s="795"/>
      <c r="F55" s="800"/>
      <c r="I55" s="3113" t="s">
        <v>2351</v>
      </c>
      <c r="J55" s="3052" t="e">
        <f ca="1">ROUND(IF(J47="钢混",J57/J50,1-(1-2%)*(J50-J57)/J50),3)</f>
        <v>#VALUE!</v>
      </c>
      <c r="K55" s="3114" t="s">
        <v>2352</v>
      </c>
      <c r="L55" s="2349"/>
      <c r="O55" s="2367" t="s">
        <v>2407</v>
      </c>
      <c r="P55" s="1577"/>
      <c r="Q55" s="1588"/>
      <c r="R55" s="1577"/>
    </row>
    <row r="56" spans="1:18" s="2043" customFormat="1" ht="42.75" customHeight="1" thickBot="1">
      <c r="A56" s="1634"/>
      <c r="B56" s="2215" t="s">
        <v>2300</v>
      </c>
      <c r="C56" s="53">
        <f ca="1">C29</f>
        <v>16658</v>
      </c>
      <c r="D56" s="2602"/>
      <c r="E56" s="784"/>
      <c r="F56" s="809"/>
      <c r="I56" s="3115" t="s">
        <v>2353</v>
      </c>
      <c r="J56" s="3125" t="s">
        <v>1676</v>
      </c>
      <c r="K56" s="3077" t="s">
        <v>2358</v>
      </c>
      <c r="L56" s="1892" t="str">
        <f ca="1">IF(L48&lt;J51,"——",L48-J51)</f>
        <v>——</v>
      </c>
      <c r="O56" s="2358" t="s">
        <v>2371</v>
      </c>
      <c r="P56" s="2359" t="s">
        <v>2372</v>
      </c>
      <c r="Q56" s="2360" t="s">
        <v>2373</v>
      </c>
      <c r="R56" s="2359" t="s">
        <v>2374</v>
      </c>
    </row>
    <row r="57" spans="1:18" s="2043" customFormat="1" ht="28.5" customHeight="1" thickBot="1">
      <c r="A57" s="797" t="s">
        <v>1746</v>
      </c>
      <c r="B57" s="798" t="s">
        <v>651</v>
      </c>
      <c r="C57" s="799">
        <f ca="1">ROUND(C58+C63+C64+C65,0)</f>
        <v>299</v>
      </c>
      <c r="D57" s="26" t="s">
        <v>1748</v>
      </c>
      <c r="E57" s="2603"/>
      <c r="F57" s="56"/>
      <c r="I57" s="3116" t="s">
        <v>2354</v>
      </c>
      <c r="J57" s="3117" t="str">
        <f ca="1">IF(OR(M47="住宅",J51&lt;L48,J56="是"),"——",J51-L48)</f>
        <v>——</v>
      </c>
      <c r="K57" s="3077" t="s">
        <v>2359</v>
      </c>
      <c r="L57" s="1892" t="str">
        <f ca="1">IF(L48&lt;J51,"——",IF(L55="比较法",L49,IF(L55="基准地价",L50,L51)))</f>
        <v>——</v>
      </c>
      <c r="O57" s="2361" t="s">
        <v>2375</v>
      </c>
      <c r="P57" s="2362" t="s">
        <v>2405</v>
      </c>
      <c r="Q57" s="2363">
        <f ca="1">C40+J29</f>
        <v>39779</v>
      </c>
      <c r="R57" s="2362" t="s">
        <v>2376</v>
      </c>
    </row>
    <row r="58" spans="1:18" s="2043" customFormat="1" ht="28.5" customHeight="1" thickBot="1">
      <c r="A58" s="1633" t="s">
        <v>1822</v>
      </c>
      <c r="B58" s="784" t="s">
        <v>656</v>
      </c>
      <c r="C58" s="53">
        <f ca="1">ROUND(IF(项目基本情况!B11="自然人",C47*F58,C59+C60+C61),1)</f>
        <v>24</v>
      </c>
      <c r="D58" s="2601" t="s">
        <v>657</v>
      </c>
      <c r="E58" s="2602" t="s">
        <v>690</v>
      </c>
      <c r="F58" s="810" t="str">
        <f ca="1">IF(项目基本情况!B11="企业","",IF(INDIRECT("'数据-取费表'!c"&amp;$G$1)="住宅",5%,IF(F48*F49*F50/12/(1+'数据-取费表'!C42)&gt;20000,12%,7%)))</f>
        <v/>
      </c>
      <c r="I58" s="3116" t="s">
        <v>2355</v>
      </c>
      <c r="J58" s="3053" t="e">
        <f ca="1">IF(J55&lt;0.4,0.4,J55)</f>
        <v>#VALUE!</v>
      </c>
      <c r="K58" s="3077"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1829</v>
      </c>
      <c r="B59" s="784" t="s">
        <v>660</v>
      </c>
      <c r="C59" s="53">
        <f ca="1">ROUND(C47*F59/1.05,1)</f>
        <v>0</v>
      </c>
      <c r="D59" s="2602" t="s">
        <v>1754</v>
      </c>
      <c r="E59" s="784" t="s">
        <v>1745</v>
      </c>
      <c r="F59" s="809">
        <f t="shared" ref="F59:F65" si="0">F32</f>
        <v>3.3599999999999998E-2</v>
      </c>
      <c r="I59" s="3116" t="s">
        <v>2356</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8" t="s">
        <v>2357</v>
      </c>
      <c r="J60" s="3119" t="str">
        <f ca="1">IF(OR(M47="住宅",J51&lt;L48,J56="是"),"0",ROUND(J59/(1+J52)^J53,0))</f>
        <v>0</v>
      </c>
      <c r="K60" s="3120" t="s">
        <v>2362</v>
      </c>
      <c r="L60" s="3119">
        <f ca="1">IF(OR(M47="住宅",L48&lt;J51),0,ROUND(L57*(L58/L59-1),0))</f>
        <v>0</v>
      </c>
      <c r="O60" s="2364" t="s">
        <v>2380</v>
      </c>
      <c r="P60" s="2362" t="s">
        <v>2389</v>
      </c>
      <c r="Q60" s="2365">
        <f>L52</f>
        <v>0</v>
      </c>
      <c r="R60" s="2366"/>
    </row>
    <row r="61" spans="1:18" s="2043" customFormat="1" ht="18" customHeight="1" thickBot="1">
      <c r="A61" s="1635" t="s">
        <v>1831</v>
      </c>
      <c r="B61" s="341" t="s">
        <v>668</v>
      </c>
      <c r="C61" s="54">
        <f ca="1">ROUND(F61*F62/10000,1)</f>
        <v>24</v>
      </c>
      <c r="D61" s="814" t="s">
        <v>669</v>
      </c>
      <c r="E61" s="784" t="s">
        <v>670</v>
      </c>
      <c r="F61" s="640">
        <f t="shared" si="0"/>
        <v>6.4</v>
      </c>
      <c r="K61" s="2070"/>
      <c r="O61" s="2364" t="s">
        <v>2382</v>
      </c>
      <c r="P61" s="2362" t="s">
        <v>2390</v>
      </c>
      <c r="Q61" s="2363" t="e">
        <f ca="1">L58</f>
        <v>#DIV/0!</v>
      </c>
      <c r="R61" s="2366" t="s">
        <v>2391</v>
      </c>
    </row>
    <row r="62" spans="1:18" s="2043" customFormat="1" ht="15.75" thickBot="1">
      <c r="A62" s="815"/>
      <c r="B62" s="793"/>
      <c r="C62" s="69"/>
      <c r="D62" s="816"/>
      <c r="E62" s="784" t="s">
        <v>674</v>
      </c>
      <c r="F62" s="785">
        <f t="shared" ca="1" si="0"/>
        <v>37520</v>
      </c>
      <c r="I62" s="3121" t="s">
        <v>2363</v>
      </c>
      <c r="J62" s="3122" t="s">
        <v>2364</v>
      </c>
      <c r="K62" s="3122" t="s">
        <v>2365</v>
      </c>
      <c r="L62" s="3122" t="s">
        <v>2346</v>
      </c>
      <c r="M62" s="3123" t="s">
        <v>2937</v>
      </c>
      <c r="O62" s="2364" t="s">
        <v>2384</v>
      </c>
      <c r="P62" s="2362" t="str">
        <f>K59</f>
        <v>建设期及建筑物耐用年限下的土地年期修正系数Kn</v>
      </c>
      <c r="Q62" s="2363" t="e">
        <f ca="1">L59</f>
        <v>#DIV/0!</v>
      </c>
      <c r="R62" s="2366" t="s">
        <v>2393</v>
      </c>
    </row>
    <row r="63" spans="1:18" s="2043" customFormat="1" ht="15.75" thickBot="1">
      <c r="A63" s="1633" t="s">
        <v>1887</v>
      </c>
      <c r="B63" s="784" t="s">
        <v>676</v>
      </c>
      <c r="C63" s="53">
        <f ca="1">ROUND(C56*F63,1)</f>
        <v>249.9</v>
      </c>
      <c r="D63" s="2602" t="s">
        <v>1801</v>
      </c>
      <c r="E63" s="784" t="s">
        <v>1745</v>
      </c>
      <c r="F63" s="817">
        <f t="shared" ca="1" si="0"/>
        <v>1.4999999999999999E-2</v>
      </c>
      <c r="I63" s="3121" t="s">
        <v>2366</v>
      </c>
      <c r="J63" s="3122">
        <v>70</v>
      </c>
      <c r="K63" s="3122">
        <v>50</v>
      </c>
      <c r="L63" s="3122">
        <v>80</v>
      </c>
      <c r="M63" s="3124">
        <v>0.02</v>
      </c>
      <c r="O63" s="2361" t="s">
        <v>2387</v>
      </c>
      <c r="P63" s="2362" t="s">
        <v>2404</v>
      </c>
      <c r="Q63" s="2363">
        <f ca="1">Q57+Q58</f>
        <v>39779</v>
      </c>
      <c r="R63" s="2366" t="s">
        <v>2388</v>
      </c>
    </row>
    <row r="64" spans="1:18" s="2043" customFormat="1" ht="16.5" thickBot="1">
      <c r="A64" s="1633" t="s">
        <v>1888</v>
      </c>
      <c r="B64" s="784" t="s">
        <v>679</v>
      </c>
      <c r="C64" s="53">
        <f ca="1">ROUND(C55*F64,1)</f>
        <v>25</v>
      </c>
      <c r="D64" s="2602" t="s">
        <v>680</v>
      </c>
      <c r="E64" s="784" t="s">
        <v>1745</v>
      </c>
      <c r="F64" s="818">
        <f t="shared" ca="1" si="0"/>
        <v>1.5E-3</v>
      </c>
      <c r="I64" s="3121" t="s">
        <v>2367</v>
      </c>
      <c r="J64" s="3122">
        <v>50</v>
      </c>
      <c r="K64" s="3122">
        <v>35</v>
      </c>
      <c r="L64" s="3122">
        <v>60</v>
      </c>
      <c r="M64" s="846">
        <v>0</v>
      </c>
      <c r="O64" s="2367" t="s">
        <v>2411</v>
      </c>
      <c r="P64" s="1577"/>
      <c r="Q64" s="1588"/>
      <c r="R64" s="1577"/>
    </row>
    <row r="65" spans="1:18" s="2043" customFormat="1" ht="15.75" thickBot="1">
      <c r="A65" s="1633" t="s">
        <v>1889</v>
      </c>
      <c r="B65" s="784" t="s">
        <v>666</v>
      </c>
      <c r="C65" s="53">
        <f ca="1">ROUND(C47*F65,1)</f>
        <v>0</v>
      </c>
      <c r="D65" s="2602" t="s">
        <v>683</v>
      </c>
      <c r="E65" s="784" t="s">
        <v>1745</v>
      </c>
      <c r="F65" s="794">
        <f t="shared" ca="1" si="0"/>
        <v>0.01</v>
      </c>
      <c r="I65" s="3121" t="s">
        <v>2368</v>
      </c>
      <c r="J65" s="3122">
        <v>40</v>
      </c>
      <c r="K65" s="3122">
        <v>30</v>
      </c>
      <c r="L65" s="3122">
        <v>50</v>
      </c>
      <c r="M65" s="3124">
        <v>0.02</v>
      </c>
      <c r="O65" s="2358" t="s">
        <v>2371</v>
      </c>
      <c r="P65" s="2359" t="s">
        <v>2372</v>
      </c>
      <c r="Q65" s="2360" t="s">
        <v>2373</v>
      </c>
      <c r="R65" s="2359" t="s">
        <v>2374</v>
      </c>
    </row>
    <row r="66" spans="1:18" s="2043" customFormat="1" ht="24.75" thickBot="1">
      <c r="A66" s="797" t="s">
        <v>1774</v>
      </c>
      <c r="B66" s="2962" t="s">
        <v>2818</v>
      </c>
      <c r="C66" s="799">
        <f ca="1">C47-C57</f>
        <v>-299</v>
      </c>
      <c r="D66" s="2601" t="s">
        <v>700</v>
      </c>
      <c r="E66" s="2600"/>
      <c r="F66" s="820"/>
      <c r="K66" s="2070"/>
      <c r="O66" s="2361" t="s">
        <v>2375</v>
      </c>
      <c r="P66" s="2362" t="s">
        <v>2405</v>
      </c>
      <c r="Q66" s="2363">
        <f ca="1">C40+J29</f>
        <v>39779</v>
      </c>
      <c r="R66" s="2362" t="s">
        <v>2376</v>
      </c>
    </row>
    <row r="67" spans="1:18" s="2043" customFormat="1" ht="20.25" thickBot="1">
      <c r="A67" s="781" t="s">
        <v>1778</v>
      </c>
      <c r="B67" s="2216" t="s">
        <v>2299</v>
      </c>
      <c r="C67" s="783">
        <f ca="1">ROUND(C66*(1-((1+F69)/(1+F67))^F68)/(F67-F69),0)</f>
        <v>-4765</v>
      </c>
      <c r="D67" s="814" t="s">
        <v>704</v>
      </c>
      <c r="E67" s="784" t="s">
        <v>705</v>
      </c>
      <c r="F67" s="794">
        <f ca="1">F40</f>
        <v>0.05</v>
      </c>
      <c r="K67" s="2070"/>
      <c r="O67" s="2361" t="s">
        <v>2377</v>
      </c>
      <c r="P67" s="2362" t="s">
        <v>2408</v>
      </c>
      <c r="Q67" s="2363">
        <f ca="1">L60</f>
        <v>0</v>
      </c>
      <c r="R67" s="2366" t="s">
        <v>2410</v>
      </c>
    </row>
    <row r="68" spans="1:18" ht="21.75" thickBot="1">
      <c r="A68" s="786"/>
      <c r="B68" s="787"/>
      <c r="C68" s="788"/>
      <c r="D68" s="821" t="s">
        <v>1806</v>
      </c>
      <c r="E68" s="784" t="s">
        <v>1782</v>
      </c>
      <c r="F68" s="822">
        <f ca="1">F41</f>
        <v>32.67</v>
      </c>
      <c r="O68" s="2364" t="s">
        <v>2379</v>
      </c>
      <c r="P68" s="2362" t="s">
        <v>2409</v>
      </c>
      <c r="Q68" s="2368">
        <f ca="1">L51</f>
        <v>7070</v>
      </c>
      <c r="R68" s="2369" t="s">
        <v>2412</v>
      </c>
    </row>
    <row r="69" spans="1:18" ht="20.25" thickBot="1">
      <c r="A69" s="790"/>
      <c r="B69" s="791"/>
      <c r="C69" s="792"/>
      <c r="D69" s="816"/>
      <c r="E69" s="784" t="s">
        <v>710</v>
      </c>
      <c r="F69" s="2334"/>
      <c r="O69" s="2364" t="s">
        <v>2380</v>
      </c>
      <c r="P69" s="2370" t="s">
        <v>2394</v>
      </c>
      <c r="Q69" s="2363">
        <f ca="1">ROUND(Q70-Q71*Q72,0)</f>
        <v>409</v>
      </c>
      <c r="R69" s="2366"/>
    </row>
    <row r="70" spans="1:18" ht="15.75" thickBot="1">
      <c r="A70" s="823" t="s">
        <v>1785</v>
      </c>
      <c r="B70" s="824" t="s">
        <v>1808</v>
      </c>
      <c r="C70" s="825">
        <f ca="1">ROUND(C67*10000/F70,0)</f>
        <v>-847</v>
      </c>
      <c r="D70" s="826" t="s">
        <v>1809</v>
      </c>
      <c r="E70" s="827" t="s">
        <v>1810</v>
      </c>
      <c r="F70" s="828">
        <f ca="1">F43</f>
        <v>56280</v>
      </c>
      <c r="O70" s="2364" t="s">
        <v>2395</v>
      </c>
      <c r="P70" s="2370" t="s">
        <v>2396</v>
      </c>
      <c r="Q70" s="2363">
        <f ca="1">C39</f>
        <v>1825</v>
      </c>
      <c r="R70" s="2362" t="s">
        <v>2376</v>
      </c>
    </row>
    <row r="71" spans="1:18" ht="15.75" thickBot="1">
      <c r="O71" s="2364" t="s">
        <v>2397</v>
      </c>
      <c r="P71" s="2370" t="s">
        <v>2398</v>
      </c>
      <c r="Q71" s="2363">
        <f ca="1">C13</f>
        <v>16658</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39779</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504" t="s">
        <v>2467</v>
      </c>
      <c r="B1" s="3505"/>
      <c r="C1" s="3506"/>
      <c r="D1" s="3507">
        <f>SUM(I10,I15,I20,I21,I23)</f>
        <v>0</v>
      </c>
      <c r="E1" s="3507"/>
      <c r="F1" s="3507"/>
      <c r="G1" s="3507"/>
      <c r="H1" s="3507"/>
      <c r="I1" s="3508"/>
    </row>
    <row r="2" spans="1:9">
      <c r="A2" s="3494" t="s">
        <v>2468</v>
      </c>
      <c r="B2" s="3495" t="s">
        <v>2469</v>
      </c>
      <c r="C2" s="3495"/>
      <c r="D2" s="2470" t="s">
        <v>2470</v>
      </c>
      <c r="E2" s="2470" t="s">
        <v>2471</v>
      </c>
      <c r="F2" s="2470" t="s">
        <v>2472</v>
      </c>
      <c r="G2" s="2470" t="s">
        <v>2473</v>
      </c>
      <c r="H2" s="2470" t="s">
        <v>2474</v>
      </c>
      <c r="I2" s="2471" t="s">
        <v>2475</v>
      </c>
    </row>
    <row r="3" spans="1:9">
      <c r="A3" s="3494"/>
      <c r="B3" s="3495" t="s">
        <v>2476</v>
      </c>
      <c r="C3" s="3495"/>
      <c r="D3" s="2472"/>
      <c r="E3" s="2470"/>
      <c r="F3" s="2473"/>
      <c r="G3" s="2473"/>
      <c r="H3" s="2474"/>
      <c r="I3" s="2475">
        <f>ROUND(D3*E3*F3*G3*H3/10000,0)</f>
        <v>0</v>
      </c>
    </row>
    <row r="4" spans="1:9">
      <c r="A4" s="3494"/>
      <c r="B4" s="3495" t="s">
        <v>2477</v>
      </c>
      <c r="C4" s="3495"/>
      <c r="D4" s="2472"/>
      <c r="E4" s="2470"/>
      <c r="F4" s="2473"/>
      <c r="G4" s="2473"/>
      <c r="H4" s="2474"/>
      <c r="I4" s="2475">
        <f t="shared" ref="I4:I9" si="0">ROUND(D4*E4*F4*G4*H4/10000,0)</f>
        <v>0</v>
      </c>
    </row>
    <row r="5" spans="1:9">
      <c r="A5" s="3494"/>
      <c r="B5" s="3495" t="s">
        <v>2478</v>
      </c>
      <c r="C5" s="3495"/>
      <c r="D5" s="2472"/>
      <c r="E5" s="2470"/>
      <c r="F5" s="2473"/>
      <c r="G5" s="2473"/>
      <c r="H5" s="2474"/>
      <c r="I5" s="2475">
        <f t="shared" si="0"/>
        <v>0</v>
      </c>
    </row>
    <row r="6" spans="1:9">
      <c r="A6" s="3494"/>
      <c r="B6" s="3495" t="s">
        <v>2479</v>
      </c>
      <c r="C6" s="3495"/>
      <c r="D6" s="2472"/>
      <c r="E6" s="2470"/>
      <c r="F6" s="2473"/>
      <c r="G6" s="2473"/>
      <c r="H6" s="2474"/>
      <c r="I6" s="2475">
        <f t="shared" si="0"/>
        <v>0</v>
      </c>
    </row>
    <row r="7" spans="1:9">
      <c r="A7" s="3494"/>
      <c r="B7" s="3495" t="s">
        <v>2480</v>
      </c>
      <c r="C7" s="3495"/>
      <c r="D7" s="2472"/>
      <c r="E7" s="2470"/>
      <c r="F7" s="2473"/>
      <c r="G7" s="2473"/>
      <c r="H7" s="2474"/>
      <c r="I7" s="2475">
        <f t="shared" si="0"/>
        <v>0</v>
      </c>
    </row>
    <row r="8" spans="1:9">
      <c r="A8" s="3494"/>
      <c r="B8" s="3495" t="s">
        <v>2481</v>
      </c>
      <c r="C8" s="3495"/>
      <c r="D8" s="2472"/>
      <c r="E8" s="2470"/>
      <c r="F8" s="2473"/>
      <c r="G8" s="2473"/>
      <c r="H8" s="2474"/>
      <c r="I8" s="2475">
        <f t="shared" si="0"/>
        <v>0</v>
      </c>
    </row>
    <row r="9" spans="1:9">
      <c r="A9" s="3494"/>
      <c r="B9" s="3495" t="s">
        <v>2482</v>
      </c>
      <c r="C9" s="3495"/>
      <c r="D9" s="2472"/>
      <c r="E9" s="2470"/>
      <c r="F9" s="2473"/>
      <c r="G9" s="2473"/>
      <c r="H9" s="2474"/>
      <c r="I9" s="2475">
        <f t="shared" si="0"/>
        <v>0</v>
      </c>
    </row>
    <row r="10" spans="1:9">
      <c r="A10" s="3494"/>
      <c r="B10" s="3496" t="s">
        <v>2483</v>
      </c>
      <c r="C10" s="3496"/>
      <c r="D10" s="2476">
        <v>527</v>
      </c>
      <c r="E10" s="2476" t="e">
        <f>ROUND(D1*10000/D10/H9,0)</f>
        <v>#DIV/0!</v>
      </c>
      <c r="F10" s="2477"/>
      <c r="G10" s="2477"/>
      <c r="H10" s="2478"/>
      <c r="I10" s="2479">
        <f>SUM(I3:I9)</f>
        <v>0</v>
      </c>
    </row>
    <row r="11" spans="1:9" ht="14.25">
      <c r="A11" s="3494" t="s">
        <v>2484</v>
      </c>
      <c r="B11" s="3495" t="s">
        <v>2485</v>
      </c>
      <c r="C11" s="3495"/>
      <c r="D11" s="2472" t="s">
        <v>2486</v>
      </c>
      <c r="E11" s="2472" t="s">
        <v>2487</v>
      </c>
      <c r="F11" s="2473" t="s">
        <v>2488</v>
      </c>
      <c r="G11" s="2473" t="s">
        <v>2489</v>
      </c>
      <c r="H11" s="2480" t="s">
        <v>2490</v>
      </c>
      <c r="I11" s="2471" t="s">
        <v>2491</v>
      </c>
    </row>
    <row r="12" spans="1:9">
      <c r="A12" s="3494"/>
      <c r="B12" s="3495" t="s">
        <v>2492</v>
      </c>
      <c r="C12" s="3495"/>
      <c r="D12" s="2472"/>
      <c r="E12" s="2472"/>
      <c r="F12" s="2473"/>
      <c r="G12" s="2474"/>
      <c r="H12" s="2481"/>
      <c r="I12" s="2471">
        <f>ROUND(D12*E12*F12*G12/10000,0)</f>
        <v>0</v>
      </c>
    </row>
    <row r="13" spans="1:9">
      <c r="A13" s="3494"/>
      <c r="B13" s="3495" t="s">
        <v>2493</v>
      </c>
      <c r="C13" s="3495"/>
      <c r="D13" s="2472"/>
      <c r="E13" s="2472"/>
      <c r="F13" s="2473"/>
      <c r="G13" s="2474"/>
      <c r="H13" s="2481"/>
      <c r="I13" s="2471">
        <f>ROUND(D13*E13*F13*G13/10000,0)</f>
        <v>0</v>
      </c>
    </row>
    <row r="14" spans="1:9">
      <c r="A14" s="3494"/>
      <c r="B14" s="3495" t="s">
        <v>2494</v>
      </c>
      <c r="C14" s="3495"/>
      <c r="D14" s="2472"/>
      <c r="E14" s="2472"/>
      <c r="F14" s="2473"/>
      <c r="G14" s="2474"/>
      <c r="H14" s="2481"/>
      <c r="I14" s="2471">
        <f>ROUND(D14*E14*F14*G14/10000,0)</f>
        <v>0</v>
      </c>
    </row>
    <row r="15" spans="1:9">
      <c r="A15" s="3494"/>
      <c r="B15" s="3496" t="s">
        <v>2483</v>
      </c>
      <c r="C15" s="3496"/>
      <c r="D15" s="2476"/>
      <c r="E15" s="2476">
        <f>SUM(E12:E14)</f>
        <v>0</v>
      </c>
      <c r="F15" s="2477"/>
      <c r="G15" s="2474"/>
      <c r="H15" s="2481"/>
      <c r="I15" s="2482">
        <f>SUM(I12:I14)</f>
        <v>0</v>
      </c>
    </row>
    <row r="16" spans="1:9" ht="24">
      <c r="A16" s="3494" t="s">
        <v>2495</v>
      </c>
      <c r="B16" s="3495" t="s">
        <v>2496</v>
      </c>
      <c r="C16" s="3495"/>
      <c r="D16" s="2472" t="s">
        <v>2497</v>
      </c>
      <c r="E16" s="2483" t="s">
        <v>2498</v>
      </c>
      <c r="F16" s="2473" t="s">
        <v>2499</v>
      </c>
      <c r="G16" s="2474" t="s">
        <v>2489</v>
      </c>
      <c r="H16" s="2480" t="s">
        <v>2490</v>
      </c>
      <c r="I16" s="2471" t="s">
        <v>2491</v>
      </c>
    </row>
    <row r="17" spans="1:9" ht="14.25">
      <c r="A17" s="3494"/>
      <c r="B17" s="3495" t="s">
        <v>2500</v>
      </c>
      <c r="C17" s="3495"/>
      <c r="D17" s="2472"/>
      <c r="E17" s="2472"/>
      <c r="F17" s="2473"/>
      <c r="G17" s="2474"/>
      <c r="H17" s="2484"/>
      <c r="I17" s="2485">
        <f>ROUND(D17*E17*F17*G17/10000,0)</f>
        <v>0</v>
      </c>
    </row>
    <row r="18" spans="1:9" ht="14.25">
      <c r="A18" s="3494"/>
      <c r="B18" s="3495" t="s">
        <v>2501</v>
      </c>
      <c r="C18" s="3495"/>
      <c r="D18" s="2472"/>
      <c r="E18" s="2472"/>
      <c r="F18" s="2473"/>
      <c r="G18" s="2474"/>
      <c r="H18" s="2484"/>
      <c r="I18" s="2485">
        <f>ROUND(D18*E18*F18*G18/10000,0)</f>
        <v>0</v>
      </c>
    </row>
    <row r="19" spans="1:9" ht="14.25">
      <c r="A19" s="3494"/>
      <c r="B19" s="3495" t="s">
        <v>2502</v>
      </c>
      <c r="C19" s="3495"/>
      <c r="D19" s="2472"/>
      <c r="E19" s="2472"/>
      <c r="F19" s="2473"/>
      <c r="G19" s="2474"/>
      <c r="H19" s="2484"/>
      <c r="I19" s="2485">
        <f>ROUND(D19*E19*F19*G19/10000,0)</f>
        <v>0</v>
      </c>
    </row>
    <row r="20" spans="1:9">
      <c r="A20" s="3494"/>
      <c r="B20" s="3496" t="s">
        <v>2483</v>
      </c>
      <c r="C20" s="3496"/>
      <c r="D20" s="2476">
        <f>SUM(D17:D19)</f>
        <v>0</v>
      </c>
      <c r="E20" s="2476"/>
      <c r="F20" s="2477"/>
      <c r="G20" s="2474"/>
      <c r="H20" s="2481"/>
      <c r="I20" s="2482">
        <f>SUM(I17:I19)</f>
        <v>0</v>
      </c>
    </row>
    <row r="21" spans="1:9">
      <c r="A21" s="3494" t="s">
        <v>2503</v>
      </c>
      <c r="B21" s="3497"/>
      <c r="C21" s="3497"/>
      <c r="D21" s="3497"/>
      <c r="E21" s="3497"/>
      <c r="F21" s="3497"/>
      <c r="G21" s="3497"/>
      <c r="H21" s="2486">
        <v>0.1</v>
      </c>
      <c r="I21" s="2479">
        <f>ROUND(I10*H21,0)</f>
        <v>0</v>
      </c>
    </row>
    <row r="22" spans="1:9" ht="14.25">
      <c r="A22" s="3498" t="s">
        <v>2504</v>
      </c>
      <c r="B22" s="3499"/>
      <c r="C22" s="3500"/>
      <c r="D22" s="2487" t="s">
        <v>2505</v>
      </c>
      <c r="E22" s="2487" t="s">
        <v>2506</v>
      </c>
      <c r="F22" s="2488" t="s">
        <v>2507</v>
      </c>
      <c r="G22" s="2488" t="s">
        <v>2508</v>
      </c>
      <c r="H22" s="2480" t="s">
        <v>2509</v>
      </c>
      <c r="I22" s="2471" t="s">
        <v>2510</v>
      </c>
    </row>
    <row r="23" spans="1:9" ht="14.25" thickBot="1">
      <c r="A23" s="3501"/>
      <c r="B23" s="3502"/>
      <c r="C23" s="3503"/>
      <c r="D23" s="2489"/>
      <c r="E23" s="2489"/>
      <c r="F23" s="2489"/>
      <c r="G23" s="2490"/>
      <c r="H23" s="2491"/>
      <c r="I23" s="2492">
        <f>ROUND(E23*D23*F23*(1-G23)/10000,0)</f>
        <v>0</v>
      </c>
    </row>
    <row r="26" spans="1:9">
      <c r="A26" s="2493" t="s">
        <v>2511</v>
      </c>
      <c r="B26" s="2493"/>
      <c r="C26" s="2493"/>
      <c r="D26" s="2493"/>
      <c r="E26" s="3491">
        <f>C27-C30-C31-C32</f>
        <v>0</v>
      </c>
      <c r="F26" s="3491"/>
      <c r="G26" s="3491"/>
      <c r="H26" s="2994" t="s">
        <v>2839</v>
      </c>
    </row>
    <row r="27" spans="1:9">
      <c r="A27" s="2494">
        <v>1</v>
      </c>
      <c r="B27" s="2495" t="s">
        <v>2512</v>
      </c>
      <c r="C27" s="2495"/>
      <c r="D27" s="2495"/>
      <c r="E27" s="3492"/>
      <c r="F27" s="3492"/>
      <c r="G27" s="3492"/>
    </row>
    <row r="28" spans="1:9">
      <c r="A28" s="2496" t="s">
        <v>2513</v>
      </c>
      <c r="B28" s="2495" t="s">
        <v>2514</v>
      </c>
      <c r="C28" s="2495"/>
      <c r="D28" s="2495"/>
      <c r="E28" s="3492"/>
      <c r="F28" s="3492"/>
      <c r="G28" s="3492"/>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93"/>
      <c r="F32" s="3493"/>
      <c r="G32" s="3493"/>
    </row>
    <row r="33" spans="1:7" hidden="1">
      <c r="A33" s="3488" t="s">
        <v>2522</v>
      </c>
      <c r="B33" s="3489"/>
      <c r="C33" s="3489"/>
      <c r="D33" s="3490"/>
      <c r="E33" s="3491"/>
      <c r="F33" s="3491"/>
      <c r="G33" s="3491"/>
    </row>
    <row r="34" spans="1:7" hidden="1">
      <c r="A34" s="2498">
        <v>1</v>
      </c>
      <c r="B34" s="2495" t="s">
        <v>2523</v>
      </c>
      <c r="C34" s="2495"/>
      <c r="D34" s="2495"/>
      <c r="E34" s="3492"/>
      <c r="F34" s="3492"/>
      <c r="G34" s="3492"/>
    </row>
    <row r="35" spans="1:7" hidden="1">
      <c r="A35" s="2498">
        <v>2</v>
      </c>
      <c r="B35" s="2495" t="s">
        <v>2524</v>
      </c>
      <c r="C35" s="2495"/>
      <c r="D35" s="2495"/>
      <c r="E35" s="3492"/>
      <c r="F35" s="3492"/>
      <c r="G35" s="3492"/>
    </row>
    <row r="36" spans="1:7" hidden="1">
      <c r="A36" s="2498">
        <v>3</v>
      </c>
      <c r="B36" s="2495" t="s">
        <v>2525</v>
      </c>
      <c r="C36" s="2495"/>
      <c r="D36" s="2495"/>
      <c r="E36" s="3492"/>
      <c r="F36" s="3492"/>
      <c r="G36" s="3492"/>
    </row>
    <row r="37" spans="1:7" hidden="1">
      <c r="A37" s="2498">
        <v>4</v>
      </c>
      <c r="B37" s="2495" t="s">
        <v>2526</v>
      </c>
      <c r="C37" s="2495"/>
      <c r="D37" s="2495"/>
      <c r="E37" s="3492"/>
      <c r="F37" s="3492"/>
      <c r="G37" s="3492"/>
    </row>
    <row r="38" spans="1:7" hidden="1">
      <c r="A38" s="3488" t="s">
        <v>2527</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L21" sqref="L21"/>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56280</v>
      </c>
      <c r="E10" s="749">
        <f>'数据-取费表'!B31</f>
        <v>90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0</v>
      </c>
      <c r="D12" s="758">
        <f>'数据-汇总表'!E5</f>
        <v>0</v>
      </c>
      <c r="E12" s="757">
        <f>'数据-取费表'!B27</f>
        <v>120</v>
      </c>
      <c r="F12" s="755"/>
      <c r="G12" s="759"/>
    </row>
    <row r="13" spans="1:25" s="2167" customFormat="1" ht="13.5" customHeight="1">
      <c r="A13" s="2439" t="s">
        <v>2443</v>
      </c>
      <c r="B13" s="756" t="s">
        <v>612</v>
      </c>
      <c r="C13" s="757">
        <f>ROUND(D13*E13/10000,0)</f>
        <v>675</v>
      </c>
      <c r="D13" s="758">
        <f>'数据-汇总表'!E6</f>
        <v>56280</v>
      </c>
      <c r="E13" s="757">
        <f>'数据-取费表'!B28</f>
        <v>120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0.77800000000000002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21" sqref="L2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10" t="s">
        <v>522</v>
      </c>
      <c r="D4" s="3411"/>
      <c r="E4" s="3435" t="s">
        <v>523</v>
      </c>
      <c r="F4" s="3436"/>
      <c r="G4" s="3410" t="s">
        <v>524</v>
      </c>
      <c r="H4" s="3411"/>
      <c r="I4" s="3410" t="s">
        <v>525</v>
      </c>
      <c r="J4" s="3411"/>
      <c r="K4" s="853" t="s">
        <v>526</v>
      </c>
      <c r="L4" s="2117"/>
      <c r="M4" s="2118"/>
      <c r="N4" s="2118"/>
      <c r="O4" s="2118"/>
      <c r="P4" s="3412" t="s">
        <v>527</v>
      </c>
      <c r="Q4" s="3413"/>
      <c r="R4" s="3398" t="s">
        <v>523</v>
      </c>
      <c r="S4" s="3399"/>
      <c r="T4" s="3398" t="s">
        <v>524</v>
      </c>
      <c r="U4" s="3399"/>
      <c r="V4" s="3418" t="s">
        <v>525</v>
      </c>
      <c r="W4" s="3418"/>
      <c r="X4" s="1552"/>
      <c r="Y4" s="3398" t="s">
        <v>527</v>
      </c>
      <c r="Z4" s="3399"/>
      <c r="AA4" s="3393" t="s">
        <v>523</v>
      </c>
      <c r="AB4" s="3393" t="s">
        <v>524</v>
      </c>
      <c r="AC4" s="3393" t="s">
        <v>525</v>
      </c>
    </row>
    <row r="5" spans="1:29" ht="15">
      <c r="A5" s="515"/>
      <c r="B5" s="516"/>
      <c r="C5" s="3421" t="s">
        <v>2924</v>
      </c>
      <c r="D5" s="3422"/>
      <c r="E5" s="3437" t="s">
        <v>2925</v>
      </c>
      <c r="F5" s="3438"/>
      <c r="G5" s="3421" t="s">
        <v>2926</v>
      </c>
      <c r="H5" s="3422"/>
      <c r="I5" s="3421" t="s">
        <v>2927</v>
      </c>
      <c r="J5" s="3422"/>
      <c r="K5" s="854"/>
      <c r="L5" s="2117"/>
      <c r="M5" s="2118"/>
      <c r="N5" s="2118"/>
      <c r="O5" s="2118"/>
      <c r="P5" s="3414"/>
      <c r="Q5" s="3415"/>
      <c r="R5" s="3400"/>
      <c r="S5" s="3401"/>
      <c r="T5" s="3400"/>
      <c r="U5" s="3401"/>
      <c r="V5" s="3418"/>
      <c r="W5" s="3418"/>
      <c r="X5" s="1552"/>
      <c r="Y5" s="3400"/>
      <c r="Z5" s="3401"/>
      <c r="AA5" s="3394"/>
      <c r="AB5" s="3394"/>
      <c r="AC5" s="3394"/>
    </row>
    <row r="6" spans="1:29" ht="15.75" thickBot="1">
      <c r="A6" s="517"/>
      <c r="B6" s="518"/>
      <c r="C6" s="3439" t="s">
        <v>2928</v>
      </c>
      <c r="D6" s="3420"/>
      <c r="E6" s="3440" t="s">
        <v>2928</v>
      </c>
      <c r="F6" s="3441"/>
      <c r="G6" s="3439" t="s">
        <v>2928</v>
      </c>
      <c r="H6" s="3420"/>
      <c r="I6" s="3439" t="s">
        <v>2928</v>
      </c>
      <c r="J6" s="3420"/>
      <c r="K6" s="854" t="s">
        <v>528</v>
      </c>
      <c r="L6" s="2117"/>
      <c r="M6" s="2118"/>
      <c r="N6" s="2118"/>
      <c r="O6" s="2118"/>
      <c r="P6" s="3416"/>
      <c r="Q6" s="3417"/>
      <c r="R6" s="3400"/>
      <c r="S6" s="3401"/>
      <c r="T6" s="3402"/>
      <c r="U6" s="3403"/>
      <c r="V6" s="3418"/>
      <c r="W6" s="3418"/>
      <c r="X6" s="1552"/>
      <c r="Y6" s="3402"/>
      <c r="Z6" s="3403"/>
      <c r="AA6" s="3395"/>
      <c r="AB6" s="3395"/>
      <c r="AC6" s="3395"/>
    </row>
    <row r="7" spans="1:29" s="1214" customFormat="1" ht="15.75" thickBot="1">
      <c r="A7" s="2866"/>
      <c r="B7" s="2873" t="s">
        <v>529</v>
      </c>
      <c r="C7" s="519">
        <f>'数据-取费表'!B2</f>
        <v>43594</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96" t="s">
        <v>530</v>
      </c>
      <c r="Q7" s="3405"/>
      <c r="R7" s="1553" t="s">
        <v>13</v>
      </c>
      <c r="S7" s="1554">
        <f t="shared" ref="S7:S15" si="0">F7</f>
        <v>0</v>
      </c>
      <c r="T7" s="1553" t="s">
        <v>13</v>
      </c>
      <c r="U7" s="1554">
        <f t="shared" ref="U7:U15" si="1">H7</f>
        <v>0</v>
      </c>
      <c r="V7" s="1553" t="s">
        <v>13</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96" t="s">
        <v>533</v>
      </c>
      <c r="Q8" s="3397"/>
      <c r="R8" s="1553" t="s">
        <v>13</v>
      </c>
      <c r="S8" s="1554">
        <f t="shared" si="0"/>
        <v>0</v>
      </c>
      <c r="T8" s="1553" t="s">
        <v>13</v>
      </c>
      <c r="U8" s="1554">
        <f t="shared" si="1"/>
        <v>0</v>
      </c>
      <c r="V8" s="1553" t="s">
        <v>13</v>
      </c>
      <c r="W8" s="1554">
        <f t="shared" si="2"/>
        <v>0</v>
      </c>
      <c r="X8" s="1555"/>
      <c r="Y8" s="3396" t="s">
        <v>533</v>
      </c>
      <c r="Z8" s="3397"/>
      <c r="AA8" s="1556" t="e">
        <f t="shared" ref="AA8:AA46" si="3">D8/F8</f>
        <v>#DIV/0!</v>
      </c>
      <c r="AB8" s="1556" t="e">
        <f t="shared" ref="AB8:AB46" si="4">D8/H8</f>
        <v>#DIV/0!</v>
      </c>
      <c r="AC8" s="1556" t="e">
        <f t="shared" ref="AC8:AC46" si="5">D8/J8</f>
        <v>#DIV/0!</v>
      </c>
    </row>
    <row r="9" spans="1:29" s="1214" customFormat="1" ht="15">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404"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404"/>
      <c r="Q11" s="1145" t="str">
        <f t="shared" si="6"/>
        <v>容积率</v>
      </c>
      <c r="R11" s="1553" t="s">
        <v>11</v>
      </c>
      <c r="S11" s="1554" t="e">
        <f t="shared" si="0"/>
        <v>#N/A</v>
      </c>
      <c r="T11" s="1553" t="s">
        <v>11</v>
      </c>
      <c r="U11" s="1554" t="e">
        <f t="shared" si="1"/>
        <v>#N/A</v>
      </c>
      <c r="V11" s="1553" t="s">
        <v>11</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4"/>
      <c r="Q12" s="1145">
        <f t="shared" si="6"/>
        <v>111</v>
      </c>
      <c r="R12" s="1553" t="s">
        <v>11</v>
      </c>
      <c r="S12" s="1554">
        <f t="shared" si="0"/>
        <v>100</v>
      </c>
      <c r="T12" s="1553" t="s">
        <v>11</v>
      </c>
      <c r="U12" s="1554">
        <f t="shared" si="1"/>
        <v>100</v>
      </c>
      <c r="V12" s="1553" t="s">
        <v>11</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4"/>
      <c r="Q13" s="1145">
        <f t="shared" si="6"/>
        <v>111</v>
      </c>
      <c r="R13" s="1553" t="s">
        <v>11</v>
      </c>
      <c r="S13" s="1554">
        <f t="shared" si="0"/>
        <v>100</v>
      </c>
      <c r="T13" s="1553" t="s">
        <v>11</v>
      </c>
      <c r="U13" s="1554">
        <f t="shared" si="1"/>
        <v>100</v>
      </c>
      <c r="V13" s="1553" t="s">
        <v>11</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4"/>
      <c r="Q14" s="1145">
        <f t="shared" si="6"/>
        <v>111</v>
      </c>
      <c r="R14" s="1553" t="s">
        <v>11</v>
      </c>
      <c r="S14" s="1554">
        <f t="shared" si="0"/>
        <v>100</v>
      </c>
      <c r="T14" s="1553" t="s">
        <v>11</v>
      </c>
      <c r="U14" s="1554">
        <f t="shared" si="1"/>
        <v>100</v>
      </c>
      <c r="V14" s="1553" t="s">
        <v>11</v>
      </c>
      <c r="W14" s="1554">
        <f t="shared" si="2"/>
        <v>100</v>
      </c>
      <c r="X14" s="1555"/>
      <c r="Y14" s="3361"/>
      <c r="Z14" s="1144">
        <f t="shared" si="7"/>
        <v>111</v>
      </c>
      <c r="AA14" s="1556">
        <f t="shared" si="3"/>
        <v>1</v>
      </c>
      <c r="AB14" s="1556">
        <f t="shared" si="4"/>
        <v>1</v>
      </c>
      <c r="AC14" s="1556">
        <f t="shared" si="5"/>
        <v>1</v>
      </c>
    </row>
    <row r="15" spans="1:29" ht="99.75">
      <c r="A15" s="2864"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06" t="s">
        <v>540</v>
      </c>
      <c r="Q15" s="1557" t="str">
        <f t="shared" si="6"/>
        <v>居住社区成熟度</v>
      </c>
      <c r="R15" s="1558" t="s">
        <v>11</v>
      </c>
      <c r="S15" s="1559">
        <f t="shared" si="0"/>
        <v>100</v>
      </c>
      <c r="T15" s="1558" t="s">
        <v>11</v>
      </c>
      <c r="U15" s="1559">
        <f t="shared" si="1"/>
        <v>100</v>
      </c>
      <c r="V15" s="1558" t="s">
        <v>11</v>
      </c>
      <c r="W15" s="1559">
        <f t="shared" si="2"/>
        <v>100</v>
      </c>
      <c r="X15" s="1552"/>
      <c r="Y15" s="3406"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07"/>
      <c r="Q16" s="1557"/>
      <c r="R16" s="1558"/>
      <c r="S16" s="1559"/>
      <c r="T16" s="1558"/>
      <c r="U16" s="1559"/>
      <c r="V16" s="1558"/>
      <c r="W16" s="1559"/>
      <c r="X16" s="1552"/>
      <c r="Y16" s="340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07"/>
      <c r="Q17" s="1557" t="str">
        <f>B17</f>
        <v>交通便捷度</v>
      </c>
      <c r="R17" s="1558" t="s">
        <v>11</v>
      </c>
      <c r="S17" s="1559">
        <f>F17</f>
        <v>100</v>
      </c>
      <c r="T17" s="1558" t="s">
        <v>11</v>
      </c>
      <c r="U17" s="1559">
        <f>H17</f>
        <v>100</v>
      </c>
      <c r="V17" s="1558" t="s">
        <v>11</v>
      </c>
      <c r="W17" s="1559">
        <f>J17</f>
        <v>100</v>
      </c>
      <c r="X17" s="1552"/>
      <c r="Y17" s="340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07"/>
      <c r="Q18" s="1557"/>
      <c r="R18" s="1558"/>
      <c r="S18" s="1559"/>
      <c r="T18" s="1558"/>
      <c r="U18" s="1559"/>
      <c r="V18" s="1558"/>
      <c r="W18" s="1559"/>
      <c r="X18" s="1552"/>
      <c r="Y18" s="3407"/>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07"/>
      <c r="Q19" s="1557" t="str">
        <f>B19</f>
        <v>公共配套设施</v>
      </c>
      <c r="R19" s="1558" t="s">
        <v>11</v>
      </c>
      <c r="S19" s="1559">
        <f>F19</f>
        <v>100</v>
      </c>
      <c r="T19" s="1558" t="s">
        <v>11</v>
      </c>
      <c r="U19" s="1559">
        <f>H19</f>
        <v>100</v>
      </c>
      <c r="V19" s="1558" t="s">
        <v>11</v>
      </c>
      <c r="W19" s="1559">
        <f>J19</f>
        <v>100</v>
      </c>
      <c r="X19" s="1552"/>
      <c r="Y19" s="340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07"/>
      <c r="Q20" s="1557"/>
      <c r="R20" s="1558"/>
      <c r="S20" s="1559"/>
      <c r="T20" s="1558"/>
      <c r="U20" s="1559"/>
      <c r="V20" s="1558"/>
      <c r="W20" s="1559"/>
      <c r="X20" s="1552"/>
      <c r="Y20" s="3407"/>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07"/>
      <c r="Q21" s="2542" t="str">
        <f>B21</f>
        <v>基础设施水平</v>
      </c>
      <c r="R21" s="1558" t="s">
        <v>11</v>
      </c>
      <c r="S21" s="1559">
        <f>F21</f>
        <v>100</v>
      </c>
      <c r="T21" s="1558" t="s">
        <v>11</v>
      </c>
      <c r="U21" s="1559">
        <f>H21</f>
        <v>100</v>
      </c>
      <c r="V21" s="1558" t="s">
        <v>11</v>
      </c>
      <c r="W21" s="1559">
        <f>J21</f>
        <v>100</v>
      </c>
      <c r="X21" s="2544"/>
      <c r="Y21" s="340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07"/>
      <c r="Q22" s="2542"/>
      <c r="R22" s="1558"/>
      <c r="S22" s="1559"/>
      <c r="T22" s="1558"/>
      <c r="U22" s="1559"/>
      <c r="V22" s="1558"/>
      <c r="W22" s="1559"/>
      <c r="X22" s="2544"/>
      <c r="Y22" s="3407"/>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07"/>
      <c r="Q23" s="1557" t="str">
        <f>B23</f>
        <v>自然及人文环境</v>
      </c>
      <c r="R23" s="1558" t="s">
        <v>11</v>
      </c>
      <c r="S23" s="1559">
        <f>F23</f>
        <v>100</v>
      </c>
      <c r="T23" s="1558" t="s">
        <v>11</v>
      </c>
      <c r="U23" s="1559">
        <f>H23</f>
        <v>100</v>
      </c>
      <c r="V23" s="1558" t="s">
        <v>11</v>
      </c>
      <c r="W23" s="1559">
        <f>J23</f>
        <v>100</v>
      </c>
      <c r="X23" s="1552"/>
      <c r="Y23" s="340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07"/>
      <c r="Q24" s="1557"/>
      <c r="R24" s="1558"/>
      <c r="S24" s="1559"/>
      <c r="T24" s="1558"/>
      <c r="U24" s="1559"/>
      <c r="V24" s="1558"/>
      <c r="W24" s="1559"/>
      <c r="X24" s="1552"/>
      <c r="Y24" s="3407"/>
      <c r="Z24" s="1560"/>
      <c r="AA24" s="1561">
        <v>1</v>
      </c>
      <c r="AB24" s="1561">
        <v>1</v>
      </c>
      <c r="AC24" s="1561">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7"/>
      <c r="Q25" s="1557" t="str">
        <f t="shared" ref="Q25:Q46" si="11">B25</f>
        <v>楼层-1</v>
      </c>
      <c r="R25" s="1558" t="s">
        <v>11</v>
      </c>
      <c r="S25" s="1559">
        <f>F25</f>
        <v>100</v>
      </c>
      <c r="T25" s="1558" t="s">
        <v>11</v>
      </c>
      <c r="U25" s="1559">
        <f>H25</f>
        <v>100</v>
      </c>
      <c r="V25" s="1558" t="s">
        <v>11</v>
      </c>
      <c r="W25" s="1559">
        <f>J25</f>
        <v>100</v>
      </c>
      <c r="X25" s="1552"/>
      <c r="Y25" s="3407"/>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7"/>
      <c r="Q26" s="1557" t="str">
        <f t="shared" si="11"/>
        <v>朝向</v>
      </c>
      <c r="R26" s="1558" t="s">
        <v>11</v>
      </c>
      <c r="S26" s="1559">
        <f>F26</f>
        <v>100</v>
      </c>
      <c r="T26" s="1558" t="s">
        <v>11</v>
      </c>
      <c r="U26" s="1559">
        <f>H26</f>
        <v>100</v>
      </c>
      <c r="V26" s="1558" t="s">
        <v>11</v>
      </c>
      <c r="W26" s="1559">
        <f>J26</f>
        <v>100</v>
      </c>
      <c r="X26" s="1552"/>
      <c r="Y26" s="3407"/>
      <c r="Z26" s="1560" t="str">
        <f>Q26</f>
        <v>朝向</v>
      </c>
      <c r="AA26" s="1561">
        <f t="shared" si="3"/>
        <v>1</v>
      </c>
      <c r="AB26" s="1561">
        <f t="shared" si="4"/>
        <v>1</v>
      </c>
      <c r="AC26" s="1561">
        <f t="shared" si="5"/>
        <v>1</v>
      </c>
    </row>
    <row r="27" spans="1:29" s="1214"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7"/>
      <c r="Q27" s="1145" t="str">
        <f t="shared" si="11"/>
        <v>道路级别</v>
      </c>
      <c r="R27" s="1553" t="s">
        <v>11</v>
      </c>
      <c r="S27" s="1554">
        <f>F27</f>
        <v>100</v>
      </c>
      <c r="T27" s="1553" t="s">
        <v>11</v>
      </c>
      <c r="U27" s="1554">
        <f>H27</f>
        <v>100</v>
      </c>
      <c r="V27" s="1553" t="s">
        <v>11</v>
      </c>
      <c r="W27" s="1554">
        <f>J27</f>
        <v>100</v>
      </c>
      <c r="X27" s="1555"/>
      <c r="Y27" s="3407"/>
      <c r="Z27" s="1144"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7"/>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7"/>
      <c r="Q29" s="1557">
        <f t="shared" si="11"/>
        <v>111</v>
      </c>
      <c r="R29" s="1558" t="s">
        <v>11</v>
      </c>
      <c r="S29" s="1559">
        <f t="shared" si="12"/>
        <v>100</v>
      </c>
      <c r="T29" s="1558" t="s">
        <v>11</v>
      </c>
      <c r="U29" s="1559">
        <f t="shared" si="13"/>
        <v>100</v>
      </c>
      <c r="V29" s="1558" t="s">
        <v>11</v>
      </c>
      <c r="W29" s="1559">
        <f t="shared" si="14"/>
        <v>100</v>
      </c>
      <c r="X29" s="1552"/>
      <c r="Y29" s="340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7"/>
      <c r="Q30" s="1557">
        <f t="shared" si="11"/>
        <v>111</v>
      </c>
      <c r="R30" s="1558" t="s">
        <v>11</v>
      </c>
      <c r="S30" s="1559">
        <f t="shared" si="12"/>
        <v>100</v>
      </c>
      <c r="T30" s="1558" t="s">
        <v>11</v>
      </c>
      <c r="U30" s="1559">
        <f t="shared" si="13"/>
        <v>100</v>
      </c>
      <c r="V30" s="1558" t="s">
        <v>11</v>
      </c>
      <c r="W30" s="1559">
        <f t="shared" si="14"/>
        <v>100</v>
      </c>
      <c r="X30" s="1552"/>
      <c r="Y30" s="3407"/>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7"/>
      <c r="Q31" s="1557">
        <f t="shared" si="11"/>
        <v>111</v>
      </c>
      <c r="R31" s="1558" t="s">
        <v>11</v>
      </c>
      <c r="S31" s="1559">
        <f t="shared" si="12"/>
        <v>100</v>
      </c>
      <c r="T31" s="1558" t="s">
        <v>11</v>
      </c>
      <c r="U31" s="1559">
        <f t="shared" si="13"/>
        <v>100</v>
      </c>
      <c r="V31" s="1558" t="s">
        <v>11</v>
      </c>
      <c r="W31" s="1559">
        <f t="shared" si="14"/>
        <v>100</v>
      </c>
      <c r="X31" s="1552"/>
      <c r="Y31" s="3407"/>
      <c r="Z31" s="1560">
        <f t="shared" si="15"/>
        <v>111</v>
      </c>
      <c r="AA31" s="1561">
        <f t="shared" si="3"/>
        <v>1</v>
      </c>
      <c r="AB31" s="1561">
        <f t="shared" si="4"/>
        <v>1</v>
      </c>
      <c r="AC31" s="1561">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08" t="s">
        <v>550</v>
      </c>
      <c r="Q32" s="1557" t="str">
        <f t="shared" si="11"/>
        <v>建筑类型</v>
      </c>
      <c r="R32" s="1558" t="s">
        <v>11</v>
      </c>
      <c r="S32" s="1559">
        <f t="shared" si="12"/>
        <v>100</v>
      </c>
      <c r="T32" s="1558" t="s">
        <v>11</v>
      </c>
      <c r="U32" s="1559">
        <f t="shared" si="13"/>
        <v>100</v>
      </c>
      <c r="V32" s="1558" t="s">
        <v>11</v>
      </c>
      <c r="W32" s="1559">
        <f t="shared" si="14"/>
        <v>100</v>
      </c>
      <c r="X32" s="1552"/>
      <c r="Y32" s="3409" t="s">
        <v>550</v>
      </c>
      <c r="Z32" s="1560" t="str">
        <f t="shared" si="15"/>
        <v>建筑类型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09"/>
      <c r="Q33" s="1589" t="str">
        <f t="shared" si="11"/>
        <v>项目建筑规模</v>
      </c>
      <c r="R33" s="1562" t="s">
        <v>11</v>
      </c>
      <c r="S33" s="1563" t="e">
        <f t="shared" si="12"/>
        <v>#N/A</v>
      </c>
      <c r="T33" s="1562" t="s">
        <v>11</v>
      </c>
      <c r="U33" s="1563" t="e">
        <f t="shared" si="13"/>
        <v>#N/A</v>
      </c>
      <c r="V33" s="1562" t="s">
        <v>11</v>
      </c>
      <c r="W33" s="1563" t="e">
        <f t="shared" si="14"/>
        <v>#N/A</v>
      </c>
      <c r="X33" s="1564"/>
      <c r="Y33" s="3409"/>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09"/>
      <c r="Q34" s="1557" t="str">
        <f t="shared" si="11"/>
        <v>建筑结构</v>
      </c>
      <c r="R34" s="1558" t="s">
        <v>11</v>
      </c>
      <c r="S34" s="1559">
        <f t="shared" si="12"/>
        <v>100</v>
      </c>
      <c r="T34" s="1558" t="s">
        <v>11</v>
      </c>
      <c r="U34" s="1559">
        <f t="shared" si="13"/>
        <v>100</v>
      </c>
      <c r="V34" s="1558" t="s">
        <v>11</v>
      </c>
      <c r="W34" s="1559">
        <f t="shared" si="14"/>
        <v>100</v>
      </c>
      <c r="X34" s="1552"/>
      <c r="Y34" s="3409"/>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09"/>
      <c r="Q35" s="1557" t="str">
        <f t="shared" si="11"/>
        <v>建筑品质</v>
      </c>
      <c r="R35" s="1558" t="s">
        <v>11</v>
      </c>
      <c r="S35" s="1559">
        <f t="shared" si="12"/>
        <v>100</v>
      </c>
      <c r="T35" s="1558" t="s">
        <v>11</v>
      </c>
      <c r="U35" s="1559">
        <f t="shared" si="13"/>
        <v>100</v>
      </c>
      <c r="V35" s="1558" t="s">
        <v>11</v>
      </c>
      <c r="W35" s="1559">
        <f t="shared" si="14"/>
        <v>100</v>
      </c>
      <c r="X35" s="1552"/>
      <c r="Y35" s="3409"/>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09"/>
      <c r="Q36" s="1557" t="str">
        <f t="shared" si="11"/>
        <v>公共部分装修</v>
      </c>
      <c r="R36" s="1558" t="s">
        <v>11</v>
      </c>
      <c r="S36" s="1559">
        <f t="shared" si="12"/>
        <v>100</v>
      </c>
      <c r="T36" s="1558" t="s">
        <v>11</v>
      </c>
      <c r="U36" s="1559">
        <f t="shared" si="13"/>
        <v>100</v>
      </c>
      <c r="V36" s="1558" t="s">
        <v>11</v>
      </c>
      <c r="W36" s="1559">
        <f t="shared" si="14"/>
        <v>100</v>
      </c>
      <c r="X36" s="1552"/>
      <c r="Y36" s="3409"/>
      <c r="Z36" s="1560" t="str">
        <f t="shared" si="15"/>
        <v>公共部分装修</v>
      </c>
      <c r="AA36" s="1561">
        <f t="shared" si="3"/>
        <v>1</v>
      </c>
      <c r="AB36" s="1561">
        <f t="shared" si="4"/>
        <v>1</v>
      </c>
      <c r="AC36" s="1561">
        <f t="shared" si="5"/>
        <v>1</v>
      </c>
    </row>
    <row r="37" spans="1:29" s="1214"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09"/>
      <c r="Q37" s="1145" t="str">
        <f t="shared" si="11"/>
        <v>成新度</v>
      </c>
      <c r="R37" s="1553" t="s">
        <v>11</v>
      </c>
      <c r="S37" s="1554" t="e">
        <f t="shared" si="12"/>
        <v>#N/A</v>
      </c>
      <c r="T37" s="1553" t="s">
        <v>11</v>
      </c>
      <c r="U37" s="1554" t="e">
        <f t="shared" si="13"/>
        <v>#N/A</v>
      </c>
      <c r="V37" s="1553" t="s">
        <v>11</v>
      </c>
      <c r="W37" s="1554" t="e">
        <f t="shared" si="14"/>
        <v>#N/A</v>
      </c>
      <c r="X37" s="1555"/>
      <c r="Y37" s="3409"/>
      <c r="Z37" s="1144"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09" t="s">
        <v>550</v>
      </c>
      <c r="Q38" s="1557" t="str">
        <f t="shared" si="11"/>
        <v>物业管理</v>
      </c>
      <c r="R38" s="1558" t="s">
        <v>11</v>
      </c>
      <c r="S38" s="1559">
        <f t="shared" si="12"/>
        <v>100</v>
      </c>
      <c r="T38" s="1558" t="s">
        <v>11</v>
      </c>
      <c r="U38" s="1559">
        <f t="shared" si="13"/>
        <v>100</v>
      </c>
      <c r="V38" s="1558" t="s">
        <v>11</v>
      </c>
      <c r="W38" s="1559">
        <f t="shared" si="14"/>
        <v>100</v>
      </c>
      <c r="X38" s="1552"/>
      <c r="Y38" s="3409" t="s">
        <v>550</v>
      </c>
      <c r="Z38" s="1560" t="str">
        <f t="shared" si="15"/>
        <v>物业管理</v>
      </c>
      <c r="AA38" s="1561">
        <f t="shared" si="3"/>
        <v>1</v>
      </c>
      <c r="AB38" s="1561">
        <f t="shared" si="4"/>
        <v>1</v>
      </c>
      <c r="AC38" s="1561">
        <f t="shared" si="5"/>
        <v>1</v>
      </c>
    </row>
    <row r="39" spans="1:29" ht="15">
      <c r="A39" s="594"/>
      <c r="B39" s="1879"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09"/>
      <c r="Q39" s="1557" t="str">
        <f t="shared" si="11"/>
        <v>市政基础设施</v>
      </c>
      <c r="R39" s="1558" t="s">
        <v>11</v>
      </c>
      <c r="S39" s="1559">
        <f t="shared" si="12"/>
        <v>100</v>
      </c>
      <c r="T39" s="1558" t="s">
        <v>11</v>
      </c>
      <c r="U39" s="1559">
        <f t="shared" si="13"/>
        <v>100</v>
      </c>
      <c r="V39" s="1558" t="s">
        <v>11</v>
      </c>
      <c r="W39" s="1559">
        <f t="shared" si="14"/>
        <v>100</v>
      </c>
      <c r="X39" s="1552"/>
      <c r="Y39" s="3409"/>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09"/>
      <c r="Q40" s="1557" t="str">
        <f t="shared" si="11"/>
        <v>房型</v>
      </c>
      <c r="R40" s="1558" t="s">
        <v>11</v>
      </c>
      <c r="S40" s="1559">
        <f t="shared" si="12"/>
        <v>100</v>
      </c>
      <c r="T40" s="1558" t="s">
        <v>11</v>
      </c>
      <c r="U40" s="1559">
        <f t="shared" si="13"/>
        <v>100</v>
      </c>
      <c r="V40" s="1558" t="s">
        <v>11</v>
      </c>
      <c r="W40" s="1559">
        <f t="shared" si="14"/>
        <v>100</v>
      </c>
      <c r="X40" s="1552"/>
      <c r="Y40" s="3409"/>
      <c r="Z40" s="1560" t="str">
        <f t="shared" si="15"/>
        <v>房型</v>
      </c>
      <c r="AA40" s="1561">
        <f t="shared" si="3"/>
        <v>1</v>
      </c>
      <c r="AB40" s="1561">
        <f t="shared" si="4"/>
        <v>1</v>
      </c>
      <c r="AC40" s="1561">
        <f t="shared" si="5"/>
        <v>1</v>
      </c>
    </row>
    <row r="41" spans="1:29" s="1333"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09"/>
      <c r="Q41" s="1589" t="str">
        <f t="shared" si="11"/>
        <v>单套/主力户型建筑面积</v>
      </c>
      <c r="R41" s="1562" t="s">
        <v>11</v>
      </c>
      <c r="S41" s="1563">
        <f t="shared" si="12"/>
        <v>100</v>
      </c>
      <c r="T41" s="1562" t="s">
        <v>11</v>
      </c>
      <c r="U41" s="1563">
        <f t="shared" si="13"/>
        <v>100</v>
      </c>
      <c r="V41" s="1562" t="s">
        <v>11</v>
      </c>
      <c r="W41" s="1563">
        <f t="shared" si="14"/>
        <v>100</v>
      </c>
      <c r="X41" s="1564"/>
      <c r="Y41" s="3409"/>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09"/>
      <c r="Q42" s="1557" t="str">
        <f t="shared" si="11"/>
        <v>内部装修</v>
      </c>
      <c r="R42" s="1558" t="s">
        <v>11</v>
      </c>
      <c r="S42" s="1559">
        <f t="shared" si="12"/>
        <v>100</v>
      </c>
      <c r="T42" s="1558" t="s">
        <v>11</v>
      </c>
      <c r="U42" s="1559">
        <f t="shared" si="13"/>
        <v>100</v>
      </c>
      <c r="V42" s="1558" t="s">
        <v>11</v>
      </c>
      <c r="W42" s="1559">
        <f t="shared" si="14"/>
        <v>100</v>
      </c>
      <c r="X42" s="1552"/>
      <c r="Y42" s="3409"/>
      <c r="Z42" s="1560" t="str">
        <f t="shared" si="15"/>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09"/>
      <c r="Q43" s="1557" t="str">
        <f t="shared" si="11"/>
        <v>内部装修维护情况</v>
      </c>
      <c r="R43" s="1558" t="s">
        <v>11</v>
      </c>
      <c r="S43" s="1559">
        <f t="shared" si="12"/>
        <v>100</v>
      </c>
      <c r="T43" s="1558" t="s">
        <v>11</v>
      </c>
      <c r="U43" s="1559">
        <f t="shared" si="13"/>
        <v>100</v>
      </c>
      <c r="V43" s="1558" t="s">
        <v>11</v>
      </c>
      <c r="W43" s="1559">
        <f t="shared" si="14"/>
        <v>100</v>
      </c>
      <c r="X43" s="1552"/>
      <c r="Y43" s="3409"/>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09"/>
      <c r="Q44" s="1145">
        <f t="shared" si="11"/>
        <v>111</v>
      </c>
      <c r="R44" s="1553" t="s">
        <v>11</v>
      </c>
      <c r="S44" s="1554">
        <f t="shared" si="12"/>
        <v>100</v>
      </c>
      <c r="T44" s="1553" t="s">
        <v>11</v>
      </c>
      <c r="U44" s="1554">
        <f t="shared" si="13"/>
        <v>100</v>
      </c>
      <c r="V44" s="1553" t="s">
        <v>11</v>
      </c>
      <c r="W44" s="1554">
        <f t="shared" si="14"/>
        <v>100</v>
      </c>
      <c r="X44" s="1555"/>
      <c r="Y44" s="3409"/>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9"/>
      <c r="Q45" s="1557">
        <f t="shared" si="11"/>
        <v>111</v>
      </c>
      <c r="R45" s="1558" t="s">
        <v>11</v>
      </c>
      <c r="S45" s="1559">
        <f t="shared" si="12"/>
        <v>100</v>
      </c>
      <c r="T45" s="1558" t="s">
        <v>11</v>
      </c>
      <c r="U45" s="1559">
        <f t="shared" si="13"/>
        <v>100</v>
      </c>
      <c r="V45" s="1558" t="s">
        <v>11</v>
      </c>
      <c r="W45" s="1559">
        <f t="shared" si="14"/>
        <v>100</v>
      </c>
      <c r="X45" s="1552"/>
      <c r="Y45" s="3409"/>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1"/>
      <c r="Q46" s="1557">
        <f t="shared" si="11"/>
        <v>111</v>
      </c>
      <c r="R46" s="1558" t="s">
        <v>10</v>
      </c>
      <c r="S46" s="1559">
        <f t="shared" si="12"/>
        <v>100</v>
      </c>
      <c r="T46" s="1558" t="s">
        <v>10</v>
      </c>
      <c r="U46" s="1559">
        <f t="shared" si="13"/>
        <v>100</v>
      </c>
      <c r="V46" s="1558" t="s">
        <v>10</v>
      </c>
      <c r="W46" s="1559">
        <f t="shared" si="14"/>
        <v>100</v>
      </c>
      <c r="X46" s="1552"/>
      <c r="Y46" s="3511"/>
      <c r="Z46" s="1560">
        <f t="shared" si="15"/>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404" t="str">
        <f>A47</f>
        <v>成交单价（元/平方米）</v>
      </c>
      <c r="Q47" s="3404"/>
      <c r="R47" s="3510">
        <f>E47</f>
        <v>0</v>
      </c>
      <c r="S47" s="3510"/>
      <c r="T47" s="3510">
        <f>G47</f>
        <v>0</v>
      </c>
      <c r="U47" s="3510"/>
      <c r="V47" s="3510">
        <f>I47</f>
        <v>0</v>
      </c>
      <c r="W47" s="3510"/>
      <c r="X47" s="1544"/>
      <c r="Y47" s="1566"/>
      <c r="Z47" s="1544"/>
      <c r="AA47" s="1544"/>
      <c r="AB47" s="1544"/>
      <c r="AC47" s="1544"/>
    </row>
    <row r="48" spans="1:29" ht="15.75" thickBot="1">
      <c r="A48" s="615" t="s">
        <v>2756</v>
      </c>
      <c r="B48" s="888"/>
      <c r="C48" s="2596" t="e">
        <f>R49</f>
        <v>#DIV/0!</v>
      </c>
      <c r="D48" s="2597"/>
      <c r="E48" s="2598" t="e">
        <f>R48</f>
        <v>#DIV/0!</v>
      </c>
      <c r="F48" s="2598"/>
      <c r="G48" s="2596" t="e">
        <f>T48</f>
        <v>#DIV/0!</v>
      </c>
      <c r="H48" s="2597"/>
      <c r="I48" s="2598" t="e">
        <f>V48</f>
        <v>#DIV/0!</v>
      </c>
      <c r="J48" s="2597"/>
      <c r="K48" s="1591"/>
      <c r="L48" s="2128"/>
      <c r="M48" s="2129"/>
      <c r="N48" s="2129"/>
      <c r="O48" s="2129"/>
      <c r="P48" s="3404" t="str">
        <f>A48</f>
        <v>比较价格（元/平方米）</v>
      </c>
      <c r="Q48" s="3404"/>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2"/>
      <c r="L49" s="2128"/>
      <c r="M49" s="2129"/>
      <c r="N49" s="2129"/>
      <c r="O49" s="2129"/>
      <c r="P49" s="3426" t="str">
        <f>A49</f>
        <v>估价对象XX用房的比较价格（楼面单价，元/平方米）</v>
      </c>
      <c r="Q49" s="3427"/>
      <c r="R49" s="3509" t="e">
        <f>IF(F1="售价",ROUND(AVERAGE(R48:V48),0),ROUND(AVERAGE(R48:V48),1))</f>
        <v>#DIV/0!</v>
      </c>
      <c r="S49" s="3509"/>
      <c r="T49" s="3509"/>
      <c r="U49" s="3509"/>
      <c r="V49" s="3509"/>
      <c r="W49" s="350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10" t="s">
        <v>522</v>
      </c>
      <c r="D4" s="3411"/>
      <c r="E4" s="3435" t="s">
        <v>523</v>
      </c>
      <c r="F4" s="3436"/>
      <c r="G4" s="3410" t="s">
        <v>524</v>
      </c>
      <c r="H4" s="3411"/>
      <c r="I4" s="3410" t="s">
        <v>525</v>
      </c>
      <c r="J4" s="3411"/>
      <c r="K4" s="514" t="s">
        <v>526</v>
      </c>
      <c r="L4" s="2117"/>
      <c r="M4" s="2118"/>
      <c r="N4" s="2118"/>
      <c r="O4" s="2118"/>
      <c r="P4" s="3412" t="s">
        <v>527</v>
      </c>
      <c r="Q4" s="3413"/>
      <c r="R4" s="3398" t="s">
        <v>523</v>
      </c>
      <c r="S4" s="3399"/>
      <c r="T4" s="3398" t="s">
        <v>524</v>
      </c>
      <c r="U4" s="3399"/>
      <c r="V4" s="3418" t="s">
        <v>525</v>
      </c>
      <c r="W4" s="3418"/>
      <c r="X4" s="1552"/>
      <c r="Y4" s="3398" t="s">
        <v>527</v>
      </c>
      <c r="Z4" s="3399"/>
      <c r="AA4" s="3393" t="s">
        <v>523</v>
      </c>
      <c r="AB4" s="3418" t="s">
        <v>524</v>
      </c>
      <c r="AC4" s="3393" t="s">
        <v>525</v>
      </c>
    </row>
    <row r="5" spans="1:29" ht="15">
      <c r="A5" s="515"/>
      <c r="B5" s="516"/>
      <c r="C5" s="3421" t="s">
        <v>2924</v>
      </c>
      <c r="D5" s="3422"/>
      <c r="E5" s="3437" t="s">
        <v>2925</v>
      </c>
      <c r="F5" s="3438"/>
      <c r="G5" s="3421" t="s">
        <v>2926</v>
      </c>
      <c r="H5" s="3422"/>
      <c r="I5" s="3421" t="s">
        <v>2927</v>
      </c>
      <c r="J5" s="3422"/>
      <c r="K5" s="514"/>
      <c r="L5" s="2117"/>
      <c r="M5" s="2118"/>
      <c r="N5" s="2118"/>
      <c r="O5" s="2118"/>
      <c r="P5" s="3414"/>
      <c r="Q5" s="3415"/>
      <c r="R5" s="3400"/>
      <c r="S5" s="3401"/>
      <c r="T5" s="3400"/>
      <c r="U5" s="3401"/>
      <c r="V5" s="3418"/>
      <c r="W5" s="3418"/>
      <c r="X5" s="1552"/>
      <c r="Y5" s="3400"/>
      <c r="Z5" s="3401"/>
      <c r="AA5" s="3394"/>
      <c r="AB5" s="3418"/>
      <c r="AC5" s="3394"/>
    </row>
    <row r="6" spans="1:29" ht="15.75" thickBot="1">
      <c r="A6" s="517"/>
      <c r="B6" s="518"/>
      <c r="C6" s="3439" t="s">
        <v>2928</v>
      </c>
      <c r="D6" s="3420"/>
      <c r="E6" s="3440" t="s">
        <v>2928</v>
      </c>
      <c r="F6" s="3441"/>
      <c r="G6" s="3439" t="s">
        <v>2928</v>
      </c>
      <c r="H6" s="3420"/>
      <c r="I6" s="3439" t="s">
        <v>2928</v>
      </c>
      <c r="J6" s="3420"/>
      <c r="K6" s="514" t="s">
        <v>528</v>
      </c>
      <c r="L6" s="2117"/>
      <c r="M6" s="2118"/>
      <c r="N6" s="2118"/>
      <c r="O6" s="2118"/>
      <c r="P6" s="3416"/>
      <c r="Q6" s="3417"/>
      <c r="R6" s="3400"/>
      <c r="S6" s="3401"/>
      <c r="T6" s="3402"/>
      <c r="U6" s="3403"/>
      <c r="V6" s="3418"/>
      <c r="W6" s="3418"/>
      <c r="X6" s="1552"/>
      <c r="Y6" s="3402"/>
      <c r="Z6" s="3403"/>
      <c r="AA6" s="3395"/>
      <c r="AB6" s="3418"/>
      <c r="AC6" s="3395"/>
    </row>
    <row r="7" spans="1:29" s="1214" customFormat="1" ht="15.75" thickBot="1">
      <c r="A7" s="2866"/>
      <c r="B7" s="2873" t="s">
        <v>529</v>
      </c>
      <c r="C7" s="519">
        <f>'数据-取费表'!B2</f>
        <v>43594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96" t="s">
        <v>530</v>
      </c>
      <c r="Q7" s="3405"/>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6" si="3">D8/F8</f>
        <v>#DIV/0!</v>
      </c>
      <c r="AB8" s="1556" t="e">
        <f t="shared" ref="AB8:AB46" si="4">D8/H8</f>
        <v>#DIV/0!</v>
      </c>
      <c r="AC8" s="1556" t="e">
        <f t="shared" ref="AC8:AC46" si="5">D8/J8</f>
        <v>#DIV/0!</v>
      </c>
    </row>
    <row r="9" spans="1:29" s="1214"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4"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4"/>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4"/>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4"/>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4"/>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06" t="s">
        <v>540</v>
      </c>
      <c r="Q15" s="1557" t="str">
        <f t="shared" si="6"/>
        <v>商业繁华度</v>
      </c>
      <c r="R15" s="1558" t="s">
        <v>8</v>
      </c>
      <c r="S15" s="1559">
        <f t="shared" si="0"/>
        <v>100</v>
      </c>
      <c r="T15" s="1558" t="s">
        <v>8</v>
      </c>
      <c r="U15" s="1559">
        <f t="shared" si="1"/>
        <v>100</v>
      </c>
      <c r="V15" s="1558" t="s">
        <v>8</v>
      </c>
      <c r="W15" s="1559">
        <f t="shared" si="2"/>
        <v>100</v>
      </c>
      <c r="X15" s="1552"/>
      <c r="Y15" s="3406"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07"/>
      <c r="Q16" s="1557"/>
      <c r="R16" s="1558"/>
      <c r="S16" s="1559"/>
      <c r="T16" s="1558"/>
      <c r="U16" s="1559"/>
      <c r="V16" s="1558"/>
      <c r="W16" s="1559"/>
      <c r="X16" s="1552"/>
      <c r="Y16" s="340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07"/>
      <c r="Q17" s="1557" t="str">
        <f>B17</f>
        <v>交通便捷度</v>
      </c>
      <c r="R17" s="1558" t="s">
        <v>8</v>
      </c>
      <c r="S17" s="1559">
        <f>F17</f>
        <v>100</v>
      </c>
      <c r="T17" s="1558" t="s">
        <v>8</v>
      </c>
      <c r="U17" s="1559">
        <f>H17</f>
        <v>100</v>
      </c>
      <c r="V17" s="1558" t="s">
        <v>8</v>
      </c>
      <c r="W17" s="1559">
        <f>J17</f>
        <v>100</v>
      </c>
      <c r="X17" s="1552"/>
      <c r="Y17" s="340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07"/>
      <c r="Q18" s="1557"/>
      <c r="R18" s="1558"/>
      <c r="S18" s="1559"/>
      <c r="T18" s="1558"/>
      <c r="U18" s="1559"/>
      <c r="V18" s="1558"/>
      <c r="W18" s="1559"/>
      <c r="X18" s="1552"/>
      <c r="Y18" s="3407"/>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07"/>
      <c r="Q19" s="1557" t="str">
        <f>B19</f>
        <v>公共配套设施</v>
      </c>
      <c r="R19" s="1558" t="s">
        <v>8</v>
      </c>
      <c r="S19" s="1559">
        <f>F19</f>
        <v>100</v>
      </c>
      <c r="T19" s="1558" t="s">
        <v>8</v>
      </c>
      <c r="U19" s="1559">
        <f>H19</f>
        <v>100</v>
      </c>
      <c r="V19" s="1558" t="s">
        <v>8</v>
      </c>
      <c r="W19" s="1559">
        <f>J19</f>
        <v>100</v>
      </c>
      <c r="X19" s="1552"/>
      <c r="Y19" s="340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07"/>
      <c r="Q20" s="1557"/>
      <c r="R20" s="1558"/>
      <c r="S20" s="1559"/>
      <c r="T20" s="1558"/>
      <c r="U20" s="1559"/>
      <c r="V20" s="1558"/>
      <c r="W20" s="1559"/>
      <c r="X20" s="1552"/>
      <c r="Y20" s="3407"/>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07"/>
      <c r="Q21" s="2542" t="str">
        <f>B21</f>
        <v>基础设施水平</v>
      </c>
      <c r="R21" s="1558" t="s">
        <v>8</v>
      </c>
      <c r="S21" s="1559">
        <f>F21</f>
        <v>100</v>
      </c>
      <c r="T21" s="1558" t="s">
        <v>8</v>
      </c>
      <c r="U21" s="1559">
        <f>H21</f>
        <v>100</v>
      </c>
      <c r="V21" s="1558" t="s">
        <v>8</v>
      </c>
      <c r="W21" s="1559">
        <f>J21</f>
        <v>100</v>
      </c>
      <c r="X21" s="2544"/>
      <c r="Y21" s="340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07"/>
      <c r="Q22" s="2542"/>
      <c r="R22" s="1558"/>
      <c r="S22" s="1559"/>
      <c r="T22" s="1558"/>
      <c r="U22" s="1559"/>
      <c r="V22" s="1558"/>
      <c r="W22" s="1559"/>
      <c r="X22" s="2544"/>
      <c r="Y22" s="3407"/>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07"/>
      <c r="Q23" s="1557" t="str">
        <f>B23</f>
        <v>自然及人文环境</v>
      </c>
      <c r="R23" s="1558" t="s">
        <v>8</v>
      </c>
      <c r="S23" s="1559">
        <f>F23</f>
        <v>100</v>
      </c>
      <c r="T23" s="1558" t="s">
        <v>8</v>
      </c>
      <c r="U23" s="1559">
        <f>H23</f>
        <v>100</v>
      </c>
      <c r="V23" s="1558" t="s">
        <v>8</v>
      </c>
      <c r="W23" s="1559">
        <f>J23</f>
        <v>100</v>
      </c>
      <c r="X23" s="1552"/>
      <c r="Y23" s="340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07"/>
      <c r="Q24" s="1557"/>
      <c r="R24" s="1558"/>
      <c r="S24" s="1559"/>
      <c r="T24" s="1558"/>
      <c r="U24" s="1559"/>
      <c r="V24" s="1558"/>
      <c r="W24" s="1559"/>
      <c r="X24" s="1552"/>
      <c r="Y24" s="340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7"/>
      <c r="Q25" s="1557" t="str">
        <f t="shared" ref="Q25:Q46" si="11">B25</f>
        <v>临街状况</v>
      </c>
      <c r="R25" s="1558" t="s">
        <v>8</v>
      </c>
      <c r="S25" s="1559">
        <f>F25</f>
        <v>100</v>
      </c>
      <c r="T25" s="1558" t="s">
        <v>8</v>
      </c>
      <c r="U25" s="1559">
        <f>H25</f>
        <v>100</v>
      </c>
      <c r="V25" s="1558" t="s">
        <v>8</v>
      </c>
      <c r="W25" s="1559">
        <f>J25</f>
        <v>100</v>
      </c>
      <c r="X25" s="1552"/>
      <c r="Y25" s="3407"/>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7"/>
      <c r="Q26" s="1557" t="str">
        <f t="shared" si="11"/>
        <v>平面位置/可视性</v>
      </c>
      <c r="R26" s="1558" t="s">
        <v>8</v>
      </c>
      <c r="S26" s="1559">
        <f>F26</f>
        <v>100</v>
      </c>
      <c r="T26" s="1558" t="s">
        <v>8</v>
      </c>
      <c r="U26" s="1559">
        <f>H26</f>
        <v>100</v>
      </c>
      <c r="V26" s="1558" t="s">
        <v>8</v>
      </c>
      <c r="W26" s="1559">
        <f>J26</f>
        <v>100</v>
      </c>
      <c r="X26" s="1552"/>
      <c r="Y26" s="3407"/>
      <c r="Z26" s="1560" t="str">
        <f>Q26</f>
        <v>平面位置/可视性</v>
      </c>
      <c r="AA26" s="1561">
        <f t="shared" si="3"/>
        <v>1</v>
      </c>
      <c r="AB26" s="1561">
        <f t="shared" si="4"/>
        <v>1</v>
      </c>
      <c r="AC26" s="1561">
        <f t="shared" si="5"/>
        <v>1</v>
      </c>
    </row>
    <row r="27" spans="1:29" s="1214"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07"/>
      <c r="Q27" s="1145" t="str">
        <f t="shared" si="11"/>
        <v>人流量</v>
      </c>
      <c r="R27" s="1553" t="s">
        <v>8</v>
      </c>
      <c r="S27" s="1554">
        <f>F27</f>
        <v>100</v>
      </c>
      <c r="T27" s="1553" t="s">
        <v>8</v>
      </c>
      <c r="U27" s="1554">
        <f>H27</f>
        <v>100</v>
      </c>
      <c r="V27" s="1553" t="s">
        <v>8</v>
      </c>
      <c r="W27" s="1554">
        <f>J27</f>
        <v>100</v>
      </c>
      <c r="X27" s="1555"/>
      <c r="Y27" s="3407"/>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7"/>
      <c r="Q29" s="1557">
        <f t="shared" si="11"/>
        <v>111</v>
      </c>
      <c r="R29" s="1558" t="s">
        <v>8</v>
      </c>
      <c r="S29" s="1559">
        <f t="shared" si="12"/>
        <v>100</v>
      </c>
      <c r="T29" s="1558" t="s">
        <v>8</v>
      </c>
      <c r="U29" s="1559">
        <f t="shared" si="13"/>
        <v>100</v>
      </c>
      <c r="V29" s="1558" t="s">
        <v>8</v>
      </c>
      <c r="W29" s="1559">
        <f t="shared" si="14"/>
        <v>100</v>
      </c>
      <c r="X29" s="1552"/>
      <c r="Y29" s="340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7"/>
      <c r="Q30" s="1557">
        <f t="shared" si="11"/>
        <v>111</v>
      </c>
      <c r="R30" s="1558" t="s">
        <v>8</v>
      </c>
      <c r="S30" s="1559">
        <f t="shared" si="12"/>
        <v>100</v>
      </c>
      <c r="T30" s="1558" t="s">
        <v>8</v>
      </c>
      <c r="U30" s="1559">
        <f t="shared" si="13"/>
        <v>100</v>
      </c>
      <c r="V30" s="1558" t="s">
        <v>8</v>
      </c>
      <c r="W30" s="1559">
        <f t="shared" si="14"/>
        <v>100</v>
      </c>
      <c r="X30" s="1552"/>
      <c r="Y30" s="3407"/>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7"/>
      <c r="Q31" s="1557">
        <f t="shared" si="11"/>
        <v>111</v>
      </c>
      <c r="R31" s="1558" t="s">
        <v>8</v>
      </c>
      <c r="S31" s="1559">
        <f t="shared" si="12"/>
        <v>100</v>
      </c>
      <c r="T31" s="1558" t="s">
        <v>8</v>
      </c>
      <c r="U31" s="1559">
        <f t="shared" si="13"/>
        <v>100</v>
      </c>
      <c r="V31" s="1558" t="s">
        <v>8</v>
      </c>
      <c r="W31" s="1559">
        <f t="shared" si="14"/>
        <v>100</v>
      </c>
      <c r="X31" s="1552"/>
      <c r="Y31" s="3407"/>
      <c r="Z31" s="1560">
        <f t="shared" si="15"/>
        <v>111</v>
      </c>
      <c r="AA31" s="1561">
        <f t="shared" si="3"/>
        <v>1</v>
      </c>
      <c r="AB31" s="1561">
        <f t="shared" si="4"/>
        <v>1</v>
      </c>
      <c r="AC31" s="1561">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8" t="s">
        <v>550</v>
      </c>
      <c r="Q32" s="1557" t="str">
        <f t="shared" si="11"/>
        <v>商业类型</v>
      </c>
      <c r="R32" s="1558" t="s">
        <v>8</v>
      </c>
      <c r="S32" s="1559">
        <f t="shared" si="12"/>
        <v>100</v>
      </c>
      <c r="T32" s="1558" t="s">
        <v>8</v>
      </c>
      <c r="U32" s="1559">
        <f t="shared" si="13"/>
        <v>100</v>
      </c>
      <c r="V32" s="1558" t="s">
        <v>8</v>
      </c>
      <c r="W32" s="1559">
        <f t="shared" si="14"/>
        <v>100</v>
      </c>
      <c r="X32" s="1552"/>
      <c r="Y32" s="3409" t="s">
        <v>550</v>
      </c>
      <c r="Z32" s="1560" t="str">
        <f t="shared" si="15"/>
        <v>商业类型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9"/>
      <c r="Q33" s="1589" t="str">
        <f t="shared" si="11"/>
        <v>项目建筑规模</v>
      </c>
      <c r="R33" s="1562" t="s">
        <v>8</v>
      </c>
      <c r="S33" s="1563" t="e">
        <f t="shared" si="12"/>
        <v>#N/A</v>
      </c>
      <c r="T33" s="1562" t="s">
        <v>8</v>
      </c>
      <c r="U33" s="1563" t="e">
        <f t="shared" si="13"/>
        <v>#N/A</v>
      </c>
      <c r="V33" s="1562" t="s">
        <v>8</v>
      </c>
      <c r="W33" s="1563" t="e">
        <f t="shared" si="14"/>
        <v>#N/A</v>
      </c>
      <c r="X33" s="1564"/>
      <c r="Y33" s="3409"/>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09"/>
      <c r="Q34" s="1557" t="str">
        <f t="shared" si="11"/>
        <v>建筑结构</v>
      </c>
      <c r="R34" s="1558" t="s">
        <v>8</v>
      </c>
      <c r="S34" s="1559">
        <f t="shared" si="12"/>
        <v>100</v>
      </c>
      <c r="T34" s="1558" t="s">
        <v>8</v>
      </c>
      <c r="U34" s="1559">
        <f t="shared" si="13"/>
        <v>100</v>
      </c>
      <c r="V34" s="1558" t="s">
        <v>8</v>
      </c>
      <c r="W34" s="1559">
        <f t="shared" si="14"/>
        <v>100</v>
      </c>
      <c r="X34" s="1552"/>
      <c r="Y34" s="3409"/>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9"/>
      <c r="Q35" s="1557" t="str">
        <f t="shared" si="11"/>
        <v>公共部分装修</v>
      </c>
      <c r="R35" s="1558" t="s">
        <v>8</v>
      </c>
      <c r="S35" s="1559">
        <f t="shared" si="12"/>
        <v>100</v>
      </c>
      <c r="T35" s="1558" t="s">
        <v>8</v>
      </c>
      <c r="U35" s="1559">
        <f t="shared" si="13"/>
        <v>100</v>
      </c>
      <c r="V35" s="1558" t="s">
        <v>8</v>
      </c>
      <c r="W35" s="1559">
        <f t="shared" si="14"/>
        <v>100</v>
      </c>
      <c r="X35" s="1552"/>
      <c r="Y35" s="3409"/>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09"/>
      <c r="Q36" s="1557" t="str">
        <f t="shared" si="11"/>
        <v>成新度</v>
      </c>
      <c r="R36" s="1558" t="s">
        <v>8</v>
      </c>
      <c r="S36" s="1559" t="e">
        <f t="shared" si="12"/>
        <v>#N/A</v>
      </c>
      <c r="T36" s="1558" t="s">
        <v>8</v>
      </c>
      <c r="U36" s="1559" t="e">
        <f t="shared" si="13"/>
        <v>#N/A</v>
      </c>
      <c r="V36" s="1558" t="s">
        <v>8</v>
      </c>
      <c r="W36" s="1559" t="e">
        <f t="shared" si="14"/>
        <v>#N/A</v>
      </c>
      <c r="X36" s="1552"/>
      <c r="Y36" s="3409"/>
      <c r="Z36" s="1560" t="str">
        <f t="shared" si="15"/>
        <v>成新度</v>
      </c>
      <c r="AA36" s="1561" t="e">
        <f t="shared" si="3"/>
        <v>#N/A</v>
      </c>
      <c r="AB36" s="1561" t="e">
        <f t="shared" si="4"/>
        <v>#N/A</v>
      </c>
      <c r="AC36" s="1561" t="e">
        <f t="shared" si="5"/>
        <v>#N/A</v>
      </c>
    </row>
    <row r="37" spans="1:29" s="1214"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9"/>
      <c r="Q37" s="1145" t="str">
        <f t="shared" si="11"/>
        <v>市政基础设施</v>
      </c>
      <c r="R37" s="1553" t="s">
        <v>8</v>
      </c>
      <c r="S37" s="1554">
        <f t="shared" si="12"/>
        <v>100</v>
      </c>
      <c r="T37" s="1553" t="s">
        <v>8</v>
      </c>
      <c r="U37" s="1554">
        <f t="shared" si="13"/>
        <v>100</v>
      </c>
      <c r="V37" s="1553" t="s">
        <v>8</v>
      </c>
      <c r="W37" s="1554">
        <f t="shared" si="14"/>
        <v>100</v>
      </c>
      <c r="X37" s="1555"/>
      <c r="Y37" s="3409"/>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9" t="s">
        <v>766</v>
      </c>
      <c r="Q38" s="1557" t="str">
        <f t="shared" si="11"/>
        <v>业态</v>
      </c>
      <c r="R38" s="1558" t="s">
        <v>8</v>
      </c>
      <c r="S38" s="1559">
        <f t="shared" si="12"/>
        <v>100</v>
      </c>
      <c r="T38" s="1558" t="s">
        <v>8</v>
      </c>
      <c r="U38" s="1559">
        <f t="shared" si="13"/>
        <v>100</v>
      </c>
      <c r="V38" s="1558" t="s">
        <v>8</v>
      </c>
      <c r="W38" s="1559">
        <f t="shared" si="14"/>
        <v>100</v>
      </c>
      <c r="X38" s="1552"/>
      <c r="Y38" s="3409"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9"/>
      <c r="Q39" s="1557" t="str">
        <f t="shared" si="11"/>
        <v>层高</v>
      </c>
      <c r="R39" s="1558" t="s">
        <v>8</v>
      </c>
      <c r="S39" s="1559">
        <f t="shared" si="12"/>
        <v>100</v>
      </c>
      <c r="T39" s="1558" t="s">
        <v>8</v>
      </c>
      <c r="U39" s="1559">
        <f t="shared" si="13"/>
        <v>100</v>
      </c>
      <c r="V39" s="1558" t="s">
        <v>8</v>
      </c>
      <c r="W39" s="1559">
        <f t="shared" si="14"/>
        <v>100</v>
      </c>
      <c r="X39" s="1552"/>
      <c r="Y39" s="3409"/>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09"/>
      <c r="Q40" s="1557" t="str">
        <f t="shared" si="11"/>
        <v>单套建筑面积</v>
      </c>
      <c r="R40" s="1558" t="s">
        <v>8</v>
      </c>
      <c r="S40" s="1559">
        <f t="shared" si="12"/>
        <v>100</v>
      </c>
      <c r="T40" s="1558" t="s">
        <v>8</v>
      </c>
      <c r="U40" s="1559">
        <f t="shared" si="13"/>
        <v>100</v>
      </c>
      <c r="V40" s="1558" t="s">
        <v>8</v>
      </c>
      <c r="W40" s="1559">
        <f t="shared" si="14"/>
        <v>100</v>
      </c>
      <c r="X40" s="1552"/>
      <c r="Y40" s="3409"/>
      <c r="Z40" s="1560" t="str">
        <f t="shared" si="15"/>
        <v>单套建筑面积</v>
      </c>
      <c r="AA40" s="1561">
        <f t="shared" si="3"/>
        <v>1</v>
      </c>
      <c r="AB40" s="1561">
        <f t="shared" si="4"/>
        <v>1</v>
      </c>
      <c r="AC40" s="1561">
        <f t="shared" si="5"/>
        <v>1</v>
      </c>
    </row>
    <row r="41" spans="1:29" s="1333"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9"/>
      <c r="Q41" s="1589" t="str">
        <f t="shared" si="11"/>
        <v>进深比</v>
      </c>
      <c r="R41" s="1562" t="s">
        <v>8</v>
      </c>
      <c r="S41" s="1563">
        <f t="shared" si="12"/>
        <v>100</v>
      </c>
      <c r="T41" s="1562" t="s">
        <v>8</v>
      </c>
      <c r="U41" s="1563">
        <f t="shared" si="13"/>
        <v>100</v>
      </c>
      <c r="V41" s="1562" t="s">
        <v>8</v>
      </c>
      <c r="W41" s="1563">
        <f t="shared" si="14"/>
        <v>100</v>
      </c>
      <c r="X41" s="1564"/>
      <c r="Y41" s="3409"/>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9"/>
      <c r="Q42" s="1557" t="str">
        <f t="shared" si="11"/>
        <v>内部装修</v>
      </c>
      <c r="R42" s="1558" t="s">
        <v>8</v>
      </c>
      <c r="S42" s="1559">
        <f t="shared" si="12"/>
        <v>100</v>
      </c>
      <c r="T42" s="1558" t="s">
        <v>8</v>
      </c>
      <c r="U42" s="1559">
        <f t="shared" si="13"/>
        <v>100</v>
      </c>
      <c r="V42" s="1558" t="s">
        <v>8</v>
      </c>
      <c r="W42" s="1559">
        <f t="shared" si="14"/>
        <v>100</v>
      </c>
      <c r="X42" s="1552"/>
      <c r="Y42" s="3409"/>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9"/>
      <c r="Q43" s="1557" t="str">
        <f t="shared" si="11"/>
        <v>内部装修维护情况</v>
      </c>
      <c r="R43" s="1558" t="s">
        <v>8</v>
      </c>
      <c r="S43" s="1559">
        <f t="shared" si="12"/>
        <v>100</v>
      </c>
      <c r="T43" s="1558" t="s">
        <v>8</v>
      </c>
      <c r="U43" s="1559">
        <f t="shared" si="13"/>
        <v>100</v>
      </c>
      <c r="V43" s="1558" t="s">
        <v>8</v>
      </c>
      <c r="W43" s="1559">
        <f t="shared" si="14"/>
        <v>100</v>
      </c>
      <c r="X43" s="1552"/>
      <c r="Y43" s="3409"/>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9"/>
      <c r="Q44" s="1145">
        <f t="shared" si="11"/>
        <v>111</v>
      </c>
      <c r="R44" s="1553" t="s">
        <v>8</v>
      </c>
      <c r="S44" s="1554">
        <f t="shared" si="12"/>
        <v>100</v>
      </c>
      <c r="T44" s="1553" t="s">
        <v>8</v>
      </c>
      <c r="U44" s="1554">
        <f t="shared" si="13"/>
        <v>100</v>
      </c>
      <c r="V44" s="1553" t="s">
        <v>8</v>
      </c>
      <c r="W44" s="1554">
        <f t="shared" si="14"/>
        <v>100</v>
      </c>
      <c r="X44" s="1555"/>
      <c r="Y44" s="3409"/>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9"/>
      <c r="Q45" s="1557">
        <f t="shared" si="11"/>
        <v>111</v>
      </c>
      <c r="R45" s="1558" t="s">
        <v>8</v>
      </c>
      <c r="S45" s="1559">
        <f t="shared" si="12"/>
        <v>100</v>
      </c>
      <c r="T45" s="1558" t="s">
        <v>8</v>
      </c>
      <c r="U45" s="1559">
        <f t="shared" si="13"/>
        <v>100</v>
      </c>
      <c r="V45" s="1558" t="s">
        <v>8</v>
      </c>
      <c r="W45" s="1559">
        <f t="shared" si="14"/>
        <v>100</v>
      </c>
      <c r="X45" s="1552"/>
      <c r="Y45" s="3409"/>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1"/>
      <c r="Q46" s="1557">
        <f t="shared" si="11"/>
        <v>111</v>
      </c>
      <c r="R46" s="1558" t="s">
        <v>8</v>
      </c>
      <c r="S46" s="1559">
        <f t="shared" si="12"/>
        <v>100</v>
      </c>
      <c r="T46" s="1558" t="s">
        <v>8</v>
      </c>
      <c r="U46" s="1559">
        <f t="shared" si="13"/>
        <v>100</v>
      </c>
      <c r="V46" s="1558" t="s">
        <v>8</v>
      </c>
      <c r="W46" s="1559">
        <f t="shared" si="14"/>
        <v>100</v>
      </c>
      <c r="X46" s="1552"/>
      <c r="Y46" s="3511"/>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404" t="str">
        <f>A47</f>
        <v>成交单价（元/平方米）</v>
      </c>
      <c r="Q47" s="3404"/>
      <c r="R47" s="3510">
        <f>E47</f>
        <v>0</v>
      </c>
      <c r="S47" s="3510"/>
      <c r="T47" s="3510">
        <f>G47</f>
        <v>0</v>
      </c>
      <c r="U47" s="3510"/>
      <c r="V47" s="3510">
        <f>I47</f>
        <v>0</v>
      </c>
      <c r="W47" s="3510"/>
      <c r="X47" s="1544"/>
      <c r="Y47" s="1566"/>
      <c r="Z47" s="1544"/>
      <c r="AA47" s="1544"/>
      <c r="AB47" s="1544"/>
      <c r="AC47" s="1544"/>
    </row>
    <row r="48" spans="1:29" ht="15.75" thickBot="1">
      <c r="A48" s="615" t="s">
        <v>2756</v>
      </c>
      <c r="B48" s="888"/>
      <c r="C48" s="2596" t="e">
        <f>R49</f>
        <v>#DIV/0!</v>
      </c>
      <c r="D48" s="2597"/>
      <c r="E48" s="2598" t="e">
        <f>R48</f>
        <v>#DIV/0!</v>
      </c>
      <c r="F48" s="2598"/>
      <c r="G48" s="2596" t="e">
        <f>T48</f>
        <v>#DIV/0!</v>
      </c>
      <c r="H48" s="2597"/>
      <c r="I48" s="2598" t="e">
        <f>V48</f>
        <v>#DIV/0!</v>
      </c>
      <c r="J48" s="2597"/>
      <c r="K48" s="1596"/>
      <c r="L48" s="2128"/>
      <c r="M48" s="2129"/>
      <c r="N48" s="2118"/>
      <c r="O48" s="2129"/>
      <c r="P48" s="3404" t="str">
        <f>A48</f>
        <v>比较价格（元/平方米）</v>
      </c>
      <c r="Q48" s="3404"/>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7"/>
      <c r="L49" s="2128"/>
      <c r="M49" s="2129"/>
      <c r="N49" s="2118"/>
      <c r="O49" s="2129"/>
      <c r="P49" s="3426" t="str">
        <f>A49</f>
        <v>估价对象XX用房的比较价格（楼面单价，元/平方米）</v>
      </c>
      <c r="Q49" s="3427"/>
      <c r="R49" s="3509" t="e">
        <f>IF(F1="售价",ROUND(AVERAGE(R48:V48),0),ROUND(AVERAGE(R48:V48),1))</f>
        <v>#DIV/0!</v>
      </c>
      <c r="S49" s="3509"/>
      <c r="T49" s="3509"/>
      <c r="U49" s="3509"/>
      <c r="V49" s="3509"/>
      <c r="W49" s="350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10" t="s">
        <v>522</v>
      </c>
      <c r="D4" s="3411"/>
      <c r="E4" s="3435" t="s">
        <v>523</v>
      </c>
      <c r="F4" s="3436"/>
      <c r="G4" s="3410" t="s">
        <v>524</v>
      </c>
      <c r="H4" s="3411"/>
      <c r="I4" s="3410" t="s">
        <v>525</v>
      </c>
      <c r="J4" s="3411"/>
      <c r="K4" s="514" t="s">
        <v>526</v>
      </c>
      <c r="L4" s="2117"/>
      <c r="M4" s="2118"/>
      <c r="N4" s="2118"/>
      <c r="O4" s="2118"/>
      <c r="P4" s="3512" t="s">
        <v>527</v>
      </c>
      <c r="Q4" s="3413"/>
      <c r="R4" s="3398" t="s">
        <v>523</v>
      </c>
      <c r="S4" s="3399"/>
      <c r="T4" s="3398" t="s">
        <v>524</v>
      </c>
      <c r="U4" s="3399"/>
      <c r="V4" s="3418" t="s">
        <v>525</v>
      </c>
      <c r="W4" s="3418"/>
      <c r="X4" s="1552"/>
      <c r="Y4" s="3398" t="s">
        <v>527</v>
      </c>
      <c r="Z4" s="3399"/>
      <c r="AA4" s="3393" t="s">
        <v>523</v>
      </c>
      <c r="AB4" s="3393" t="s">
        <v>524</v>
      </c>
      <c r="AC4" s="3393" t="s">
        <v>525</v>
      </c>
    </row>
    <row r="5" spans="1:29" ht="15">
      <c r="A5" s="515"/>
      <c r="B5" s="516"/>
      <c r="C5" s="3421" t="s">
        <v>2924</v>
      </c>
      <c r="D5" s="3422"/>
      <c r="E5" s="3437" t="s">
        <v>2925</v>
      </c>
      <c r="F5" s="3438"/>
      <c r="G5" s="3421" t="s">
        <v>2926</v>
      </c>
      <c r="H5" s="3422"/>
      <c r="I5" s="3421" t="s">
        <v>2927</v>
      </c>
      <c r="J5" s="3422"/>
      <c r="K5" s="514"/>
      <c r="L5" s="2117"/>
      <c r="M5" s="2118"/>
      <c r="N5" s="2118"/>
      <c r="O5" s="2118"/>
      <c r="P5" s="3513"/>
      <c r="Q5" s="3415"/>
      <c r="R5" s="3400"/>
      <c r="S5" s="3401"/>
      <c r="T5" s="3400"/>
      <c r="U5" s="3401"/>
      <c r="V5" s="3418"/>
      <c r="W5" s="3418"/>
      <c r="X5" s="1552"/>
      <c r="Y5" s="3400"/>
      <c r="Z5" s="3401"/>
      <c r="AA5" s="3394"/>
      <c r="AB5" s="3394"/>
      <c r="AC5" s="3394"/>
    </row>
    <row r="6" spans="1:29" ht="15.75" thickBot="1">
      <c r="A6" s="517"/>
      <c r="B6" s="518"/>
      <c r="C6" s="3439" t="s">
        <v>2928</v>
      </c>
      <c r="D6" s="3420"/>
      <c r="E6" s="3440" t="s">
        <v>2928</v>
      </c>
      <c r="F6" s="3441"/>
      <c r="G6" s="3439" t="s">
        <v>2928</v>
      </c>
      <c r="H6" s="3420"/>
      <c r="I6" s="3439" t="s">
        <v>2928</v>
      </c>
      <c r="J6" s="3420"/>
      <c r="K6" s="514" t="s">
        <v>528</v>
      </c>
      <c r="L6" s="2117"/>
      <c r="M6" s="2118"/>
      <c r="N6" s="2118"/>
      <c r="O6" s="2118"/>
      <c r="P6" s="3514"/>
      <c r="Q6" s="3417"/>
      <c r="R6" s="3400"/>
      <c r="S6" s="3401"/>
      <c r="T6" s="3402"/>
      <c r="U6" s="3403"/>
      <c r="V6" s="3418"/>
      <c r="W6" s="3418"/>
      <c r="X6" s="1552"/>
      <c r="Y6" s="3402"/>
      <c r="Z6" s="3403"/>
      <c r="AA6" s="3395"/>
      <c r="AB6" s="3395"/>
      <c r="AC6" s="3395"/>
    </row>
    <row r="7" spans="1:29" s="1214" customFormat="1" ht="15.75" thickBot="1">
      <c r="A7" s="2866"/>
      <c r="B7" s="2873" t="s">
        <v>529</v>
      </c>
      <c r="C7" s="519">
        <f>'数据-取费表'!B2</f>
        <v>43594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5" t="s">
        <v>530</v>
      </c>
      <c r="Q7" s="3405"/>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5" t="s">
        <v>533</v>
      </c>
      <c r="Q8" s="3397"/>
      <c r="R8" s="1553" t="s">
        <v>8</v>
      </c>
      <c r="S8" s="1554">
        <f t="shared" si="0"/>
        <v>0</v>
      </c>
      <c r="T8" s="1553" t="s">
        <v>8</v>
      </c>
      <c r="U8" s="1554">
        <f t="shared" si="1"/>
        <v>0</v>
      </c>
      <c r="V8" s="1553" t="s">
        <v>8</v>
      </c>
      <c r="W8" s="1554">
        <f t="shared" si="2"/>
        <v>0</v>
      </c>
      <c r="X8" s="1555"/>
      <c r="Y8" s="3396" t="s">
        <v>533</v>
      </c>
      <c r="Z8" s="3397"/>
      <c r="AA8" s="1556" t="e">
        <f t="shared" ref="AA8:AA47" si="3">D8/F8</f>
        <v>#DIV/0!</v>
      </c>
      <c r="AB8" s="1556" t="e">
        <f t="shared" ref="AB8:AB47" si="4">D8/H8</f>
        <v>#DIV/0!</v>
      </c>
      <c r="AC8" s="1556" t="e">
        <f t="shared" ref="AC8:AC47" si="5">D8/J8</f>
        <v>#DIV/0!</v>
      </c>
    </row>
    <row r="9" spans="1:29" s="1214"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4"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4"/>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4"/>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4"/>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4"/>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06" t="s">
        <v>540</v>
      </c>
      <c r="Q15" s="1557" t="str">
        <f t="shared" si="6"/>
        <v>办公集聚程度</v>
      </c>
      <c r="R15" s="1558" t="s">
        <v>8</v>
      </c>
      <c r="S15" s="1559">
        <f t="shared" si="0"/>
        <v>100</v>
      </c>
      <c r="T15" s="1558" t="s">
        <v>8</v>
      </c>
      <c r="U15" s="1559">
        <f t="shared" si="1"/>
        <v>100</v>
      </c>
      <c r="V15" s="1558" t="s">
        <v>8</v>
      </c>
      <c r="W15" s="1559">
        <f t="shared" si="2"/>
        <v>100</v>
      </c>
      <c r="X15" s="1552"/>
      <c r="Y15" s="340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07"/>
      <c r="Q16" s="1557"/>
      <c r="R16" s="1558"/>
      <c r="S16" s="1559"/>
      <c r="T16" s="1558"/>
      <c r="U16" s="1559"/>
      <c r="V16" s="1558"/>
      <c r="W16" s="1559"/>
      <c r="X16" s="1552"/>
      <c r="Y16" s="3407"/>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07"/>
      <c r="Q17" s="1557" t="str">
        <f>B17</f>
        <v>交通便捷度</v>
      </c>
      <c r="R17" s="1558" t="s">
        <v>8</v>
      </c>
      <c r="S17" s="1559">
        <f>F17</f>
        <v>100</v>
      </c>
      <c r="T17" s="1558" t="s">
        <v>8</v>
      </c>
      <c r="U17" s="1559">
        <f>H17</f>
        <v>100</v>
      </c>
      <c r="V17" s="1558" t="s">
        <v>8</v>
      </c>
      <c r="W17" s="1559">
        <f>J17</f>
        <v>100</v>
      </c>
      <c r="X17" s="1552"/>
      <c r="Y17" s="340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07"/>
      <c r="Q18" s="1557"/>
      <c r="R18" s="1558"/>
      <c r="S18" s="1559"/>
      <c r="T18" s="1558"/>
      <c r="U18" s="1559"/>
      <c r="V18" s="1558"/>
      <c r="W18" s="1559"/>
      <c r="X18" s="1552"/>
      <c r="Y18" s="3407"/>
      <c r="Z18" s="1560"/>
      <c r="AA18" s="1561">
        <v>1</v>
      </c>
      <c r="AB18" s="1561">
        <v>1</v>
      </c>
      <c r="AC18" s="1561">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07"/>
      <c r="Q19" s="1557" t="str">
        <f>B19</f>
        <v>公共配套设施</v>
      </c>
      <c r="R19" s="1558" t="s">
        <v>8</v>
      </c>
      <c r="S19" s="1559">
        <f>F19</f>
        <v>100</v>
      </c>
      <c r="T19" s="1558" t="s">
        <v>8</v>
      </c>
      <c r="U19" s="1559">
        <f>H19</f>
        <v>100</v>
      </c>
      <c r="V19" s="1558" t="s">
        <v>8</v>
      </c>
      <c r="W19" s="1559">
        <f>J19</f>
        <v>100</v>
      </c>
      <c r="X19" s="1552"/>
      <c r="Y19" s="340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07"/>
      <c r="Q20" s="1557"/>
      <c r="R20" s="1558"/>
      <c r="S20" s="1559"/>
      <c r="T20" s="1558"/>
      <c r="U20" s="1559"/>
      <c r="V20" s="1558"/>
      <c r="W20" s="1559"/>
      <c r="X20" s="1552"/>
      <c r="Y20" s="3407"/>
      <c r="Z20" s="1560"/>
      <c r="AA20" s="1561">
        <v>1</v>
      </c>
      <c r="AB20" s="1561">
        <v>1</v>
      </c>
      <c r="AC20" s="1561">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07"/>
      <c r="Q21" s="2542" t="str">
        <f>B21</f>
        <v>基础设施水平</v>
      </c>
      <c r="R21" s="1558" t="s">
        <v>8</v>
      </c>
      <c r="S21" s="1559">
        <f>F21</f>
        <v>100</v>
      </c>
      <c r="T21" s="1558" t="s">
        <v>8</v>
      </c>
      <c r="U21" s="1559">
        <f>H21</f>
        <v>100</v>
      </c>
      <c r="V21" s="1558" t="s">
        <v>8</v>
      </c>
      <c r="W21" s="1559">
        <f>J21</f>
        <v>100</v>
      </c>
      <c r="X21" s="2544"/>
      <c r="Y21" s="340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07"/>
      <c r="Q22" s="2542"/>
      <c r="R22" s="1558"/>
      <c r="S22" s="1559"/>
      <c r="T22" s="1558"/>
      <c r="U22" s="1559"/>
      <c r="V22" s="1558"/>
      <c r="W22" s="1559"/>
      <c r="X22" s="2544"/>
      <c r="Y22" s="3407"/>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07"/>
      <c r="Q23" s="1557" t="str">
        <f>B23</f>
        <v>环境质量</v>
      </c>
      <c r="R23" s="1558" t="s">
        <v>8</v>
      </c>
      <c r="S23" s="1559">
        <f>F23</f>
        <v>100</v>
      </c>
      <c r="T23" s="1558" t="s">
        <v>8</v>
      </c>
      <c r="U23" s="1559">
        <f>H23</f>
        <v>100</v>
      </c>
      <c r="V23" s="1558" t="s">
        <v>8</v>
      </c>
      <c r="W23" s="1559">
        <f>J23</f>
        <v>100</v>
      </c>
      <c r="X23" s="1552"/>
      <c r="Y23" s="340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07"/>
      <c r="Q24" s="1557"/>
      <c r="R24" s="1558"/>
      <c r="S24" s="1559"/>
      <c r="T24" s="1558"/>
      <c r="U24" s="1559"/>
      <c r="V24" s="1558"/>
      <c r="W24" s="1559"/>
      <c r="X24" s="1552"/>
      <c r="Y24" s="3407"/>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07"/>
      <c r="Q25" s="1557" t="str">
        <f>B25</f>
        <v>毗邻道路的类型与等级</v>
      </c>
      <c r="R25" s="1558" t="s">
        <v>8</v>
      </c>
      <c r="S25" s="1559">
        <f>F25</f>
        <v>100</v>
      </c>
      <c r="T25" s="1558" t="s">
        <v>8</v>
      </c>
      <c r="U25" s="1559">
        <f>H25</f>
        <v>100</v>
      </c>
      <c r="V25" s="1558" t="s">
        <v>8</v>
      </c>
      <c r="W25" s="1559">
        <f>J25</f>
        <v>100</v>
      </c>
      <c r="X25" s="1552"/>
      <c r="Y25" s="340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07"/>
      <c r="Q26" s="1557"/>
      <c r="R26" s="1558"/>
      <c r="S26" s="1559"/>
      <c r="T26" s="1558"/>
      <c r="U26" s="1559"/>
      <c r="V26" s="1558"/>
      <c r="W26" s="1559"/>
      <c r="X26" s="1552"/>
      <c r="Y26" s="340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7"/>
      <c r="Q27" s="1557" t="str">
        <f t="shared" ref="Q27:Q47" si="11">B27</f>
        <v>楼层</v>
      </c>
      <c r="R27" s="1558" t="s">
        <v>8</v>
      </c>
      <c r="S27" s="1559">
        <f>F27</f>
        <v>100</v>
      </c>
      <c r="T27" s="1558" t="s">
        <v>8</v>
      </c>
      <c r="U27" s="1559">
        <f>H27</f>
        <v>100</v>
      </c>
      <c r="V27" s="1558" t="s">
        <v>8</v>
      </c>
      <c r="W27" s="1559">
        <f>J27</f>
        <v>100</v>
      </c>
      <c r="X27" s="1552"/>
      <c r="Y27" s="3407"/>
      <c r="Z27" s="1560" t="str">
        <f>Q27</f>
        <v>楼层</v>
      </c>
      <c r="AA27" s="1561">
        <f t="shared" si="3"/>
        <v>1</v>
      </c>
      <c r="AB27" s="1561">
        <f t="shared" si="4"/>
        <v>1</v>
      </c>
      <c r="AC27" s="1561">
        <f t="shared" si="5"/>
        <v>1</v>
      </c>
    </row>
    <row r="28" spans="1:29" s="1214"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07"/>
      <c r="Q28" s="1145" t="str">
        <f t="shared" si="11"/>
        <v>朝向</v>
      </c>
      <c r="R28" s="1553" t="s">
        <v>8</v>
      </c>
      <c r="S28" s="1554">
        <f>F28</f>
        <v>100</v>
      </c>
      <c r="T28" s="1553" t="s">
        <v>8</v>
      </c>
      <c r="U28" s="1554">
        <f>H28</f>
        <v>100</v>
      </c>
      <c r="V28" s="1553" t="s">
        <v>8</v>
      </c>
      <c r="W28" s="1554">
        <f>J28</f>
        <v>100</v>
      </c>
      <c r="X28" s="1555"/>
      <c r="Y28" s="3407"/>
      <c r="Z28" s="1144"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07"/>
      <c r="Q29" s="1557">
        <f t="shared" si="11"/>
        <v>111</v>
      </c>
      <c r="R29" s="1558" t="s">
        <v>8</v>
      </c>
      <c r="S29" s="1559">
        <f t="shared" ref="S29:S47" si="12">F29</f>
        <v>100</v>
      </c>
      <c r="T29" s="1558" t="s">
        <v>8</v>
      </c>
      <c r="U29" s="1559">
        <f t="shared" ref="U29:U47" si="13">H29</f>
        <v>100</v>
      </c>
      <c r="V29" s="1558" t="s">
        <v>8</v>
      </c>
      <c r="W29" s="1559">
        <f t="shared" ref="W29:W47" si="14">J29</f>
        <v>100</v>
      </c>
      <c r="X29" s="1552"/>
      <c r="Y29" s="3407"/>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07"/>
      <c r="Q30" s="1557">
        <f t="shared" si="11"/>
        <v>111</v>
      </c>
      <c r="R30" s="1558" t="s">
        <v>8</v>
      </c>
      <c r="S30" s="1559">
        <f t="shared" si="12"/>
        <v>100</v>
      </c>
      <c r="T30" s="1558" t="s">
        <v>8</v>
      </c>
      <c r="U30" s="1559">
        <f t="shared" si="13"/>
        <v>100</v>
      </c>
      <c r="V30" s="1558" t="s">
        <v>8</v>
      </c>
      <c r="W30" s="1559">
        <f t="shared" si="14"/>
        <v>100</v>
      </c>
      <c r="X30" s="1552"/>
      <c r="Y30" s="3407"/>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07"/>
      <c r="Q31" s="1557">
        <f t="shared" si="11"/>
        <v>111</v>
      </c>
      <c r="R31" s="1558" t="s">
        <v>8</v>
      </c>
      <c r="S31" s="1559">
        <f t="shared" si="12"/>
        <v>100</v>
      </c>
      <c r="T31" s="1558" t="s">
        <v>8</v>
      </c>
      <c r="U31" s="1559">
        <f t="shared" si="13"/>
        <v>100</v>
      </c>
      <c r="V31" s="1558" t="s">
        <v>8</v>
      </c>
      <c r="W31" s="1559">
        <f t="shared" si="14"/>
        <v>100</v>
      </c>
      <c r="X31" s="1552"/>
      <c r="Y31" s="3407"/>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07"/>
      <c r="Q32" s="1557">
        <f t="shared" si="11"/>
        <v>111</v>
      </c>
      <c r="R32" s="1558" t="s">
        <v>8</v>
      </c>
      <c r="S32" s="1559">
        <f t="shared" si="12"/>
        <v>100</v>
      </c>
      <c r="T32" s="1558" t="s">
        <v>8</v>
      </c>
      <c r="U32" s="1559">
        <f t="shared" si="13"/>
        <v>100</v>
      </c>
      <c r="V32" s="1558" t="s">
        <v>8</v>
      </c>
      <c r="W32" s="1559">
        <f t="shared" si="14"/>
        <v>100</v>
      </c>
      <c r="X32" s="1552"/>
      <c r="Y32" s="3407"/>
      <c r="Z32" s="1560">
        <f t="shared" si="15"/>
        <v>111</v>
      </c>
      <c r="AA32" s="1561">
        <f t="shared" si="3"/>
        <v>1</v>
      </c>
      <c r="AB32" s="1561">
        <f t="shared" si="4"/>
        <v>1</v>
      </c>
      <c r="AC32" s="1561">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08" t="s">
        <v>550</v>
      </c>
      <c r="Q33" s="1557" t="str">
        <f t="shared" si="11"/>
        <v>建筑类型</v>
      </c>
      <c r="R33" s="1558" t="s">
        <v>8</v>
      </c>
      <c r="S33" s="1559">
        <f t="shared" si="12"/>
        <v>100</v>
      </c>
      <c r="T33" s="1558" t="s">
        <v>8</v>
      </c>
      <c r="U33" s="1559">
        <f t="shared" si="13"/>
        <v>100</v>
      </c>
      <c r="V33" s="1558" t="s">
        <v>8</v>
      </c>
      <c r="W33" s="1559">
        <f t="shared" si="14"/>
        <v>100</v>
      </c>
      <c r="X33" s="1552"/>
      <c r="Y33" s="3409" t="s">
        <v>550</v>
      </c>
      <c r="Z33" s="1560" t="str">
        <f t="shared" si="15"/>
        <v>建筑类型</v>
      </c>
      <c r="AA33" s="1561">
        <f t="shared" si="3"/>
        <v>1</v>
      </c>
      <c r="AB33" s="1561">
        <f t="shared" si="4"/>
        <v>1</v>
      </c>
      <c r="AC33" s="1561">
        <f t="shared" si="5"/>
        <v>1</v>
      </c>
    </row>
    <row r="34" spans="1:29" s="1333"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9"/>
      <c r="Q34" s="1589" t="str">
        <f t="shared" si="11"/>
        <v>项目建筑规模</v>
      </c>
      <c r="R34" s="1562" t="s">
        <v>8</v>
      </c>
      <c r="S34" s="1563" t="e">
        <f t="shared" si="12"/>
        <v>#N/A</v>
      </c>
      <c r="T34" s="1562" t="s">
        <v>8</v>
      </c>
      <c r="U34" s="1563" t="e">
        <f t="shared" si="13"/>
        <v>#N/A</v>
      </c>
      <c r="V34" s="1562" t="s">
        <v>8</v>
      </c>
      <c r="W34" s="1563" t="e">
        <f t="shared" si="14"/>
        <v>#N/A</v>
      </c>
      <c r="X34" s="1564"/>
      <c r="Y34" s="3409"/>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9"/>
      <c r="Q35" s="1557" t="str">
        <f t="shared" si="11"/>
        <v>建筑结构</v>
      </c>
      <c r="R35" s="1558" t="s">
        <v>8</v>
      </c>
      <c r="S35" s="1559">
        <f t="shared" si="12"/>
        <v>100</v>
      </c>
      <c r="T35" s="1558" t="s">
        <v>8</v>
      </c>
      <c r="U35" s="1559">
        <f t="shared" si="13"/>
        <v>100</v>
      </c>
      <c r="V35" s="1558" t="s">
        <v>8</v>
      </c>
      <c r="W35" s="1559">
        <f t="shared" si="14"/>
        <v>100</v>
      </c>
      <c r="X35" s="1552"/>
      <c r="Y35" s="3409"/>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9"/>
      <c r="Q36" s="1557" t="str">
        <f t="shared" si="11"/>
        <v>公共部分装修</v>
      </c>
      <c r="R36" s="1558" t="s">
        <v>8</v>
      </c>
      <c r="S36" s="1559">
        <f t="shared" si="12"/>
        <v>100</v>
      </c>
      <c r="T36" s="1558" t="s">
        <v>8</v>
      </c>
      <c r="U36" s="1559">
        <f t="shared" si="13"/>
        <v>100</v>
      </c>
      <c r="V36" s="1558" t="s">
        <v>8</v>
      </c>
      <c r="W36" s="1559">
        <f t="shared" si="14"/>
        <v>100</v>
      </c>
      <c r="X36" s="1552"/>
      <c r="Y36" s="3409"/>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09"/>
      <c r="Q37" s="1557" t="str">
        <f t="shared" si="11"/>
        <v>成新度</v>
      </c>
      <c r="R37" s="1558" t="s">
        <v>8</v>
      </c>
      <c r="S37" s="1559" t="e">
        <f t="shared" si="12"/>
        <v>#N/A</v>
      </c>
      <c r="T37" s="1558" t="s">
        <v>8</v>
      </c>
      <c r="U37" s="1559" t="e">
        <f t="shared" si="13"/>
        <v>#N/A</v>
      </c>
      <c r="V37" s="1558" t="s">
        <v>8</v>
      </c>
      <c r="W37" s="1559" t="e">
        <f t="shared" si="14"/>
        <v>#N/A</v>
      </c>
      <c r="X37" s="1552"/>
      <c r="Y37" s="3409"/>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9"/>
      <c r="Q38" s="1145" t="str">
        <f t="shared" si="11"/>
        <v>写字楼等级</v>
      </c>
      <c r="R38" s="1553" t="s">
        <v>8</v>
      </c>
      <c r="S38" s="1554">
        <f t="shared" si="12"/>
        <v>100</v>
      </c>
      <c r="T38" s="1553" t="s">
        <v>8</v>
      </c>
      <c r="U38" s="1554">
        <f t="shared" si="13"/>
        <v>100</v>
      </c>
      <c r="V38" s="1553" t="s">
        <v>8</v>
      </c>
      <c r="W38" s="1554">
        <f t="shared" si="14"/>
        <v>100</v>
      </c>
      <c r="X38" s="1555"/>
      <c r="Y38" s="3409"/>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9" t="s">
        <v>550</v>
      </c>
      <c r="Q39" s="1557" t="str">
        <f t="shared" si="11"/>
        <v>物业管理</v>
      </c>
      <c r="R39" s="1558" t="s">
        <v>8</v>
      </c>
      <c r="S39" s="1559">
        <f t="shared" si="12"/>
        <v>100</v>
      </c>
      <c r="T39" s="1558" t="s">
        <v>8</v>
      </c>
      <c r="U39" s="1559">
        <f t="shared" si="13"/>
        <v>100</v>
      </c>
      <c r="V39" s="1558" t="s">
        <v>8</v>
      </c>
      <c r="W39" s="1559">
        <f t="shared" si="14"/>
        <v>100</v>
      </c>
      <c r="X39" s="1552"/>
      <c r="Y39" s="3409" t="s">
        <v>550</v>
      </c>
      <c r="Z39" s="1560" t="str">
        <f t="shared" si="15"/>
        <v>物业管理</v>
      </c>
      <c r="AA39" s="1561">
        <f t="shared" si="3"/>
        <v>1</v>
      </c>
      <c r="AB39" s="1561">
        <f t="shared" si="4"/>
        <v>1</v>
      </c>
      <c r="AC39" s="1561">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9"/>
      <c r="Q40" s="1557" t="str">
        <f t="shared" si="11"/>
        <v>市政基础设施</v>
      </c>
      <c r="R40" s="1558" t="s">
        <v>8</v>
      </c>
      <c r="S40" s="1559">
        <f t="shared" si="12"/>
        <v>100</v>
      </c>
      <c r="T40" s="1558" t="s">
        <v>8</v>
      </c>
      <c r="U40" s="1559">
        <f t="shared" si="13"/>
        <v>100</v>
      </c>
      <c r="V40" s="1558" t="s">
        <v>8</v>
      </c>
      <c r="W40" s="1559">
        <f t="shared" si="14"/>
        <v>100</v>
      </c>
      <c r="X40" s="1552"/>
      <c r="Y40" s="3409"/>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9"/>
      <c r="Q41" s="1557" t="str">
        <f t="shared" si="11"/>
        <v>层高</v>
      </c>
      <c r="R41" s="1558" t="s">
        <v>8</v>
      </c>
      <c r="S41" s="1559">
        <f t="shared" si="12"/>
        <v>100</v>
      </c>
      <c r="T41" s="1558" t="s">
        <v>8</v>
      </c>
      <c r="U41" s="1559">
        <f t="shared" si="13"/>
        <v>100</v>
      </c>
      <c r="V41" s="1558" t="s">
        <v>8</v>
      </c>
      <c r="W41" s="1559">
        <f t="shared" si="14"/>
        <v>100</v>
      </c>
      <c r="X41" s="1552"/>
      <c r="Y41" s="3409"/>
      <c r="Z41" s="1560" t="str">
        <f t="shared" si="15"/>
        <v>层高</v>
      </c>
      <c r="AA41" s="1561">
        <f t="shared" si="3"/>
        <v>1</v>
      </c>
      <c r="AB41" s="1561">
        <f t="shared" si="4"/>
        <v>1</v>
      </c>
      <c r="AC41" s="1561">
        <f t="shared" si="5"/>
        <v>1</v>
      </c>
    </row>
    <row r="42" spans="1:29" s="1333"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9"/>
      <c r="Q42" s="1589" t="str">
        <f t="shared" si="11"/>
        <v>单套建筑面积</v>
      </c>
      <c r="R42" s="1562" t="s">
        <v>8</v>
      </c>
      <c r="S42" s="1563">
        <f t="shared" si="12"/>
        <v>100</v>
      </c>
      <c r="T42" s="1562" t="s">
        <v>8</v>
      </c>
      <c r="U42" s="1563">
        <f t="shared" si="13"/>
        <v>100</v>
      </c>
      <c r="V42" s="1562" t="s">
        <v>8</v>
      </c>
      <c r="W42" s="1563">
        <f t="shared" si="14"/>
        <v>100</v>
      </c>
      <c r="X42" s="1564"/>
      <c r="Y42" s="3409"/>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9"/>
      <c r="Q43" s="1557" t="str">
        <f t="shared" si="11"/>
        <v>内部装修</v>
      </c>
      <c r="R43" s="1558" t="s">
        <v>8</v>
      </c>
      <c r="S43" s="1559">
        <f t="shared" si="12"/>
        <v>100</v>
      </c>
      <c r="T43" s="1558" t="s">
        <v>8</v>
      </c>
      <c r="U43" s="1559">
        <f t="shared" si="13"/>
        <v>100</v>
      </c>
      <c r="V43" s="1558" t="s">
        <v>8</v>
      </c>
      <c r="W43" s="1559">
        <f t="shared" si="14"/>
        <v>100</v>
      </c>
      <c r="X43" s="1552"/>
      <c r="Y43" s="3409"/>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9"/>
      <c r="Q44" s="1557" t="str">
        <f t="shared" si="11"/>
        <v>内部装修维护情况</v>
      </c>
      <c r="R44" s="1558" t="s">
        <v>8</v>
      </c>
      <c r="S44" s="1559">
        <f t="shared" si="12"/>
        <v>100</v>
      </c>
      <c r="T44" s="1558" t="s">
        <v>8</v>
      </c>
      <c r="U44" s="1559">
        <f t="shared" si="13"/>
        <v>100</v>
      </c>
      <c r="V44" s="1558" t="s">
        <v>8</v>
      </c>
      <c r="W44" s="1559">
        <f t="shared" si="14"/>
        <v>100</v>
      </c>
      <c r="X44" s="1552"/>
      <c r="Y44" s="3409"/>
      <c r="Z44" s="1560" t="str">
        <f t="shared" si="15"/>
        <v>内部装修维护情况</v>
      </c>
      <c r="AA44" s="1561">
        <f t="shared" si="3"/>
        <v>1</v>
      </c>
      <c r="AB44" s="1561">
        <f t="shared" si="4"/>
        <v>1</v>
      </c>
      <c r="AC44" s="1561">
        <f t="shared" si="5"/>
        <v>1</v>
      </c>
    </row>
    <row r="45" spans="1:29" s="1214"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9"/>
      <c r="Q45" s="1145">
        <f t="shared" si="11"/>
        <v>111</v>
      </c>
      <c r="R45" s="1553" t="s">
        <v>8</v>
      </c>
      <c r="S45" s="1554">
        <f t="shared" si="12"/>
        <v>100</v>
      </c>
      <c r="T45" s="1553" t="s">
        <v>8</v>
      </c>
      <c r="U45" s="1554">
        <f t="shared" si="13"/>
        <v>100</v>
      </c>
      <c r="V45" s="1553" t="s">
        <v>8</v>
      </c>
      <c r="W45" s="1554">
        <f t="shared" si="14"/>
        <v>100</v>
      </c>
      <c r="X45" s="1555"/>
      <c r="Y45" s="3409"/>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9"/>
      <c r="Q46" s="1557">
        <f t="shared" si="11"/>
        <v>111</v>
      </c>
      <c r="R46" s="1558" t="s">
        <v>8</v>
      </c>
      <c r="S46" s="1559">
        <f t="shared" si="12"/>
        <v>100</v>
      </c>
      <c r="T46" s="1558" t="s">
        <v>8</v>
      </c>
      <c r="U46" s="1559">
        <f t="shared" si="13"/>
        <v>100</v>
      </c>
      <c r="V46" s="1558" t="s">
        <v>8</v>
      </c>
      <c r="W46" s="1559">
        <f t="shared" si="14"/>
        <v>100</v>
      </c>
      <c r="X46" s="1552"/>
      <c r="Y46" s="3409"/>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1"/>
      <c r="Q47" s="1557">
        <f t="shared" si="11"/>
        <v>111</v>
      </c>
      <c r="R47" s="1558" t="s">
        <v>8</v>
      </c>
      <c r="S47" s="1559">
        <f t="shared" si="12"/>
        <v>100</v>
      </c>
      <c r="T47" s="1558" t="s">
        <v>8</v>
      </c>
      <c r="U47" s="1559">
        <f t="shared" si="13"/>
        <v>100</v>
      </c>
      <c r="V47" s="1558" t="s">
        <v>8</v>
      </c>
      <c r="W47" s="1559">
        <f t="shared" si="14"/>
        <v>100</v>
      </c>
      <c r="X47" s="1552"/>
      <c r="Y47" s="3511"/>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27" t="str">
        <f>A48</f>
        <v>成交单价（元/平方米）</v>
      </c>
      <c r="Q48" s="3404"/>
      <c r="R48" s="3510">
        <f>E48</f>
        <v>0</v>
      </c>
      <c r="S48" s="3510"/>
      <c r="T48" s="3510">
        <f>G48</f>
        <v>0</v>
      </c>
      <c r="U48" s="3510"/>
      <c r="V48" s="3510">
        <f>I48</f>
        <v>0</v>
      </c>
      <c r="W48" s="3510"/>
      <c r="X48" s="1544"/>
      <c r="Y48" s="1566"/>
      <c r="Z48" s="1544"/>
      <c r="AA48" s="1544"/>
      <c r="AB48" s="1544"/>
      <c r="AC48" s="1544"/>
    </row>
    <row r="49" spans="1:29" ht="15.75" thickBot="1">
      <c r="A49" s="615" t="s">
        <v>2756</v>
      </c>
      <c r="B49" s="888"/>
      <c r="C49" s="2596" t="e">
        <f>R50</f>
        <v>#DIV/0!</v>
      </c>
      <c r="D49" s="2597"/>
      <c r="E49" s="2598" t="e">
        <f>R49</f>
        <v>#DIV/0!</v>
      </c>
      <c r="F49" s="2598"/>
      <c r="G49" s="2596" t="e">
        <f>T49</f>
        <v>#DIV/0!</v>
      </c>
      <c r="H49" s="2597"/>
      <c r="I49" s="2598" t="e">
        <f>V49</f>
        <v>#DIV/0!</v>
      </c>
      <c r="J49" s="2597"/>
      <c r="K49" s="1596"/>
      <c r="L49" s="2128"/>
      <c r="M49" s="2118"/>
      <c r="N49" s="2118"/>
      <c r="O49" s="2118"/>
      <c r="P49" s="3427" t="str">
        <f>A49</f>
        <v>比较价格（元/平方米）</v>
      </c>
      <c r="Q49" s="3404"/>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44"/>
      <c r="Y49" s="1544"/>
      <c r="Z49" s="1544"/>
      <c r="AA49" s="1544"/>
      <c r="AB49" s="1544"/>
      <c r="AC49" s="1544"/>
    </row>
    <row r="50" spans="1:29" ht="15.75" thickBot="1">
      <c r="A50" s="621" t="s">
        <v>2930</v>
      </c>
      <c r="B50" s="622"/>
      <c r="C50" s="2599" t="e">
        <f>R50</f>
        <v>#DIV/0!</v>
      </c>
      <c r="D50" s="2599"/>
      <c r="E50" s="2599"/>
      <c r="F50" s="2599"/>
      <c r="G50" s="2599"/>
      <c r="H50" s="2599"/>
      <c r="I50" s="2599"/>
      <c r="J50" s="2599"/>
      <c r="K50" s="1597"/>
      <c r="L50" s="2128"/>
      <c r="M50" s="2118"/>
      <c r="N50" s="2118"/>
      <c r="O50" s="2118"/>
      <c r="P50" s="3515" t="str">
        <f>A50</f>
        <v>估价对象XX用房的比较价格（楼面单价，元/平方米）</v>
      </c>
      <c r="Q50" s="3427"/>
      <c r="R50" s="3509" t="e">
        <f>IF(F1="售价",ROUND(AVERAGE(R49:V49),0),ROUND(AVERAGE(R49:V49),1))</f>
        <v>#DIV/0!</v>
      </c>
      <c r="S50" s="3509"/>
      <c r="T50" s="3509"/>
      <c r="U50" s="3509"/>
      <c r="V50" s="3509"/>
      <c r="W50" s="350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2019-5</v>
      </c>
      <c r="D59" s="2758">
        <f>EDATE(C59,-1)</f>
        <v>43556</v>
      </c>
      <c r="E59" s="2758">
        <f t="shared" ref="E59:O59" si="16">EDATE(D59,-1)</f>
        <v>43525</v>
      </c>
      <c r="F59" s="2758">
        <f t="shared" si="16"/>
        <v>43497</v>
      </c>
      <c r="G59" s="2758">
        <f t="shared" si="16"/>
        <v>43466</v>
      </c>
      <c r="H59" s="2758">
        <f t="shared" si="16"/>
        <v>43435</v>
      </c>
      <c r="I59" s="2758">
        <f t="shared" si="16"/>
        <v>43405</v>
      </c>
      <c r="J59" s="2758">
        <f t="shared" si="16"/>
        <v>43374</v>
      </c>
      <c r="K59" s="2758">
        <f t="shared" si="16"/>
        <v>43344</v>
      </c>
      <c r="L59" s="2758">
        <f t="shared" si="16"/>
        <v>43313</v>
      </c>
      <c r="M59" s="2758">
        <f t="shared" si="16"/>
        <v>43282</v>
      </c>
      <c r="N59" s="2758">
        <f t="shared" si="16"/>
        <v>43252</v>
      </c>
      <c r="O59" s="2758">
        <f t="shared" si="16"/>
        <v>43221</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10" t="s">
        <v>522</v>
      </c>
      <c r="D4" s="3411"/>
      <c r="E4" s="3435" t="s">
        <v>523</v>
      </c>
      <c r="F4" s="3436"/>
      <c r="G4" s="3410" t="s">
        <v>524</v>
      </c>
      <c r="H4" s="3411"/>
      <c r="I4" s="3410" t="s">
        <v>525</v>
      </c>
      <c r="J4" s="3411"/>
      <c r="K4" s="514" t="s">
        <v>526</v>
      </c>
      <c r="L4" s="2117"/>
      <c r="M4" s="2118"/>
      <c r="N4" s="2118"/>
      <c r="O4" s="2118"/>
      <c r="P4" s="3412" t="s">
        <v>527</v>
      </c>
      <c r="Q4" s="3413"/>
      <c r="R4" s="3398" t="s">
        <v>523</v>
      </c>
      <c r="S4" s="3399"/>
      <c r="T4" s="3398" t="s">
        <v>524</v>
      </c>
      <c r="U4" s="3399"/>
      <c r="V4" s="3418" t="s">
        <v>525</v>
      </c>
      <c r="W4" s="3418"/>
      <c r="X4" s="1552"/>
      <c r="Y4" s="3398" t="s">
        <v>527</v>
      </c>
      <c r="Z4" s="3399"/>
      <c r="AA4" s="3393" t="s">
        <v>523</v>
      </c>
      <c r="AB4" s="3394" t="s">
        <v>524</v>
      </c>
      <c r="AC4" s="3393" t="s">
        <v>525</v>
      </c>
    </row>
    <row r="5" spans="1:29" ht="15">
      <c r="A5" s="515"/>
      <c r="B5" s="516"/>
      <c r="C5" s="3421" t="s">
        <v>2924</v>
      </c>
      <c r="D5" s="3422"/>
      <c r="E5" s="3437" t="s">
        <v>2925</v>
      </c>
      <c r="F5" s="3438"/>
      <c r="G5" s="3421" t="s">
        <v>2926</v>
      </c>
      <c r="H5" s="3422"/>
      <c r="I5" s="3421" t="s">
        <v>2927</v>
      </c>
      <c r="J5" s="3422"/>
      <c r="K5" s="514"/>
      <c r="L5" s="2117"/>
      <c r="M5" s="2118"/>
      <c r="N5" s="2118"/>
      <c r="O5" s="2118"/>
      <c r="P5" s="3414"/>
      <c r="Q5" s="3415"/>
      <c r="R5" s="3400"/>
      <c r="S5" s="3401"/>
      <c r="T5" s="3400"/>
      <c r="U5" s="3401"/>
      <c r="V5" s="3418"/>
      <c r="W5" s="3418"/>
      <c r="X5" s="1552"/>
      <c r="Y5" s="3400"/>
      <c r="Z5" s="3401"/>
      <c r="AA5" s="3394"/>
      <c r="AB5" s="3394"/>
      <c r="AC5" s="3394"/>
    </row>
    <row r="6" spans="1:29" ht="15.75" thickBot="1">
      <c r="A6" s="517"/>
      <c r="B6" s="518"/>
      <c r="C6" s="3439" t="s">
        <v>2928</v>
      </c>
      <c r="D6" s="3420"/>
      <c r="E6" s="3440" t="s">
        <v>2928</v>
      </c>
      <c r="F6" s="3441"/>
      <c r="G6" s="3439" t="s">
        <v>2928</v>
      </c>
      <c r="H6" s="3420"/>
      <c r="I6" s="3439" t="s">
        <v>2928</v>
      </c>
      <c r="J6" s="3420"/>
      <c r="K6" s="514" t="s">
        <v>528</v>
      </c>
      <c r="L6" s="2117"/>
      <c r="M6" s="2118"/>
      <c r="N6" s="2118"/>
      <c r="O6" s="2118"/>
      <c r="P6" s="3416"/>
      <c r="Q6" s="3417"/>
      <c r="R6" s="3400"/>
      <c r="S6" s="3401"/>
      <c r="T6" s="3402"/>
      <c r="U6" s="3403"/>
      <c r="V6" s="3418"/>
      <c r="W6" s="3418"/>
      <c r="X6" s="1552"/>
      <c r="Y6" s="3402"/>
      <c r="Z6" s="3403"/>
      <c r="AA6" s="3395"/>
      <c r="AB6" s="3395"/>
      <c r="AC6" s="3395"/>
    </row>
    <row r="7" spans="1:29" s="1214" customFormat="1" ht="15.75" thickBot="1">
      <c r="A7" s="2866"/>
      <c r="B7" s="2873" t="s">
        <v>529</v>
      </c>
      <c r="C7" s="519">
        <f>'数据-取费表'!B2</f>
        <v>43594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96" t="s">
        <v>530</v>
      </c>
      <c r="Q7" s="3405"/>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0" si="3">D8/F8</f>
        <v>#DIV/0!</v>
      </c>
      <c r="AB8" s="1556" t="e">
        <f t="shared" ref="AB8:AB40" si="4">D8/H8</f>
        <v>#DIV/0!</v>
      </c>
      <c r="AC8" s="1556" t="e">
        <f t="shared" ref="AC8:AC40" si="5">D8/J8</f>
        <v>#DIV/0!</v>
      </c>
    </row>
    <row r="9" spans="1:29" s="1214"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4"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4"/>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4"/>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4"/>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4"/>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06" t="s">
        <v>540</v>
      </c>
      <c r="Q15" s="1557" t="str">
        <f t="shared" si="6"/>
        <v>产业集聚程度</v>
      </c>
      <c r="R15" s="1558" t="s">
        <v>8</v>
      </c>
      <c r="S15" s="1559">
        <f t="shared" si="0"/>
        <v>100</v>
      </c>
      <c r="T15" s="1558" t="s">
        <v>8</v>
      </c>
      <c r="U15" s="1559">
        <f t="shared" si="1"/>
        <v>100</v>
      </c>
      <c r="V15" s="1558" t="s">
        <v>8</v>
      </c>
      <c r="W15" s="1559">
        <f t="shared" si="2"/>
        <v>100</v>
      </c>
      <c r="X15" s="1552"/>
      <c r="Y15" s="3406"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07"/>
      <c r="Q16" s="1557"/>
      <c r="R16" s="1558"/>
      <c r="S16" s="1559"/>
      <c r="T16" s="1558"/>
      <c r="U16" s="1559"/>
      <c r="V16" s="1558"/>
      <c r="W16" s="1559"/>
      <c r="X16" s="1552"/>
      <c r="Y16" s="3407"/>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07"/>
      <c r="Q17" s="1557" t="str">
        <f>B17</f>
        <v>交通便捷度</v>
      </c>
      <c r="R17" s="1558" t="s">
        <v>8</v>
      </c>
      <c r="S17" s="1559">
        <f>F17</f>
        <v>100</v>
      </c>
      <c r="T17" s="1558" t="s">
        <v>8</v>
      </c>
      <c r="U17" s="1559">
        <f>H17</f>
        <v>100</v>
      </c>
      <c r="V17" s="1558" t="s">
        <v>8</v>
      </c>
      <c r="W17" s="1559">
        <f>J17</f>
        <v>100</v>
      </c>
      <c r="X17" s="1552"/>
      <c r="Y17" s="340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07"/>
      <c r="Q18" s="1557"/>
      <c r="R18" s="1558"/>
      <c r="S18" s="1559"/>
      <c r="T18" s="1558"/>
      <c r="U18" s="1559"/>
      <c r="V18" s="1558"/>
      <c r="W18" s="1559"/>
      <c r="X18" s="1552"/>
      <c r="Y18" s="3407"/>
      <c r="Z18" s="1560"/>
      <c r="AA18" s="1561">
        <v>1</v>
      </c>
      <c r="AB18" s="1561">
        <v>1</v>
      </c>
      <c r="AC18" s="1561">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07"/>
      <c r="Q19" s="1557" t="str">
        <f>B19</f>
        <v>公共配套设施</v>
      </c>
      <c r="R19" s="1558" t="s">
        <v>8</v>
      </c>
      <c r="S19" s="1559">
        <f>F19</f>
        <v>100</v>
      </c>
      <c r="T19" s="1558" t="s">
        <v>8</v>
      </c>
      <c r="U19" s="1559">
        <f>H19</f>
        <v>100</v>
      </c>
      <c r="V19" s="1558" t="s">
        <v>8</v>
      </c>
      <c r="W19" s="1559">
        <f>J19</f>
        <v>100</v>
      </c>
      <c r="X19" s="1552"/>
      <c r="Y19" s="340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07"/>
      <c r="Q20" s="1557"/>
      <c r="R20" s="1558"/>
      <c r="S20" s="1559"/>
      <c r="T20" s="1558"/>
      <c r="U20" s="1559"/>
      <c r="V20" s="1558"/>
      <c r="W20" s="1559"/>
      <c r="X20" s="1552"/>
      <c r="Y20" s="3407"/>
      <c r="Z20" s="1560"/>
      <c r="AA20" s="1561">
        <v>1</v>
      </c>
      <c r="AB20" s="1561">
        <v>1</v>
      </c>
      <c r="AC20" s="1561">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07"/>
      <c r="Q21" s="2542" t="str">
        <f>B21</f>
        <v>基础设施水平</v>
      </c>
      <c r="R21" s="1558" t="s">
        <v>8</v>
      </c>
      <c r="S21" s="1559">
        <f>F21</f>
        <v>100</v>
      </c>
      <c r="T21" s="1558" t="s">
        <v>8</v>
      </c>
      <c r="U21" s="1559">
        <f>H21</f>
        <v>100</v>
      </c>
      <c r="V21" s="1558" t="s">
        <v>8</v>
      </c>
      <c r="W21" s="1559">
        <f>J21</f>
        <v>100</v>
      </c>
      <c r="X21" s="2544"/>
      <c r="Y21" s="340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07"/>
      <c r="Q22" s="2542"/>
      <c r="R22" s="1558"/>
      <c r="S22" s="1559"/>
      <c r="T22" s="1558"/>
      <c r="U22" s="1559"/>
      <c r="V22" s="1558"/>
      <c r="W22" s="1559"/>
      <c r="X22" s="2544"/>
      <c r="Y22" s="3407"/>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07"/>
      <c r="Q23" s="1557" t="str">
        <f>B23</f>
        <v>环境质量</v>
      </c>
      <c r="R23" s="1558" t="s">
        <v>8</v>
      </c>
      <c r="S23" s="1559">
        <f>F23</f>
        <v>100</v>
      </c>
      <c r="T23" s="1558" t="s">
        <v>8</v>
      </c>
      <c r="U23" s="1559">
        <f>H23</f>
        <v>100</v>
      </c>
      <c r="V23" s="1558" t="s">
        <v>8</v>
      </c>
      <c r="W23" s="1559">
        <f>J23</f>
        <v>100</v>
      </c>
      <c r="X23" s="1552"/>
      <c r="Y23" s="340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07"/>
      <c r="Q24" s="1557"/>
      <c r="R24" s="1558"/>
      <c r="S24" s="1559"/>
      <c r="T24" s="1558"/>
      <c r="U24" s="1559"/>
      <c r="V24" s="1558"/>
      <c r="W24" s="1559"/>
      <c r="X24" s="1552"/>
      <c r="Y24" s="340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7"/>
      <c r="Q25" s="1557">
        <f>B25</f>
        <v>111</v>
      </c>
      <c r="R25" s="1558" t="s">
        <v>8</v>
      </c>
      <c r="S25" s="1559">
        <f>F25</f>
        <v>100</v>
      </c>
      <c r="T25" s="1558" t="s">
        <v>8</v>
      </c>
      <c r="U25" s="1559">
        <f>H25</f>
        <v>100</v>
      </c>
      <c r="V25" s="1558" t="s">
        <v>8</v>
      </c>
      <c r="W25" s="1559">
        <f>J25</f>
        <v>100</v>
      </c>
      <c r="X25" s="1552"/>
      <c r="Y25" s="340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7"/>
      <c r="Q26" s="1557">
        <f t="shared" ref="Q26:Q40" si="11">B26</f>
        <v>111</v>
      </c>
      <c r="R26" s="1558" t="s">
        <v>8</v>
      </c>
      <c r="S26" s="1559">
        <f>F26</f>
        <v>100</v>
      </c>
      <c r="T26" s="1558" t="s">
        <v>8</v>
      </c>
      <c r="U26" s="1559">
        <f>H26</f>
        <v>100</v>
      </c>
      <c r="V26" s="1558" t="s">
        <v>8</v>
      </c>
      <c r="W26" s="1559">
        <f>J26</f>
        <v>100</v>
      </c>
      <c r="X26" s="1552"/>
      <c r="Y26" s="3407"/>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7"/>
      <c r="Q27" s="1145">
        <f t="shared" si="11"/>
        <v>111</v>
      </c>
      <c r="R27" s="1553" t="s">
        <v>8</v>
      </c>
      <c r="S27" s="1554">
        <f>F27</f>
        <v>100</v>
      </c>
      <c r="T27" s="1553" t="s">
        <v>8</v>
      </c>
      <c r="U27" s="1554">
        <f>H27</f>
        <v>100</v>
      </c>
      <c r="V27" s="1553" t="s">
        <v>8</v>
      </c>
      <c r="W27" s="1554">
        <f>J27</f>
        <v>100</v>
      </c>
      <c r="X27" s="1555"/>
      <c r="Y27" s="3407"/>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07"/>
      <c r="Q28" s="1557">
        <f t="shared" si="11"/>
        <v>111</v>
      </c>
      <c r="R28" s="1558" t="s">
        <v>8</v>
      </c>
      <c r="S28" s="1559">
        <f t="shared" ref="S28:S40" si="12">F28</f>
        <v>100</v>
      </c>
      <c r="T28" s="1558" t="s">
        <v>8</v>
      </c>
      <c r="U28" s="1559">
        <f t="shared" ref="U28:U40" si="13">H28</f>
        <v>100</v>
      </c>
      <c r="V28" s="1558" t="s">
        <v>8</v>
      </c>
      <c r="W28" s="1559">
        <f t="shared" ref="W28:W40" si="14">J28</f>
        <v>100</v>
      </c>
      <c r="X28" s="1552"/>
      <c r="Y28" s="3407"/>
      <c r="Z28" s="1560">
        <f t="shared" ref="Z28:Z40" si="15">Q28</f>
        <v>111</v>
      </c>
      <c r="AA28" s="1561">
        <f t="shared" si="3"/>
        <v>1</v>
      </c>
      <c r="AB28" s="1561">
        <f t="shared" si="4"/>
        <v>1</v>
      </c>
      <c r="AC28" s="1561">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08" t="s">
        <v>550</v>
      </c>
      <c r="Q29" s="1557" t="str">
        <f t="shared" si="11"/>
        <v>建筑类型</v>
      </c>
      <c r="R29" s="1558" t="s">
        <v>8</v>
      </c>
      <c r="S29" s="1559">
        <f t="shared" si="12"/>
        <v>100</v>
      </c>
      <c r="T29" s="1558" t="s">
        <v>8</v>
      </c>
      <c r="U29" s="1559">
        <f t="shared" si="13"/>
        <v>100</v>
      </c>
      <c r="V29" s="1558" t="s">
        <v>8</v>
      </c>
      <c r="W29" s="1559">
        <f t="shared" si="14"/>
        <v>100</v>
      </c>
      <c r="X29" s="1552"/>
      <c r="Y29" s="3409" t="s">
        <v>550</v>
      </c>
      <c r="Z29" s="1560" t="str">
        <f t="shared" si="15"/>
        <v>建筑类型</v>
      </c>
      <c r="AA29" s="1561">
        <f t="shared" si="3"/>
        <v>1</v>
      </c>
      <c r="AB29" s="1561">
        <f t="shared" si="4"/>
        <v>1</v>
      </c>
      <c r="AC29" s="1561">
        <f t="shared" si="5"/>
        <v>1</v>
      </c>
    </row>
    <row r="30" spans="1:29" s="1333"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9"/>
      <c r="Q30" s="1589" t="str">
        <f t="shared" si="11"/>
        <v>项目建筑规模</v>
      </c>
      <c r="R30" s="1562" t="s">
        <v>8</v>
      </c>
      <c r="S30" s="1563" t="e">
        <f t="shared" si="12"/>
        <v>#N/A</v>
      </c>
      <c r="T30" s="1562" t="s">
        <v>8</v>
      </c>
      <c r="U30" s="1563" t="e">
        <f t="shared" si="13"/>
        <v>#N/A</v>
      </c>
      <c r="V30" s="1562" t="s">
        <v>8</v>
      </c>
      <c r="W30" s="1563" t="e">
        <f t="shared" si="14"/>
        <v>#N/A</v>
      </c>
      <c r="X30" s="1564"/>
      <c r="Y30" s="3409"/>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9"/>
      <c r="Q31" s="1557" t="str">
        <f t="shared" si="11"/>
        <v>建筑结构</v>
      </c>
      <c r="R31" s="1558" t="s">
        <v>8</v>
      </c>
      <c r="S31" s="1559">
        <f t="shared" si="12"/>
        <v>100</v>
      </c>
      <c r="T31" s="1558" t="s">
        <v>8</v>
      </c>
      <c r="U31" s="1559">
        <f t="shared" si="13"/>
        <v>100</v>
      </c>
      <c r="V31" s="1558" t="s">
        <v>8</v>
      </c>
      <c r="W31" s="1559">
        <f t="shared" si="14"/>
        <v>100</v>
      </c>
      <c r="X31" s="1552"/>
      <c r="Y31" s="3409"/>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9"/>
      <c r="Q32" s="1557" t="str">
        <f t="shared" si="11"/>
        <v>公共部分装修</v>
      </c>
      <c r="R32" s="1558" t="s">
        <v>8</v>
      </c>
      <c r="S32" s="1559">
        <f t="shared" si="12"/>
        <v>100</v>
      </c>
      <c r="T32" s="1558" t="s">
        <v>8</v>
      </c>
      <c r="U32" s="1559">
        <f t="shared" si="13"/>
        <v>100</v>
      </c>
      <c r="V32" s="1558" t="s">
        <v>8</v>
      </c>
      <c r="W32" s="1559">
        <f t="shared" si="14"/>
        <v>100</v>
      </c>
      <c r="X32" s="1552"/>
      <c r="Y32" s="3409"/>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09"/>
      <c r="Q33" s="1557" t="str">
        <f t="shared" si="11"/>
        <v>成新度</v>
      </c>
      <c r="R33" s="1558" t="s">
        <v>8</v>
      </c>
      <c r="S33" s="1559" t="e">
        <f t="shared" si="12"/>
        <v>#N/A</v>
      </c>
      <c r="T33" s="1558" t="s">
        <v>8</v>
      </c>
      <c r="U33" s="1559" t="e">
        <f t="shared" si="13"/>
        <v>#N/A</v>
      </c>
      <c r="V33" s="1558" t="s">
        <v>8</v>
      </c>
      <c r="W33" s="1559" t="e">
        <f t="shared" si="14"/>
        <v>#N/A</v>
      </c>
      <c r="X33" s="1552"/>
      <c r="Y33" s="3409"/>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9"/>
      <c r="Q34" s="1145" t="str">
        <f t="shared" si="11"/>
        <v>物业管理</v>
      </c>
      <c r="R34" s="1553" t="s">
        <v>8</v>
      </c>
      <c r="S34" s="1554">
        <f t="shared" si="12"/>
        <v>100</v>
      </c>
      <c r="T34" s="1553" t="s">
        <v>8</v>
      </c>
      <c r="U34" s="1554">
        <f t="shared" si="13"/>
        <v>100</v>
      </c>
      <c r="V34" s="1553" t="s">
        <v>8</v>
      </c>
      <c r="W34" s="1554">
        <f t="shared" si="14"/>
        <v>100</v>
      </c>
      <c r="X34" s="1555"/>
      <c r="Y34" s="3409"/>
      <c r="Z34" s="1144" t="str">
        <f t="shared" si="15"/>
        <v>物业管理</v>
      </c>
      <c r="AA34" s="1556">
        <f t="shared" si="3"/>
        <v>1</v>
      </c>
      <c r="AB34" s="1556">
        <f t="shared" si="4"/>
        <v>1</v>
      </c>
      <c r="AC34" s="1556">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9" t="s">
        <v>550</v>
      </c>
      <c r="Q35" s="1557" t="str">
        <f t="shared" si="11"/>
        <v>市政基础设施</v>
      </c>
      <c r="R35" s="1558" t="s">
        <v>8</v>
      </c>
      <c r="S35" s="1559">
        <f t="shared" si="12"/>
        <v>100</v>
      </c>
      <c r="T35" s="1558" t="s">
        <v>8</v>
      </c>
      <c r="U35" s="1559">
        <f t="shared" si="13"/>
        <v>100</v>
      </c>
      <c r="V35" s="1558" t="s">
        <v>8</v>
      </c>
      <c r="W35" s="1559">
        <f t="shared" si="14"/>
        <v>100</v>
      </c>
      <c r="X35" s="1552"/>
      <c r="Y35" s="3409"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9"/>
      <c r="Q36" s="1557" t="str">
        <f t="shared" si="11"/>
        <v>内部装修</v>
      </c>
      <c r="R36" s="1558" t="s">
        <v>8</v>
      </c>
      <c r="S36" s="1559">
        <f t="shared" si="12"/>
        <v>100</v>
      </c>
      <c r="T36" s="1558" t="s">
        <v>8</v>
      </c>
      <c r="U36" s="1559">
        <f t="shared" si="13"/>
        <v>100</v>
      </c>
      <c r="V36" s="1558" t="s">
        <v>8</v>
      </c>
      <c r="W36" s="1559">
        <f t="shared" si="14"/>
        <v>100</v>
      </c>
      <c r="X36" s="1552"/>
      <c r="Y36" s="3409"/>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9"/>
      <c r="Q37" s="1557" t="str">
        <f t="shared" si="11"/>
        <v>内部装修状况</v>
      </c>
      <c r="R37" s="1558" t="s">
        <v>8</v>
      </c>
      <c r="S37" s="1559">
        <f t="shared" si="12"/>
        <v>100</v>
      </c>
      <c r="T37" s="1558" t="s">
        <v>8</v>
      </c>
      <c r="U37" s="1559">
        <f t="shared" si="13"/>
        <v>100</v>
      </c>
      <c r="V37" s="1558" t="s">
        <v>8</v>
      </c>
      <c r="W37" s="1559">
        <f t="shared" si="14"/>
        <v>100</v>
      </c>
      <c r="X37" s="1552"/>
      <c r="Y37" s="3409"/>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09"/>
      <c r="Q38" s="1589">
        <f t="shared" si="11"/>
        <v>111</v>
      </c>
      <c r="R38" s="1562" t="s">
        <v>8</v>
      </c>
      <c r="S38" s="1563">
        <f t="shared" si="12"/>
        <v>100</v>
      </c>
      <c r="T38" s="1562" t="s">
        <v>8</v>
      </c>
      <c r="U38" s="1563">
        <f t="shared" si="13"/>
        <v>100</v>
      </c>
      <c r="V38" s="1562" t="s">
        <v>8</v>
      </c>
      <c r="W38" s="1563">
        <f t="shared" si="14"/>
        <v>100</v>
      </c>
      <c r="X38" s="1564"/>
      <c r="Y38" s="3409"/>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09"/>
      <c r="Q39" s="1557">
        <f t="shared" si="11"/>
        <v>111</v>
      </c>
      <c r="R39" s="1558" t="s">
        <v>8</v>
      </c>
      <c r="S39" s="1559">
        <f t="shared" si="12"/>
        <v>100</v>
      </c>
      <c r="T39" s="1558" t="s">
        <v>8</v>
      </c>
      <c r="U39" s="1559">
        <f t="shared" si="13"/>
        <v>100</v>
      </c>
      <c r="V39" s="1558" t="s">
        <v>8</v>
      </c>
      <c r="W39" s="1559">
        <f t="shared" si="14"/>
        <v>100</v>
      </c>
      <c r="X39" s="1552"/>
      <c r="Y39" s="3409"/>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1"/>
      <c r="Q40" s="1557">
        <f t="shared" si="11"/>
        <v>111</v>
      </c>
      <c r="R40" s="1558" t="s">
        <v>8</v>
      </c>
      <c r="S40" s="1559">
        <f t="shared" si="12"/>
        <v>100</v>
      </c>
      <c r="T40" s="1558" t="s">
        <v>8</v>
      </c>
      <c r="U40" s="1559">
        <f t="shared" si="13"/>
        <v>100</v>
      </c>
      <c r="V40" s="1558" t="s">
        <v>8</v>
      </c>
      <c r="W40" s="1559">
        <f t="shared" si="14"/>
        <v>100</v>
      </c>
      <c r="X40" s="1552"/>
      <c r="Y40" s="3511"/>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404" t="str">
        <f>A41</f>
        <v>成交单价（元/平方米）</v>
      </c>
      <c r="Q41" s="3404"/>
      <c r="R41" s="3510">
        <f>E41</f>
        <v>0</v>
      </c>
      <c r="S41" s="3510"/>
      <c r="T41" s="3510">
        <f>G41</f>
        <v>0</v>
      </c>
      <c r="U41" s="3510"/>
      <c r="V41" s="3510">
        <f>I41</f>
        <v>0</v>
      </c>
      <c r="W41" s="3510"/>
      <c r="X41" s="1544"/>
      <c r="Y41" s="1566"/>
      <c r="Z41" s="1544"/>
      <c r="AA41" s="1544"/>
      <c r="AB41" s="1544"/>
      <c r="AC41" s="1544"/>
    </row>
    <row r="42" spans="1:29" ht="15.75" thickBot="1">
      <c r="A42" s="615" t="s">
        <v>2756</v>
      </c>
      <c r="B42" s="888"/>
      <c r="C42" s="2596" t="e">
        <f>R43</f>
        <v>#DIV/0!</v>
      </c>
      <c r="D42" s="2597"/>
      <c r="E42" s="2598" t="e">
        <f>R42</f>
        <v>#DIV/0!</v>
      </c>
      <c r="F42" s="2598"/>
      <c r="G42" s="2596" t="e">
        <f>T42</f>
        <v>#DIV/0!</v>
      </c>
      <c r="H42" s="2597"/>
      <c r="I42" s="2598" t="e">
        <f>V42</f>
        <v>#DIV/0!</v>
      </c>
      <c r="J42" s="2597"/>
      <c r="K42" s="1596"/>
      <c r="L42" s="2128"/>
      <c r="M42" s="2129"/>
      <c r="N42" s="2118"/>
      <c r="O42" s="2129"/>
      <c r="P42" s="3404" t="str">
        <f>A42</f>
        <v>比较价格（元/平方米）</v>
      </c>
      <c r="Q42" s="3404"/>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44"/>
      <c r="Y42" s="1544"/>
      <c r="Z42" s="1544"/>
      <c r="AA42" s="1544"/>
      <c r="AB42" s="1544"/>
      <c r="AC42" s="1544"/>
    </row>
    <row r="43" spans="1:29" ht="15.75" thickBot="1">
      <c r="A43" s="621" t="s">
        <v>2930</v>
      </c>
      <c r="B43" s="622"/>
      <c r="C43" s="2599" t="e">
        <f>R43</f>
        <v>#DIV/0!</v>
      </c>
      <c r="D43" s="2599"/>
      <c r="E43" s="2599"/>
      <c r="F43" s="2599"/>
      <c r="G43" s="2599"/>
      <c r="H43" s="2599"/>
      <c r="I43" s="2599"/>
      <c r="J43" s="2599"/>
      <c r="K43" s="1597"/>
      <c r="L43" s="2128"/>
      <c r="M43" s="2129"/>
      <c r="N43" s="2129"/>
      <c r="O43" s="2129"/>
      <c r="P43" s="3426" t="str">
        <f>A43</f>
        <v>估价对象XX用房的比较价格（楼面单价，元/平方米）</v>
      </c>
      <c r="Q43" s="3427"/>
      <c r="R43" s="3509" t="e">
        <f>IF(F1="售价",ROUND(AVERAGE(R42:V42),0),ROUND(AVERAGE(R42:V42),1))</f>
        <v>#DIV/0!</v>
      </c>
      <c r="S43" s="3509"/>
      <c r="T43" s="3509"/>
      <c r="U43" s="3509"/>
      <c r="V43" s="3509"/>
      <c r="W43" s="350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2019-5</v>
      </c>
      <c r="D52" s="2758">
        <f>EDATE(C52,-1)</f>
        <v>43556</v>
      </c>
      <c r="E52" s="2758">
        <f t="shared" ref="E52:O52" si="16">EDATE(D52,-1)</f>
        <v>43525</v>
      </c>
      <c r="F52" s="2758">
        <f t="shared" si="16"/>
        <v>43497</v>
      </c>
      <c r="G52" s="2758">
        <f t="shared" si="16"/>
        <v>43466</v>
      </c>
      <c r="H52" s="2758">
        <f t="shared" si="16"/>
        <v>43435</v>
      </c>
      <c r="I52" s="2758">
        <f t="shared" si="16"/>
        <v>43405</v>
      </c>
      <c r="J52" s="2758">
        <f t="shared" si="16"/>
        <v>43374</v>
      </c>
      <c r="K52" s="2758">
        <f t="shared" si="16"/>
        <v>43344</v>
      </c>
      <c r="L52" s="2758">
        <f t="shared" si="16"/>
        <v>43313</v>
      </c>
      <c r="M52" s="2758">
        <f t="shared" si="16"/>
        <v>43282</v>
      </c>
      <c r="N52" s="2758">
        <f t="shared" si="16"/>
        <v>43252</v>
      </c>
      <c r="O52" s="2758">
        <f t="shared" si="16"/>
        <v>43221</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10" t="s">
        <v>798</v>
      </c>
      <c r="D4" s="3411"/>
      <c r="E4" s="3410" t="s">
        <v>799</v>
      </c>
      <c r="F4" s="3411"/>
      <c r="G4" s="3410" t="s">
        <v>800</v>
      </c>
      <c r="H4" s="3411"/>
      <c r="I4" s="3410" t="s">
        <v>801</v>
      </c>
      <c r="J4" s="3411"/>
      <c r="K4" s="514" t="s">
        <v>802</v>
      </c>
      <c r="L4" s="2117"/>
      <c r="M4" s="2118"/>
      <c r="N4" s="2118"/>
      <c r="O4" s="2118"/>
      <c r="P4" s="3412" t="s">
        <v>803</v>
      </c>
      <c r="Q4" s="3413"/>
      <c r="R4" s="3398" t="s">
        <v>799</v>
      </c>
      <c r="S4" s="3399"/>
      <c r="T4" s="3398" t="s">
        <v>800</v>
      </c>
      <c r="U4" s="3399"/>
      <c r="V4" s="3418" t="s">
        <v>801</v>
      </c>
      <c r="W4" s="3418"/>
      <c r="X4" s="1552"/>
      <c r="Y4" s="3398" t="s">
        <v>803</v>
      </c>
      <c r="Z4" s="3399"/>
      <c r="AA4" s="3393" t="s">
        <v>799</v>
      </c>
      <c r="AB4" s="3394" t="s">
        <v>800</v>
      </c>
      <c r="AC4" s="3393" t="s">
        <v>801</v>
      </c>
    </row>
    <row r="5" spans="1:29" ht="15">
      <c r="A5" s="515"/>
      <c r="B5" s="516"/>
      <c r="C5" s="3421" t="s">
        <v>2924</v>
      </c>
      <c r="D5" s="3422"/>
      <c r="E5" s="3421" t="s">
        <v>2925</v>
      </c>
      <c r="F5" s="3422"/>
      <c r="G5" s="3421" t="s">
        <v>2926</v>
      </c>
      <c r="H5" s="3422"/>
      <c r="I5" s="3421" t="s">
        <v>2927</v>
      </c>
      <c r="J5" s="3422"/>
      <c r="K5" s="514"/>
      <c r="L5" s="2117"/>
      <c r="M5" s="2118"/>
      <c r="N5" s="2118"/>
      <c r="O5" s="2118"/>
      <c r="P5" s="3414"/>
      <c r="Q5" s="3415"/>
      <c r="R5" s="3400"/>
      <c r="S5" s="3401"/>
      <c r="T5" s="3400"/>
      <c r="U5" s="3401"/>
      <c r="V5" s="3418"/>
      <c r="W5" s="3418"/>
      <c r="X5" s="1552"/>
      <c r="Y5" s="3400"/>
      <c r="Z5" s="3401"/>
      <c r="AA5" s="3394"/>
      <c r="AB5" s="3394"/>
      <c r="AC5" s="3394"/>
    </row>
    <row r="6" spans="1:29" ht="15.75" thickBot="1">
      <c r="A6" s="517"/>
      <c r="B6" s="518"/>
      <c r="C6" s="3439" t="s">
        <v>2928</v>
      </c>
      <c r="D6" s="3420"/>
      <c r="E6" s="3423" t="s">
        <v>2928</v>
      </c>
      <c r="F6" s="3424"/>
      <c r="G6" s="3439" t="s">
        <v>2928</v>
      </c>
      <c r="H6" s="3420"/>
      <c r="I6" s="3439" t="s">
        <v>2928</v>
      </c>
      <c r="J6" s="3420"/>
      <c r="K6" s="514" t="s">
        <v>528</v>
      </c>
      <c r="L6" s="2117"/>
      <c r="M6" s="2118"/>
      <c r="N6" s="2118"/>
      <c r="O6" s="2118"/>
      <c r="P6" s="3416"/>
      <c r="Q6" s="3417"/>
      <c r="R6" s="3400"/>
      <c r="S6" s="3401"/>
      <c r="T6" s="3402"/>
      <c r="U6" s="3403"/>
      <c r="V6" s="3418"/>
      <c r="W6" s="3418"/>
      <c r="X6" s="1552"/>
      <c r="Y6" s="3402"/>
      <c r="Z6" s="3403"/>
      <c r="AA6" s="3395"/>
      <c r="AB6" s="3395"/>
      <c r="AC6" s="3395"/>
    </row>
    <row r="7" spans="1:29" s="1214" customFormat="1" ht="15.75" thickBot="1">
      <c r="A7" s="2866"/>
      <c r="B7" s="2873" t="s">
        <v>529</v>
      </c>
      <c r="C7" s="519">
        <f>'数据-取费表'!B2</f>
        <v>43594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96" t="s">
        <v>530</v>
      </c>
      <c r="Q7" s="3405"/>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6" si="3">D8/F8</f>
        <v>#DIV/0!</v>
      </c>
      <c r="AB8" s="1556" t="e">
        <f t="shared" ref="AB8:AB36" si="4">D8/H8</f>
        <v>#DIV/0!</v>
      </c>
      <c r="AC8" s="1556" t="e">
        <f t="shared" ref="AC8:AC36" si="5">D8/J8</f>
        <v>#DIV/0!</v>
      </c>
    </row>
    <row r="9" spans="1:29" s="1214" customFormat="1" ht="15">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4"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4"/>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4"/>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4"/>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06" t="s">
        <v>540</v>
      </c>
      <c r="Q14" s="1557" t="str">
        <f t="shared" si="6"/>
        <v>交通便捷度</v>
      </c>
      <c r="R14" s="1558" t="s">
        <v>8</v>
      </c>
      <c r="S14" s="1559">
        <f t="shared" si="0"/>
        <v>100</v>
      </c>
      <c r="T14" s="1558" t="s">
        <v>8</v>
      </c>
      <c r="U14" s="1559">
        <f t="shared" si="1"/>
        <v>100</v>
      </c>
      <c r="V14" s="1558" t="s">
        <v>8</v>
      </c>
      <c r="W14" s="1559">
        <f t="shared" si="2"/>
        <v>100</v>
      </c>
      <c r="X14" s="1552"/>
      <c r="Y14" s="3406"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07"/>
      <c r="Q15" s="1557"/>
      <c r="R15" s="1558"/>
      <c r="S15" s="1559"/>
      <c r="T15" s="1558"/>
      <c r="U15" s="1559"/>
      <c r="V15" s="1558"/>
      <c r="W15" s="1559"/>
      <c r="X15" s="1552"/>
      <c r="Y15" s="3407"/>
      <c r="Z15" s="1560"/>
      <c r="AA15" s="1561">
        <v>1</v>
      </c>
      <c r="AB15" s="1561">
        <v>1</v>
      </c>
      <c r="AC15" s="1561">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07"/>
      <c r="Q16" s="1557" t="str">
        <f>B16</f>
        <v>公共配套设施</v>
      </c>
      <c r="R16" s="1558" t="s">
        <v>8</v>
      </c>
      <c r="S16" s="1559">
        <f>F16</f>
        <v>100</v>
      </c>
      <c r="T16" s="1558" t="s">
        <v>8</v>
      </c>
      <c r="U16" s="1559">
        <f>H16</f>
        <v>100</v>
      </c>
      <c r="V16" s="1558" t="s">
        <v>8</v>
      </c>
      <c r="W16" s="1559">
        <f>J16</f>
        <v>100</v>
      </c>
      <c r="X16" s="1552"/>
      <c r="Y16" s="340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07"/>
      <c r="Q17" s="1557"/>
      <c r="R17" s="1558"/>
      <c r="S17" s="1559"/>
      <c r="T17" s="1558"/>
      <c r="U17" s="1559"/>
      <c r="V17" s="1558"/>
      <c r="W17" s="1559"/>
      <c r="X17" s="1552"/>
      <c r="Y17" s="3407"/>
      <c r="Z17" s="1560"/>
      <c r="AA17" s="1561">
        <v>1</v>
      </c>
      <c r="AB17" s="1561">
        <v>1</v>
      </c>
      <c r="AC17" s="1561">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07"/>
      <c r="Q18" s="2542" t="str">
        <f>B18</f>
        <v>基础设施水平</v>
      </c>
      <c r="R18" s="1558" t="s">
        <v>8</v>
      </c>
      <c r="S18" s="1559">
        <f>F18</f>
        <v>100</v>
      </c>
      <c r="T18" s="1558" t="s">
        <v>8</v>
      </c>
      <c r="U18" s="1559">
        <f>H18</f>
        <v>100</v>
      </c>
      <c r="V18" s="1558" t="s">
        <v>8</v>
      </c>
      <c r="W18" s="1559">
        <f>J18</f>
        <v>100</v>
      </c>
      <c r="X18" s="2544"/>
      <c r="Y18" s="340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07"/>
      <c r="Q19" s="2542"/>
      <c r="R19" s="1558"/>
      <c r="S19" s="1559"/>
      <c r="T19" s="1558"/>
      <c r="U19" s="1559"/>
      <c r="V19" s="1558"/>
      <c r="W19" s="1559"/>
      <c r="X19" s="2544"/>
      <c r="Y19" s="3407"/>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07"/>
      <c r="Q20" s="1557" t="str">
        <f>B20</f>
        <v>自然及人文环境</v>
      </c>
      <c r="R20" s="1558" t="s">
        <v>8</v>
      </c>
      <c r="S20" s="1559">
        <f>F20</f>
        <v>100</v>
      </c>
      <c r="T20" s="1558" t="s">
        <v>8</v>
      </c>
      <c r="U20" s="1559">
        <f>H20</f>
        <v>100</v>
      </c>
      <c r="V20" s="1558" t="s">
        <v>8</v>
      </c>
      <c r="W20" s="1559">
        <f>J20</f>
        <v>100</v>
      </c>
      <c r="X20" s="1552"/>
      <c r="Y20" s="340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07"/>
      <c r="Q21" s="1557"/>
      <c r="R21" s="1558"/>
      <c r="S21" s="1559"/>
      <c r="T21" s="1558"/>
      <c r="U21" s="1559"/>
      <c r="V21" s="1558"/>
      <c r="W21" s="1559"/>
      <c r="X21" s="1552"/>
      <c r="Y21" s="340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7"/>
      <c r="Q22" s="1557" t="str">
        <f>B22</f>
        <v>楼层</v>
      </c>
      <c r="R22" s="1558" t="s">
        <v>8</v>
      </c>
      <c r="S22" s="1559">
        <f>F22</f>
        <v>100</v>
      </c>
      <c r="T22" s="1558" t="s">
        <v>8</v>
      </c>
      <c r="U22" s="1559">
        <f>H22</f>
        <v>100</v>
      </c>
      <c r="V22" s="1558" t="s">
        <v>8</v>
      </c>
      <c r="W22" s="1559">
        <f>J22</f>
        <v>100</v>
      </c>
      <c r="X22" s="1552"/>
      <c r="Y22" s="340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7"/>
      <c r="Q23" s="1557">
        <f>B23</f>
        <v>111</v>
      </c>
      <c r="R23" s="1558" t="s">
        <v>8</v>
      </c>
      <c r="S23" s="1559">
        <f>F23</f>
        <v>100</v>
      </c>
      <c r="T23" s="1558" t="s">
        <v>8</v>
      </c>
      <c r="U23" s="1559">
        <f>H23</f>
        <v>100</v>
      </c>
      <c r="V23" s="1558" t="s">
        <v>8</v>
      </c>
      <c r="W23" s="1559">
        <f>J23</f>
        <v>100</v>
      </c>
      <c r="X23" s="1552"/>
      <c r="Y23" s="340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7"/>
      <c r="Q24" s="1557">
        <f t="shared" ref="Q24:Q36" si="11">B24</f>
        <v>111</v>
      </c>
      <c r="R24" s="1558" t="s">
        <v>8</v>
      </c>
      <c r="S24" s="1559">
        <f>F24</f>
        <v>100</v>
      </c>
      <c r="T24" s="1558" t="s">
        <v>8</v>
      </c>
      <c r="U24" s="1559">
        <f>H24</f>
        <v>100</v>
      </c>
      <c r="V24" s="1558" t="s">
        <v>8</v>
      </c>
      <c r="W24" s="1559">
        <f>J24</f>
        <v>100</v>
      </c>
      <c r="X24" s="1552"/>
      <c r="Y24" s="3407"/>
      <c r="Z24" s="1560">
        <f>Q24</f>
        <v>111</v>
      </c>
      <c r="AA24" s="1561">
        <f t="shared" si="3"/>
        <v>1</v>
      </c>
      <c r="AB24" s="1561">
        <f t="shared" si="4"/>
        <v>1</v>
      </c>
      <c r="AC24" s="1561">
        <f t="shared" si="5"/>
        <v>1</v>
      </c>
    </row>
    <row r="25" spans="1:29" s="1214"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07"/>
      <c r="Q25" s="1145">
        <f t="shared" si="11"/>
        <v>111</v>
      </c>
      <c r="R25" s="1553" t="s">
        <v>8</v>
      </c>
      <c r="S25" s="1554">
        <f>F25</f>
        <v>100</v>
      </c>
      <c r="T25" s="1553" t="s">
        <v>8</v>
      </c>
      <c r="U25" s="1554">
        <f>H25</f>
        <v>100</v>
      </c>
      <c r="V25" s="1553" t="s">
        <v>8</v>
      </c>
      <c r="W25" s="1554">
        <f>J25</f>
        <v>100</v>
      </c>
      <c r="X25" s="1555"/>
      <c r="Y25" s="3407"/>
      <c r="Z25" s="1144">
        <f>Q25</f>
        <v>111</v>
      </c>
      <c r="AA25" s="1561">
        <f>D25/F25</f>
        <v>1</v>
      </c>
      <c r="AB25" s="1561">
        <f>D25/H25</f>
        <v>1</v>
      </c>
      <c r="AC25" s="1561">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9" t="s">
        <v>550</v>
      </c>
      <c r="Z26" s="1560" t="str">
        <f t="shared" ref="Z26:Z36" si="15">Q26</f>
        <v>配套类型</v>
      </c>
      <c r="AA26" s="1561">
        <f t="shared" si="3"/>
        <v>1</v>
      </c>
      <c r="AB26" s="1561">
        <f t="shared" si="4"/>
        <v>1</v>
      </c>
      <c r="AC26" s="1561">
        <f t="shared" si="5"/>
        <v>1</v>
      </c>
    </row>
    <row r="27" spans="1:29" s="1333"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09"/>
      <c r="Q27" s="1589" t="str">
        <f t="shared" si="11"/>
        <v>项目停车位配比</v>
      </c>
      <c r="R27" s="1562" t="s">
        <v>8</v>
      </c>
      <c r="S27" s="1563">
        <f t="shared" si="12"/>
        <v>100</v>
      </c>
      <c r="T27" s="1562" t="s">
        <v>8</v>
      </c>
      <c r="U27" s="1563">
        <f t="shared" si="13"/>
        <v>100</v>
      </c>
      <c r="V27" s="1562" t="s">
        <v>8</v>
      </c>
      <c r="W27" s="1563">
        <f t="shared" si="14"/>
        <v>100</v>
      </c>
      <c r="X27" s="1564"/>
      <c r="Y27" s="3409"/>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9"/>
      <c r="Q28" s="1557" t="str">
        <f t="shared" si="11"/>
        <v>公共部分装修</v>
      </c>
      <c r="R28" s="1558" t="s">
        <v>8</v>
      </c>
      <c r="S28" s="1559">
        <f t="shared" si="12"/>
        <v>100</v>
      </c>
      <c r="T28" s="1558" t="s">
        <v>8</v>
      </c>
      <c r="U28" s="1559">
        <f t="shared" si="13"/>
        <v>100</v>
      </c>
      <c r="V28" s="1558" t="s">
        <v>8</v>
      </c>
      <c r="W28" s="1559">
        <f t="shared" si="14"/>
        <v>100</v>
      </c>
      <c r="X28" s="1552"/>
      <c r="Y28" s="3409"/>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09"/>
      <c r="Q29" s="1557" t="str">
        <f t="shared" si="11"/>
        <v>成新率</v>
      </c>
      <c r="R29" s="1558" t="s">
        <v>8</v>
      </c>
      <c r="S29" s="1559" t="e">
        <f t="shared" si="12"/>
        <v>#N/A</v>
      </c>
      <c r="T29" s="1558" t="s">
        <v>8</v>
      </c>
      <c r="U29" s="1559" t="e">
        <f t="shared" si="13"/>
        <v>#N/A</v>
      </c>
      <c r="V29" s="1558" t="s">
        <v>8</v>
      </c>
      <c r="W29" s="1559" t="e">
        <f t="shared" si="14"/>
        <v>#N/A</v>
      </c>
      <c r="X29" s="1552"/>
      <c r="Y29" s="3409"/>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09"/>
      <c r="Q30" s="1557" t="str">
        <f t="shared" si="11"/>
        <v>物业等级</v>
      </c>
      <c r="R30" s="1558" t="s">
        <v>8</v>
      </c>
      <c r="S30" s="1559">
        <f t="shared" si="12"/>
        <v>100</v>
      </c>
      <c r="T30" s="1558" t="s">
        <v>8</v>
      </c>
      <c r="U30" s="1559">
        <f t="shared" si="13"/>
        <v>100</v>
      </c>
      <c r="V30" s="1558" t="s">
        <v>8</v>
      </c>
      <c r="W30" s="1559">
        <f t="shared" si="14"/>
        <v>100</v>
      </c>
      <c r="X30" s="1552"/>
      <c r="Y30" s="3409"/>
      <c r="Z30" s="1560" t="str">
        <f t="shared" si="15"/>
        <v>物业等级</v>
      </c>
      <c r="AA30" s="1561">
        <f t="shared" si="3"/>
        <v>1</v>
      </c>
      <c r="AB30" s="1561">
        <f t="shared" si="4"/>
        <v>1</v>
      </c>
      <c r="AC30" s="1561">
        <f t="shared" si="5"/>
        <v>1</v>
      </c>
    </row>
    <row r="31" spans="1:29" s="1214"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09"/>
      <c r="Q31" s="1145" t="str">
        <f t="shared" si="11"/>
        <v>停车位面积</v>
      </c>
      <c r="R31" s="1553" t="s">
        <v>8</v>
      </c>
      <c r="S31" s="1554" t="e">
        <f t="shared" si="12"/>
        <v>#N/A</v>
      </c>
      <c r="T31" s="1553" t="s">
        <v>8</v>
      </c>
      <c r="U31" s="1554" t="e">
        <f t="shared" si="13"/>
        <v>#N/A</v>
      </c>
      <c r="V31" s="1553" t="s">
        <v>8</v>
      </c>
      <c r="W31" s="1554" t="e">
        <f t="shared" si="14"/>
        <v>#N/A</v>
      </c>
      <c r="X31" s="1555"/>
      <c r="Y31" s="3409"/>
      <c r="Z31" s="1144"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9" t="s">
        <v>550</v>
      </c>
      <c r="Q32" s="1557" t="str">
        <f t="shared" si="11"/>
        <v>车位类型</v>
      </c>
      <c r="R32" s="1558" t="s">
        <v>8</v>
      </c>
      <c r="S32" s="1559">
        <f t="shared" si="12"/>
        <v>100</v>
      </c>
      <c r="T32" s="1558" t="s">
        <v>8</v>
      </c>
      <c r="U32" s="1559">
        <f t="shared" si="13"/>
        <v>100</v>
      </c>
      <c r="V32" s="1558" t="s">
        <v>8</v>
      </c>
      <c r="W32" s="1559">
        <f t="shared" si="14"/>
        <v>100</v>
      </c>
      <c r="X32" s="1552"/>
      <c r="Y32" s="3409"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9"/>
      <c r="Q33" s="1557" t="str">
        <f t="shared" si="11"/>
        <v>是否直接入户</v>
      </c>
      <c r="R33" s="1558" t="s">
        <v>8</v>
      </c>
      <c r="S33" s="1559">
        <f t="shared" si="12"/>
        <v>100</v>
      </c>
      <c r="T33" s="1558" t="s">
        <v>8</v>
      </c>
      <c r="U33" s="1559">
        <f t="shared" si="13"/>
        <v>100</v>
      </c>
      <c r="V33" s="1558" t="s">
        <v>8</v>
      </c>
      <c r="W33" s="1559">
        <f t="shared" si="14"/>
        <v>100</v>
      </c>
      <c r="X33" s="1552"/>
      <c r="Y33" s="3409"/>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9"/>
      <c r="Q34" s="1557">
        <f t="shared" si="11"/>
        <v>111</v>
      </c>
      <c r="R34" s="1558" t="s">
        <v>8</v>
      </c>
      <c r="S34" s="1559">
        <f t="shared" si="12"/>
        <v>100</v>
      </c>
      <c r="T34" s="1558" t="s">
        <v>8</v>
      </c>
      <c r="U34" s="1559">
        <f t="shared" si="13"/>
        <v>100</v>
      </c>
      <c r="V34" s="1558" t="s">
        <v>8</v>
      </c>
      <c r="W34" s="1559">
        <f t="shared" si="14"/>
        <v>100</v>
      </c>
      <c r="X34" s="1552"/>
      <c r="Y34" s="3409"/>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9"/>
      <c r="Q35" s="1589">
        <f t="shared" si="11"/>
        <v>111</v>
      </c>
      <c r="R35" s="1562" t="s">
        <v>8</v>
      </c>
      <c r="S35" s="1563">
        <f t="shared" si="12"/>
        <v>100</v>
      </c>
      <c r="T35" s="1562" t="s">
        <v>8</v>
      </c>
      <c r="U35" s="1563">
        <f t="shared" si="13"/>
        <v>100</v>
      </c>
      <c r="V35" s="1562" t="s">
        <v>8</v>
      </c>
      <c r="W35" s="1563">
        <f t="shared" si="14"/>
        <v>100</v>
      </c>
      <c r="X35" s="1564"/>
      <c r="Y35" s="3409"/>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9"/>
      <c r="Q36" s="1557">
        <f t="shared" si="11"/>
        <v>111</v>
      </c>
      <c r="R36" s="1558" t="s">
        <v>8</v>
      </c>
      <c r="S36" s="1559">
        <f t="shared" si="12"/>
        <v>100</v>
      </c>
      <c r="T36" s="1558" t="s">
        <v>8</v>
      </c>
      <c r="U36" s="1559">
        <f t="shared" si="13"/>
        <v>100</v>
      </c>
      <c r="V36" s="1558" t="s">
        <v>8</v>
      </c>
      <c r="W36" s="1559">
        <f t="shared" si="14"/>
        <v>100</v>
      </c>
      <c r="X36" s="1552"/>
      <c r="Y36" s="3409"/>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404" t="str">
        <f>A37</f>
        <v>成交单价</v>
      </c>
      <c r="Q37" s="3404"/>
      <c r="R37" s="3510">
        <f>E37</f>
        <v>0</v>
      </c>
      <c r="S37" s="3510"/>
      <c r="T37" s="3510">
        <f>G37</f>
        <v>0</v>
      </c>
      <c r="U37" s="3510"/>
      <c r="V37" s="3510">
        <f>I37</f>
        <v>0</v>
      </c>
      <c r="W37" s="3510"/>
      <c r="X37" s="1544"/>
      <c r="Y37" s="1566"/>
      <c r="Z37" s="1544"/>
      <c r="AA37" s="1544"/>
      <c r="AB37" s="1544"/>
      <c r="AC37" s="1544"/>
    </row>
    <row r="38" spans="1:29" ht="15.75" thickBot="1">
      <c r="A38" s="615" t="s">
        <v>2756</v>
      </c>
      <c r="B38" s="888"/>
      <c r="C38" s="2596" t="e">
        <f>R39</f>
        <v>#DIV/0!</v>
      </c>
      <c r="D38" s="2597"/>
      <c r="E38" s="2598" t="e">
        <f>R38</f>
        <v>#DIV/0!</v>
      </c>
      <c r="F38" s="2598"/>
      <c r="G38" s="2596" t="e">
        <f>T38</f>
        <v>#DIV/0!</v>
      </c>
      <c r="H38" s="2597"/>
      <c r="I38" s="2598" t="e">
        <f>V38</f>
        <v>#DIV/0!</v>
      </c>
      <c r="J38" s="2597"/>
      <c r="K38" s="1596"/>
      <c r="L38" s="2128"/>
      <c r="M38" s="2129"/>
      <c r="N38" s="2129"/>
      <c r="O38" s="2129"/>
      <c r="P38" s="3404" t="str">
        <f>A38</f>
        <v>比较价格（元/平方米）</v>
      </c>
      <c r="Q38" s="3404"/>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44"/>
      <c r="Y38" s="1544"/>
      <c r="Z38" s="1544"/>
      <c r="AA38" s="1544"/>
      <c r="AB38" s="1544"/>
      <c r="AC38" s="1544"/>
    </row>
    <row r="39" spans="1:29" ht="15.75" thickBot="1">
      <c r="A39" s="621" t="s">
        <v>2930</v>
      </c>
      <c r="B39" s="622"/>
      <c r="C39" s="2599" t="e">
        <f>R39</f>
        <v>#DIV/0!</v>
      </c>
      <c r="D39" s="2599"/>
      <c r="E39" s="2599"/>
      <c r="F39" s="2599"/>
      <c r="G39" s="2599"/>
      <c r="H39" s="2599"/>
      <c r="I39" s="2599"/>
      <c r="J39" s="2599"/>
      <c r="K39" s="1597"/>
      <c r="L39" s="2128"/>
      <c r="M39" s="2129"/>
      <c r="N39" s="2129"/>
      <c r="O39" s="2129"/>
      <c r="P39" s="3426" t="str">
        <f>A39</f>
        <v>估价对象XX用房的比较价格（楼面单价，元/平方米）</v>
      </c>
      <c r="Q39" s="3427"/>
      <c r="R39" s="3509" t="e">
        <f>IF(F1="售价",ROUND(AVERAGE(R38:V38),0),ROUND(AVERAGE(R38:V38),1))</f>
        <v>#DIV/0!</v>
      </c>
      <c r="S39" s="3509"/>
      <c r="T39" s="3509"/>
      <c r="U39" s="3509"/>
      <c r="V39" s="3509"/>
      <c r="W39" s="350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2019-5</v>
      </c>
      <c r="D48" s="2758">
        <f>EDATE(C48,-1)</f>
        <v>43556</v>
      </c>
      <c r="E48" s="2758">
        <f t="shared" ref="E48:O48" si="16">EDATE(D48,-1)</f>
        <v>43525</v>
      </c>
      <c r="F48" s="2758">
        <f t="shared" si="16"/>
        <v>43497</v>
      </c>
      <c r="G48" s="2758">
        <f t="shared" si="16"/>
        <v>43466</v>
      </c>
      <c r="H48" s="2758">
        <f t="shared" si="16"/>
        <v>43435</v>
      </c>
      <c r="I48" s="2758">
        <f t="shared" si="16"/>
        <v>43405</v>
      </c>
      <c r="J48" s="2758">
        <f t="shared" si="16"/>
        <v>43374</v>
      </c>
      <c r="K48" s="2758">
        <f t="shared" si="16"/>
        <v>43344</v>
      </c>
      <c r="L48" s="2758">
        <f t="shared" si="16"/>
        <v>43313</v>
      </c>
      <c r="M48" s="2758">
        <f t="shared" si="16"/>
        <v>43282</v>
      </c>
      <c r="N48" s="2758">
        <f t="shared" si="16"/>
        <v>43252</v>
      </c>
      <c r="O48" s="2758">
        <f t="shared" si="16"/>
        <v>43221</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10" t="s">
        <v>798</v>
      </c>
      <c r="D4" s="3411"/>
      <c r="E4" s="3435" t="s">
        <v>799</v>
      </c>
      <c r="F4" s="3436"/>
      <c r="G4" s="3410" t="s">
        <v>800</v>
      </c>
      <c r="H4" s="3411"/>
      <c r="I4" s="3410" t="s">
        <v>801</v>
      </c>
      <c r="J4" s="3411"/>
      <c r="K4" s="514" t="s">
        <v>802</v>
      </c>
      <c r="L4" s="2117"/>
      <c r="M4" s="2118"/>
      <c r="N4" s="2118"/>
      <c r="O4" s="2118"/>
      <c r="P4" s="3412" t="s">
        <v>803</v>
      </c>
      <c r="Q4" s="3413"/>
      <c r="R4" s="3398" t="s">
        <v>799</v>
      </c>
      <c r="S4" s="3399"/>
      <c r="T4" s="3398" t="s">
        <v>800</v>
      </c>
      <c r="U4" s="3399"/>
      <c r="V4" s="3418" t="s">
        <v>801</v>
      </c>
      <c r="W4" s="3418"/>
      <c r="X4" s="1552"/>
      <c r="Y4" s="3398" t="s">
        <v>803</v>
      </c>
      <c r="Z4" s="3399"/>
      <c r="AA4" s="3393" t="s">
        <v>799</v>
      </c>
      <c r="AB4" s="3394" t="s">
        <v>800</v>
      </c>
      <c r="AC4" s="3393" t="s">
        <v>801</v>
      </c>
    </row>
    <row r="5" spans="1:29" ht="15">
      <c r="A5" s="515"/>
      <c r="B5" s="516"/>
      <c r="C5" s="3421" t="s">
        <v>2924</v>
      </c>
      <c r="D5" s="3422"/>
      <c r="E5" s="3437" t="s">
        <v>2925</v>
      </c>
      <c r="F5" s="3438"/>
      <c r="G5" s="3421" t="s">
        <v>2926</v>
      </c>
      <c r="H5" s="3422"/>
      <c r="I5" s="3421" t="s">
        <v>2927</v>
      </c>
      <c r="J5" s="3422"/>
      <c r="K5" s="514"/>
      <c r="L5" s="2117"/>
      <c r="M5" s="2118"/>
      <c r="N5" s="2118"/>
      <c r="O5" s="2118"/>
      <c r="P5" s="3414"/>
      <c r="Q5" s="3415"/>
      <c r="R5" s="3400"/>
      <c r="S5" s="3401"/>
      <c r="T5" s="3400"/>
      <c r="U5" s="3401"/>
      <c r="V5" s="3418"/>
      <c r="W5" s="3418"/>
      <c r="X5" s="1552"/>
      <c r="Y5" s="3400"/>
      <c r="Z5" s="3401"/>
      <c r="AA5" s="3394"/>
      <c r="AB5" s="3394"/>
      <c r="AC5" s="3394"/>
    </row>
    <row r="6" spans="1:29" ht="15.75" thickBot="1">
      <c r="A6" s="517"/>
      <c r="B6" s="518"/>
      <c r="C6" s="3439" t="s">
        <v>2928</v>
      </c>
      <c r="D6" s="3420"/>
      <c r="E6" s="3440" t="s">
        <v>2928</v>
      </c>
      <c r="F6" s="3441"/>
      <c r="G6" s="3439" t="s">
        <v>2928</v>
      </c>
      <c r="H6" s="3420"/>
      <c r="I6" s="3439" t="s">
        <v>2928</v>
      </c>
      <c r="J6" s="3420"/>
      <c r="K6" s="514" t="s">
        <v>528</v>
      </c>
      <c r="L6" s="2117"/>
      <c r="M6" s="2118"/>
      <c r="N6" s="2118"/>
      <c r="O6" s="2118"/>
      <c r="P6" s="3416"/>
      <c r="Q6" s="3417"/>
      <c r="R6" s="3400"/>
      <c r="S6" s="3401"/>
      <c r="T6" s="3402"/>
      <c r="U6" s="3403"/>
      <c r="V6" s="3418"/>
      <c r="W6" s="3418"/>
      <c r="X6" s="1552"/>
      <c r="Y6" s="3402"/>
      <c r="Z6" s="3403"/>
      <c r="AA6" s="3395"/>
      <c r="AB6" s="3395"/>
      <c r="AC6" s="3395"/>
    </row>
    <row r="7" spans="1:29" s="1214" customFormat="1" ht="15.75" thickBot="1">
      <c r="A7" s="2866"/>
      <c r="B7" s="2873" t="s">
        <v>529</v>
      </c>
      <c r="C7" s="519">
        <f>'数据-取费表'!B2</f>
        <v>43594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96" t="s">
        <v>530</v>
      </c>
      <c r="Q7" s="3405"/>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4" si="3">D8/F8</f>
        <v>#DIV/0!</v>
      </c>
      <c r="AB8" s="1556" t="e">
        <f t="shared" ref="AB8:AB34" si="4">D8/H8</f>
        <v>#DIV/0!</v>
      </c>
      <c r="AC8" s="1556" t="e">
        <f t="shared" ref="AC8:AC34" si="5">D8/J8</f>
        <v>#DIV/0!</v>
      </c>
    </row>
    <row r="9" spans="1:29" s="1214"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4"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4"/>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4"/>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4"/>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4"/>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06" t="s">
        <v>540</v>
      </c>
      <c r="Q14" s="1557" t="str">
        <f t="shared" si="6"/>
        <v>交通便捷度</v>
      </c>
      <c r="R14" s="1558" t="s">
        <v>8</v>
      </c>
      <c r="S14" s="1559">
        <f t="shared" si="0"/>
        <v>100</v>
      </c>
      <c r="T14" s="1558" t="s">
        <v>8</v>
      </c>
      <c r="U14" s="1559">
        <f t="shared" si="1"/>
        <v>100</v>
      </c>
      <c r="V14" s="1558" t="s">
        <v>8</v>
      </c>
      <c r="W14" s="1559">
        <f t="shared" si="2"/>
        <v>100</v>
      </c>
      <c r="X14" s="1552"/>
      <c r="Y14" s="3406"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07"/>
      <c r="Q15" s="1557"/>
      <c r="R15" s="1558"/>
      <c r="S15" s="1559"/>
      <c r="T15" s="1558"/>
      <c r="U15" s="1559"/>
      <c r="V15" s="1558"/>
      <c r="W15" s="1559"/>
      <c r="X15" s="1552"/>
      <c r="Y15" s="3407"/>
      <c r="Z15" s="1560"/>
      <c r="AA15" s="1561">
        <v>1</v>
      </c>
      <c r="AB15" s="1561">
        <v>1</v>
      </c>
      <c r="AC15" s="1561">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07"/>
      <c r="Q16" s="1557" t="str">
        <f>B16</f>
        <v>公共配套设施</v>
      </c>
      <c r="R16" s="1558" t="s">
        <v>8</v>
      </c>
      <c r="S16" s="1559">
        <f>F16</f>
        <v>100</v>
      </c>
      <c r="T16" s="1558" t="s">
        <v>8</v>
      </c>
      <c r="U16" s="1559">
        <f>H16</f>
        <v>100</v>
      </c>
      <c r="V16" s="1558" t="s">
        <v>8</v>
      </c>
      <c r="W16" s="1559">
        <f>J16</f>
        <v>100</v>
      </c>
      <c r="X16" s="1552"/>
      <c r="Y16" s="340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07"/>
      <c r="Q17" s="1557"/>
      <c r="R17" s="1558"/>
      <c r="S17" s="1559"/>
      <c r="T17" s="1558"/>
      <c r="U17" s="1559"/>
      <c r="V17" s="1558"/>
      <c r="W17" s="1559"/>
      <c r="X17" s="1552"/>
      <c r="Y17" s="3407"/>
      <c r="Z17" s="1560"/>
      <c r="AA17" s="1561">
        <v>1</v>
      </c>
      <c r="AB17" s="1561">
        <v>1</v>
      </c>
      <c r="AC17" s="1561">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07"/>
      <c r="Q18" s="2542" t="str">
        <f>B18</f>
        <v>基础设施水平</v>
      </c>
      <c r="R18" s="1558" t="s">
        <v>8</v>
      </c>
      <c r="S18" s="1559">
        <f>F18</f>
        <v>100</v>
      </c>
      <c r="T18" s="1558" t="s">
        <v>8</v>
      </c>
      <c r="U18" s="1559">
        <f>H18</f>
        <v>100</v>
      </c>
      <c r="V18" s="1558" t="s">
        <v>8</v>
      </c>
      <c r="W18" s="1559">
        <f>J18</f>
        <v>100</v>
      </c>
      <c r="X18" s="2544"/>
      <c r="Y18" s="340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07"/>
      <c r="Q19" s="2542"/>
      <c r="R19" s="1558"/>
      <c r="S19" s="1559"/>
      <c r="T19" s="1558"/>
      <c r="U19" s="1559"/>
      <c r="V19" s="1558"/>
      <c r="W19" s="1559"/>
      <c r="X19" s="2544"/>
      <c r="Y19" s="3407"/>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07"/>
      <c r="Q20" s="1557" t="str">
        <f>B20</f>
        <v>自然及人文环境</v>
      </c>
      <c r="R20" s="1558" t="s">
        <v>8</v>
      </c>
      <c r="S20" s="1559">
        <f>F20</f>
        <v>100</v>
      </c>
      <c r="T20" s="1558" t="s">
        <v>8</v>
      </c>
      <c r="U20" s="1559">
        <f>H20</f>
        <v>100</v>
      </c>
      <c r="V20" s="1558" t="s">
        <v>8</v>
      </c>
      <c r="W20" s="1559">
        <f>J20</f>
        <v>100</v>
      </c>
      <c r="X20" s="1552"/>
      <c r="Y20" s="340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07"/>
      <c r="Q21" s="1557"/>
      <c r="R21" s="1558"/>
      <c r="S21" s="1559"/>
      <c r="T21" s="1558"/>
      <c r="U21" s="1559"/>
      <c r="V21" s="1558"/>
      <c r="W21" s="1559"/>
      <c r="X21" s="1552"/>
      <c r="Y21" s="3407"/>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7"/>
      <c r="Q22" s="1557" t="str">
        <f>B22</f>
        <v>楼层</v>
      </c>
      <c r="R22" s="1558" t="s">
        <v>8</v>
      </c>
      <c r="S22" s="1559">
        <f>F22</f>
        <v>100</v>
      </c>
      <c r="T22" s="1558" t="s">
        <v>8</v>
      </c>
      <c r="U22" s="1559">
        <f>H22</f>
        <v>100</v>
      </c>
      <c r="V22" s="1558" t="s">
        <v>8</v>
      </c>
      <c r="W22" s="1559">
        <f>J22</f>
        <v>100</v>
      </c>
      <c r="X22" s="1552"/>
      <c r="Y22" s="340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7"/>
      <c r="Q23" s="1557">
        <f>B23</f>
        <v>111</v>
      </c>
      <c r="R23" s="1558" t="s">
        <v>8</v>
      </c>
      <c r="S23" s="1559">
        <f>F23</f>
        <v>100</v>
      </c>
      <c r="T23" s="1558" t="s">
        <v>8</v>
      </c>
      <c r="U23" s="1559">
        <f>H23</f>
        <v>100</v>
      </c>
      <c r="V23" s="1558" t="s">
        <v>8</v>
      </c>
      <c r="W23" s="1559">
        <f>J23</f>
        <v>100</v>
      </c>
      <c r="X23" s="1552"/>
      <c r="Y23" s="340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7"/>
      <c r="Q24" s="1557">
        <f t="shared" ref="Q24:Q34" si="11">B24</f>
        <v>111</v>
      </c>
      <c r="R24" s="1558" t="s">
        <v>8</v>
      </c>
      <c r="S24" s="1559">
        <f>F24</f>
        <v>100</v>
      </c>
      <c r="T24" s="1558" t="s">
        <v>8</v>
      </c>
      <c r="U24" s="1559">
        <f>H24</f>
        <v>100</v>
      </c>
      <c r="V24" s="1558" t="s">
        <v>8</v>
      </c>
      <c r="W24" s="1559">
        <f>J24</f>
        <v>100</v>
      </c>
      <c r="X24" s="1552"/>
      <c r="Y24" s="3407"/>
      <c r="Z24" s="1560">
        <f>Q24</f>
        <v>111</v>
      </c>
      <c r="AA24" s="1561">
        <f t="shared" si="3"/>
        <v>1</v>
      </c>
      <c r="AB24" s="1561">
        <f t="shared" si="4"/>
        <v>1</v>
      </c>
      <c r="AC24" s="1561">
        <f t="shared" si="5"/>
        <v>1</v>
      </c>
    </row>
    <row r="25" spans="1:29" s="1214"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07"/>
      <c r="Q25" s="1145">
        <f t="shared" si="11"/>
        <v>111</v>
      </c>
      <c r="R25" s="1553" t="s">
        <v>8</v>
      </c>
      <c r="S25" s="1554">
        <f>F25</f>
        <v>100</v>
      </c>
      <c r="T25" s="1553" t="s">
        <v>8</v>
      </c>
      <c r="U25" s="1554">
        <f>H25</f>
        <v>100</v>
      </c>
      <c r="V25" s="1553" t="s">
        <v>8</v>
      </c>
      <c r="W25" s="1554">
        <f>J25</f>
        <v>100</v>
      </c>
      <c r="X25" s="1555"/>
      <c r="Y25" s="3407"/>
      <c r="Z25" s="1144">
        <f>Q25</f>
        <v>111</v>
      </c>
      <c r="AA25" s="1561">
        <f>D25/F25</f>
        <v>1</v>
      </c>
      <c r="AB25" s="1561">
        <f>D25/H25</f>
        <v>1</v>
      </c>
      <c r="AC25" s="1561">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0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9" t="s">
        <v>821</v>
      </c>
      <c r="Z26" s="1560" t="str">
        <f t="shared" ref="Z26:Z34" si="15">Q26</f>
        <v>公共部分装修</v>
      </c>
      <c r="AA26" s="1561">
        <f t="shared" si="3"/>
        <v>1</v>
      </c>
      <c r="AB26" s="1561">
        <f t="shared" si="4"/>
        <v>1</v>
      </c>
      <c r="AC26" s="1561">
        <f t="shared" si="5"/>
        <v>1</v>
      </c>
    </row>
    <row r="27" spans="1:29" s="1333"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09"/>
      <c r="Q27" s="1589" t="str">
        <f t="shared" si="11"/>
        <v>成新率</v>
      </c>
      <c r="R27" s="1562" t="s">
        <v>8</v>
      </c>
      <c r="S27" s="1563" t="e">
        <f t="shared" si="12"/>
        <v>#N/A</v>
      </c>
      <c r="T27" s="1562" t="s">
        <v>8</v>
      </c>
      <c r="U27" s="1563" t="e">
        <f t="shared" si="13"/>
        <v>#N/A</v>
      </c>
      <c r="V27" s="1562" t="s">
        <v>8</v>
      </c>
      <c r="W27" s="1563" t="e">
        <f t="shared" si="14"/>
        <v>#N/A</v>
      </c>
      <c r="X27" s="1564"/>
      <c r="Y27" s="3409"/>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9"/>
      <c r="Q28" s="1557" t="str">
        <f t="shared" si="11"/>
        <v>物业等级</v>
      </c>
      <c r="R28" s="1558" t="s">
        <v>8</v>
      </c>
      <c r="S28" s="1559">
        <f t="shared" si="12"/>
        <v>100</v>
      </c>
      <c r="T28" s="1558" t="s">
        <v>8</v>
      </c>
      <c r="U28" s="1559">
        <f t="shared" si="13"/>
        <v>100</v>
      </c>
      <c r="V28" s="1558" t="s">
        <v>8</v>
      </c>
      <c r="W28" s="1559">
        <f t="shared" si="14"/>
        <v>100</v>
      </c>
      <c r="X28" s="1552"/>
      <c r="Y28" s="3409"/>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09"/>
      <c r="Q29" s="1557" t="str">
        <f t="shared" si="11"/>
        <v>有无电梯</v>
      </c>
      <c r="R29" s="1558" t="s">
        <v>8</v>
      </c>
      <c r="S29" s="1559">
        <f t="shared" si="12"/>
        <v>100</v>
      </c>
      <c r="T29" s="1558" t="s">
        <v>8</v>
      </c>
      <c r="U29" s="1559">
        <f t="shared" si="13"/>
        <v>100</v>
      </c>
      <c r="V29" s="1558" t="s">
        <v>8</v>
      </c>
      <c r="W29" s="1559">
        <f t="shared" si="14"/>
        <v>100</v>
      </c>
      <c r="X29" s="1552"/>
      <c r="Y29" s="3409"/>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09"/>
      <c r="Q30" s="1557" t="str">
        <f t="shared" si="11"/>
        <v>建筑面积</v>
      </c>
      <c r="R30" s="1558" t="s">
        <v>8</v>
      </c>
      <c r="S30" s="1559" t="e">
        <f t="shared" si="12"/>
        <v>#N/A</v>
      </c>
      <c r="T30" s="1558" t="s">
        <v>8</v>
      </c>
      <c r="U30" s="1559" t="e">
        <f t="shared" si="13"/>
        <v>#N/A</v>
      </c>
      <c r="V30" s="1558" t="s">
        <v>8</v>
      </c>
      <c r="W30" s="1559" t="e">
        <f t="shared" si="14"/>
        <v>#N/A</v>
      </c>
      <c r="X30" s="1552"/>
      <c r="Y30" s="3409"/>
      <c r="Z30" s="1560" t="str">
        <f t="shared" si="15"/>
        <v>建筑面积</v>
      </c>
      <c r="AA30" s="1561" t="e">
        <f t="shared" si="3"/>
        <v>#N/A</v>
      </c>
      <c r="AB30" s="1561" t="e">
        <f t="shared" si="4"/>
        <v>#N/A</v>
      </c>
      <c r="AC30" s="1561" t="e">
        <f t="shared" si="5"/>
        <v>#N/A</v>
      </c>
    </row>
    <row r="31" spans="1:29" s="1214"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09"/>
      <c r="Q31" s="1145" t="str">
        <f t="shared" si="11"/>
        <v>是否封闭</v>
      </c>
      <c r="R31" s="1553" t="s">
        <v>8</v>
      </c>
      <c r="S31" s="1554">
        <f t="shared" si="12"/>
        <v>100</v>
      </c>
      <c r="T31" s="1553" t="s">
        <v>8</v>
      </c>
      <c r="U31" s="1554">
        <f t="shared" si="13"/>
        <v>100</v>
      </c>
      <c r="V31" s="1553" t="s">
        <v>8</v>
      </c>
      <c r="W31" s="1554">
        <f t="shared" si="14"/>
        <v>100</v>
      </c>
      <c r="X31" s="1555"/>
      <c r="Y31" s="3409"/>
      <c r="Z31" s="1144"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09" t="s">
        <v>550</v>
      </c>
      <c r="Q32" s="1557">
        <f t="shared" si="11"/>
        <v>111</v>
      </c>
      <c r="R32" s="1558" t="s">
        <v>8</v>
      </c>
      <c r="S32" s="1559">
        <f t="shared" si="12"/>
        <v>100</v>
      </c>
      <c r="T32" s="1558" t="s">
        <v>8</v>
      </c>
      <c r="U32" s="1559">
        <f t="shared" si="13"/>
        <v>100</v>
      </c>
      <c r="V32" s="1558" t="s">
        <v>8</v>
      </c>
      <c r="W32" s="1559">
        <f t="shared" si="14"/>
        <v>100</v>
      </c>
      <c r="X32" s="1552"/>
      <c r="Y32" s="3409"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09"/>
      <c r="Q33" s="1557">
        <f t="shared" si="11"/>
        <v>111</v>
      </c>
      <c r="R33" s="1558" t="s">
        <v>8</v>
      </c>
      <c r="S33" s="1559">
        <f t="shared" si="12"/>
        <v>100</v>
      </c>
      <c r="T33" s="1558" t="s">
        <v>8</v>
      </c>
      <c r="U33" s="1559">
        <f t="shared" si="13"/>
        <v>100</v>
      </c>
      <c r="V33" s="1558" t="s">
        <v>8</v>
      </c>
      <c r="W33" s="1559">
        <f t="shared" si="14"/>
        <v>100</v>
      </c>
      <c r="X33" s="1552"/>
      <c r="Y33" s="3409"/>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09"/>
      <c r="Q34" s="1557">
        <f t="shared" si="11"/>
        <v>111</v>
      </c>
      <c r="R34" s="1558" t="s">
        <v>8</v>
      </c>
      <c r="S34" s="1559">
        <f t="shared" si="12"/>
        <v>100</v>
      </c>
      <c r="T34" s="1558" t="s">
        <v>8</v>
      </c>
      <c r="U34" s="1559">
        <f t="shared" si="13"/>
        <v>100</v>
      </c>
      <c r="V34" s="1558" t="s">
        <v>8</v>
      </c>
      <c r="W34" s="1559">
        <f t="shared" si="14"/>
        <v>100</v>
      </c>
      <c r="X34" s="1552"/>
      <c r="Y34" s="3409"/>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404" t="str">
        <f>A35</f>
        <v>成交单价（元/平方米）</v>
      </c>
      <c r="Q35" s="3404"/>
      <c r="R35" s="3510">
        <f>E35</f>
        <v>0</v>
      </c>
      <c r="S35" s="3510"/>
      <c r="T35" s="3510">
        <f>G35</f>
        <v>0</v>
      </c>
      <c r="U35" s="3510"/>
      <c r="V35" s="3510">
        <f>I35</f>
        <v>0</v>
      </c>
      <c r="W35" s="3510"/>
      <c r="X35" s="1544"/>
      <c r="Y35" s="1566"/>
      <c r="Z35" s="1544"/>
      <c r="AA35" s="1544"/>
      <c r="AB35" s="1544"/>
      <c r="AC35" s="1544"/>
    </row>
    <row r="36" spans="1:29" ht="15.75" thickBot="1">
      <c r="A36" s="615" t="s">
        <v>2756</v>
      </c>
      <c r="B36" s="888"/>
      <c r="C36" s="2596" t="e">
        <f>R37</f>
        <v>#DIV/0!</v>
      </c>
      <c r="D36" s="2597"/>
      <c r="E36" s="2598" t="e">
        <f>R36</f>
        <v>#DIV/0!</v>
      </c>
      <c r="F36" s="2598"/>
      <c r="G36" s="2596" t="e">
        <f>T36</f>
        <v>#DIV/0!</v>
      </c>
      <c r="H36" s="2597"/>
      <c r="I36" s="2598" t="e">
        <f>V36</f>
        <v>#DIV/0!</v>
      </c>
      <c r="J36" s="2597"/>
      <c r="K36" s="1596"/>
      <c r="L36" s="2128"/>
      <c r="M36" s="2129"/>
      <c r="N36" s="2118"/>
      <c r="O36" s="2129"/>
      <c r="P36" s="3404" t="str">
        <f>A36</f>
        <v>比较价格（元/平方米）</v>
      </c>
      <c r="Q36" s="3404"/>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44"/>
      <c r="Y36" s="1544"/>
      <c r="Z36" s="1544"/>
      <c r="AA36" s="1544"/>
      <c r="AB36" s="1544"/>
      <c r="AC36" s="1544"/>
    </row>
    <row r="37" spans="1:29" ht="15.75" thickBot="1">
      <c r="A37" s="621" t="s">
        <v>2930</v>
      </c>
      <c r="B37" s="622"/>
      <c r="C37" s="2599" t="e">
        <f>R37</f>
        <v>#DIV/0!</v>
      </c>
      <c r="D37" s="2599"/>
      <c r="E37" s="2599"/>
      <c r="F37" s="2599"/>
      <c r="G37" s="2599"/>
      <c r="H37" s="2599"/>
      <c r="I37" s="2599"/>
      <c r="J37" s="2599"/>
      <c r="K37" s="1597"/>
      <c r="L37" s="2128"/>
      <c r="M37" s="2129"/>
      <c r="N37" s="2129"/>
      <c r="O37" s="2129"/>
      <c r="P37" s="3426" t="str">
        <f>A37</f>
        <v>估价对象XX用房的比较价格（楼面单价，元/平方米）</v>
      </c>
      <c r="Q37" s="3427"/>
      <c r="R37" s="3509" t="e">
        <f>IF(F1="售价",ROUND(AVERAGE(R36:V36),0),ROUND(AVERAGE(R36:V36),1))</f>
        <v>#DIV/0!</v>
      </c>
      <c r="S37" s="3509"/>
      <c r="T37" s="3509"/>
      <c r="U37" s="3509"/>
      <c r="V37" s="3509"/>
      <c r="W37" s="350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2019-5</v>
      </c>
      <c r="D46" s="2758">
        <f>EDATE(C46,-1)</f>
        <v>43556</v>
      </c>
      <c r="E46" s="2758">
        <f t="shared" ref="E46:O46" si="16">EDATE(D46,-1)</f>
        <v>43525</v>
      </c>
      <c r="F46" s="2758">
        <f t="shared" si="16"/>
        <v>43497</v>
      </c>
      <c r="G46" s="2758">
        <f t="shared" si="16"/>
        <v>43466</v>
      </c>
      <c r="H46" s="2758">
        <f t="shared" si="16"/>
        <v>43435</v>
      </c>
      <c r="I46" s="2758">
        <f t="shared" si="16"/>
        <v>43405</v>
      </c>
      <c r="J46" s="2758">
        <f t="shared" si="16"/>
        <v>43374</v>
      </c>
      <c r="K46" s="2758">
        <f t="shared" si="16"/>
        <v>43344</v>
      </c>
      <c r="L46" s="2758">
        <f t="shared" si="16"/>
        <v>43313</v>
      </c>
      <c r="M46" s="2758">
        <f t="shared" si="16"/>
        <v>43282</v>
      </c>
      <c r="N46" s="2758">
        <f t="shared" si="16"/>
        <v>43252</v>
      </c>
      <c r="O46" s="2758">
        <f t="shared" si="16"/>
        <v>43221</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五矿信托：</v>
      </c>
    </row>
    <row r="4" spans="1:4" ht="37.5">
      <c r="A4" s="1775" t="str">
        <f>"受贵公司委托，我公司对"&amp;项目基本情况!K2&amp;项目基本情况!B9&amp;"进行了预评估。"</f>
        <v>受贵公司委托，我公司对山东诸城出让国有建设用地使用权抵押价格进行了预评估。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7" spans="1:4" ht="93.75">
      <c r="A7" s="2827" t="s">
        <v>2744</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2019年5月9日（评估专业人员勘察现场之日）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根据《国有土地使用证》[诸国用（2013）第03046号]，本次评估估价对象证载（地类）用途为其他商服用地。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根据《国有土地使用证》[]，估价对象（分摊）出让国有建设用地使用权面积为37520平方米。根据《建设工程规划许可证》[]、《出让合同》[]，估价对象规划建筑面积为56280平方米。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2745</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3:M27"/>
  <sheetViews>
    <sheetView workbookViewId="0">
      <selection activeCell="O27" sqref="O27"/>
    </sheetView>
  </sheetViews>
  <sheetFormatPr defaultRowHeight="13.5"/>
  <sheetData>
    <row r="23" spans="13:13">
      <c r="M23">
        <v>1.67</v>
      </c>
    </row>
    <row r="24" spans="13:13">
      <c r="M24">
        <v>0.93</v>
      </c>
    </row>
    <row r="25" spans="13:13">
      <c r="M25">
        <v>1.04</v>
      </c>
    </row>
    <row r="27" spans="13:13">
      <c r="M27">
        <f>ROUND(AVERAGE(M23:M26),2)</f>
        <v>1.21</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21" sqref="L21"/>
      <selection pane="bottomLeft" activeCell="T21" sqref="T21"/>
    </sheetView>
  </sheetViews>
  <sheetFormatPr defaultColWidth="9" defaultRowHeight="12.75"/>
  <cols>
    <col min="1" max="1" width="11.5" style="1244" customWidth="1"/>
    <col min="2" max="2" width="9.25" style="1212" customWidth="1"/>
    <col min="3" max="3" width="11" style="1212" bestFit="1" customWidth="1"/>
    <col min="4" max="5" width="15.25" style="1212" bestFit="1" customWidth="1"/>
    <col min="6" max="6" width="16.375" style="1212" bestFit="1" customWidth="1"/>
    <col min="7" max="7" width="11" style="1212" bestFit="1"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2301</v>
      </c>
      <c r="C1" s="3519" t="s">
        <v>2302</v>
      </c>
      <c r="D1" s="3520"/>
      <c r="E1" s="3520"/>
      <c r="F1" s="3520"/>
      <c r="G1" s="3520"/>
      <c r="H1" s="3520"/>
      <c r="I1" s="3520"/>
      <c r="J1" s="3520"/>
      <c r="K1" s="3520"/>
      <c r="L1" s="3520"/>
      <c r="M1" s="3520"/>
      <c r="N1" s="3520"/>
      <c r="O1" s="3520"/>
      <c r="P1" s="3520"/>
      <c r="Q1" s="3520"/>
      <c r="R1" s="3520"/>
      <c r="S1" s="3521"/>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206" t="s">
        <v>1959</v>
      </c>
      <c r="C2" s="949" t="str">
        <f t="shared" ref="C2:L2" si="0">C3&amp;"(含)"&amp;"-"&amp;D3</f>
        <v>0(含)-30000</v>
      </c>
      <c r="D2" s="950" t="str">
        <f t="shared" si="0"/>
        <v>30000(含)-60000</v>
      </c>
      <c r="E2" s="950" t="str">
        <f t="shared" si="0"/>
        <v>60000(含)-90000</v>
      </c>
      <c r="F2" s="950" t="str">
        <f t="shared" si="0"/>
        <v>90000(含)-120000</v>
      </c>
      <c r="G2" s="950" t="str">
        <f t="shared" si="0"/>
        <v>120000(含)-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v>0</v>
      </c>
      <c r="D3" s="954">
        <v>30000</v>
      </c>
      <c r="E3" s="954">
        <v>60000</v>
      </c>
      <c r="F3" s="954">
        <v>90000</v>
      </c>
      <c r="G3" s="954">
        <v>120000</v>
      </c>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v>100</v>
      </c>
      <c r="D4" s="2230">
        <v>98</v>
      </c>
      <c r="E4" s="2230">
        <v>96</v>
      </c>
      <c r="F4" s="2230">
        <v>94</v>
      </c>
      <c r="G4" s="2230">
        <v>92</v>
      </c>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4.25" thickTop="1">
      <c r="A5" s="2235"/>
      <c r="B5" s="3208" t="s">
        <v>3364</v>
      </c>
      <c r="C5" s="3204" t="s">
        <v>3352</v>
      </c>
      <c r="D5" s="3204" t="s">
        <v>3354</v>
      </c>
      <c r="E5" s="3204" t="s">
        <v>3355</v>
      </c>
      <c r="F5" s="3204" t="s">
        <v>3356</v>
      </c>
      <c r="G5" s="3204" t="s">
        <v>3365</v>
      </c>
      <c r="H5" s="2237"/>
      <c r="I5" s="2237"/>
      <c r="J5" s="2237"/>
      <c r="K5" s="2237"/>
      <c r="L5" s="2238"/>
      <c r="M5" s="2239"/>
      <c r="N5" s="2239"/>
      <c r="O5" s="2237"/>
      <c r="P5" s="2237"/>
      <c r="Q5" s="2237"/>
      <c r="R5" s="2237"/>
      <c r="S5" s="2240"/>
      <c r="T5" s="2241">
        <v>2</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98</v>
      </c>
      <c r="E6" s="1953">
        <f t="shared" ref="E6:S6" si="7">D6-$T5</f>
        <v>96</v>
      </c>
      <c r="F6" s="1953">
        <f t="shared" si="7"/>
        <v>94</v>
      </c>
      <c r="G6" s="1953">
        <f t="shared" si="7"/>
        <v>92</v>
      </c>
      <c r="H6" s="1953">
        <f t="shared" si="7"/>
        <v>90</v>
      </c>
      <c r="I6" s="1953">
        <f t="shared" si="7"/>
        <v>88</v>
      </c>
      <c r="J6" s="1953">
        <f t="shared" si="7"/>
        <v>86</v>
      </c>
      <c r="K6" s="1953">
        <f t="shared" si="7"/>
        <v>84</v>
      </c>
      <c r="L6" s="1953">
        <f t="shared" si="7"/>
        <v>82</v>
      </c>
      <c r="M6" s="1953">
        <f t="shared" si="7"/>
        <v>80</v>
      </c>
      <c r="N6" s="1953">
        <f t="shared" si="7"/>
        <v>78</v>
      </c>
      <c r="O6" s="1953">
        <f t="shared" si="7"/>
        <v>76</v>
      </c>
      <c r="P6" s="1953">
        <f t="shared" si="7"/>
        <v>74</v>
      </c>
      <c r="Q6" s="1953">
        <f t="shared" si="7"/>
        <v>72</v>
      </c>
      <c r="R6" s="1953">
        <f t="shared" si="7"/>
        <v>70</v>
      </c>
      <c r="S6" s="1953">
        <f t="shared" si="7"/>
        <v>68</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3367</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73814</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5">
        <f>R22</f>
        <v>3697</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199682</v>
      </c>
      <c r="C22" s="3516" t="s">
        <v>20</v>
      </c>
      <c r="D22" s="3517"/>
      <c r="E22" s="3517"/>
      <c r="F22" s="3517"/>
      <c r="G22" s="3517"/>
      <c r="H22" s="3517"/>
      <c r="I22" s="3517"/>
      <c r="J22" s="3517"/>
      <c r="K22" s="3517"/>
      <c r="L22" s="3517"/>
      <c r="M22" s="3517"/>
      <c r="N22" s="3517"/>
      <c r="O22" s="3517"/>
      <c r="P22" s="3517"/>
      <c r="Q22" s="3518"/>
      <c r="R22" s="490">
        <f>ROUND(S22*10000/B22,0)</f>
        <v>3697</v>
      </c>
      <c r="S22" s="53">
        <f>SUM(S24:S10000)</f>
        <v>73814</v>
      </c>
    </row>
    <row r="23" spans="1:45" s="1598" customFormat="1" ht="24">
      <c r="A23" s="17" t="s">
        <v>831</v>
      </c>
      <c r="B23" s="3207" t="s">
        <v>3363</v>
      </c>
      <c r="C23" s="17" t="s">
        <v>832</v>
      </c>
      <c r="D23" s="17" t="str">
        <f>B5</f>
        <v>宗地形状</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0">
        <v>46</v>
      </c>
      <c r="B24" s="960">
        <f>'数据-基础表'!A3</f>
        <v>37520</v>
      </c>
      <c r="C24" s="961">
        <v>1</v>
      </c>
      <c r="D24" s="962" t="s">
        <v>3353</v>
      </c>
      <c r="E24" s="961">
        <v>1</v>
      </c>
      <c r="F24" s="962"/>
      <c r="G24" s="961">
        <v>1</v>
      </c>
      <c r="H24" s="962"/>
      <c r="I24" s="961">
        <v>1</v>
      </c>
      <c r="J24" s="962"/>
      <c r="K24" s="961">
        <v>1</v>
      </c>
      <c r="L24" s="962"/>
      <c r="M24" s="961">
        <v>1</v>
      </c>
      <c r="N24" s="962"/>
      <c r="O24" s="961">
        <v>1</v>
      </c>
      <c r="P24" s="962"/>
      <c r="Q24" s="961">
        <v>1</v>
      </c>
      <c r="R24" s="3219">
        <v>3668.7</v>
      </c>
      <c r="S24" s="961">
        <f t="shared" ref="S24:S54" si="11">ROUND(R24*B24/10000,0)</f>
        <v>13765</v>
      </c>
      <c r="T24" s="1957"/>
      <c r="U24" s="1957"/>
      <c r="V24" s="1957"/>
      <c r="W24" s="1957"/>
      <c r="X24" s="1957"/>
      <c r="Y24" s="1957"/>
      <c r="Z24" s="1957"/>
      <c r="AA24" s="1957"/>
      <c r="AB24" s="1957"/>
      <c r="AC24" s="1957"/>
      <c r="AD24" s="1957"/>
      <c r="AE24" s="1957"/>
      <c r="AF24" s="1957"/>
      <c r="AG24" s="1957"/>
      <c r="AH24" s="1957"/>
      <c r="AI24" s="1957"/>
    </row>
    <row r="25" spans="1:45">
      <c r="A25" s="963">
        <v>43</v>
      </c>
      <c r="B25" s="137">
        <v>20732</v>
      </c>
      <c r="C25" s="53">
        <f>IF(B25="",1,(LOOKUP(B25,$3:$3,$4:$4)-LOOKUP($B$24,$3:$3,$4:$4)+100)/100)</f>
        <v>1.02</v>
      </c>
      <c r="D25" s="962" t="s">
        <v>3353</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3742</v>
      </c>
      <c r="S25" s="799">
        <f t="shared" si="11"/>
        <v>7758</v>
      </c>
    </row>
    <row r="26" spans="1:45">
      <c r="A26" s="963">
        <v>44</v>
      </c>
      <c r="B26" s="137">
        <v>53107</v>
      </c>
      <c r="C26" s="53">
        <f t="shared" ref="C26:C89" si="12">IF(B26="",1,(LOOKUP(B26,$3:$3,$4:$4)-LOOKUP($B$24,$3:$3,$4:$4)+100)/100)</f>
        <v>1</v>
      </c>
      <c r="D26" s="962" t="s">
        <v>3353</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3669</v>
      </c>
      <c r="S26" s="799">
        <f t="shared" si="11"/>
        <v>19485</v>
      </c>
    </row>
    <row r="27" spans="1:45">
      <c r="A27" s="963">
        <v>49</v>
      </c>
      <c r="B27" s="137">
        <v>33556</v>
      </c>
      <c r="C27" s="53">
        <f t="shared" si="12"/>
        <v>1</v>
      </c>
      <c r="D27" s="962" t="s">
        <v>3353</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3669</v>
      </c>
      <c r="S27" s="799">
        <f t="shared" si="11"/>
        <v>12312</v>
      </c>
    </row>
    <row r="28" spans="1:45">
      <c r="A28" s="963">
        <v>52</v>
      </c>
      <c r="B28" s="137">
        <v>12282</v>
      </c>
      <c r="C28" s="53">
        <f t="shared" si="12"/>
        <v>1.02</v>
      </c>
      <c r="D28" s="962" t="s">
        <v>3353</v>
      </c>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3742</v>
      </c>
      <c r="S28" s="799">
        <f t="shared" si="11"/>
        <v>4596</v>
      </c>
    </row>
    <row r="29" spans="1:45">
      <c r="A29" s="963">
        <v>53</v>
      </c>
      <c r="B29" s="137">
        <v>11536</v>
      </c>
      <c r="C29" s="53">
        <f t="shared" si="12"/>
        <v>1.02</v>
      </c>
      <c r="D29" s="962" t="s">
        <v>3353</v>
      </c>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3742</v>
      </c>
      <c r="S29" s="799">
        <f t="shared" si="11"/>
        <v>4317</v>
      </c>
    </row>
    <row r="30" spans="1:45">
      <c r="A30" s="963">
        <v>54</v>
      </c>
      <c r="B30" s="137">
        <v>14333</v>
      </c>
      <c r="C30" s="53">
        <f t="shared" si="12"/>
        <v>1.02</v>
      </c>
      <c r="D30" s="962" t="s">
        <v>3353</v>
      </c>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3742</v>
      </c>
      <c r="S30" s="799">
        <f t="shared" si="11"/>
        <v>5363</v>
      </c>
    </row>
    <row r="31" spans="1:45">
      <c r="A31" s="963">
        <v>58</v>
      </c>
      <c r="B31" s="137">
        <v>12197</v>
      </c>
      <c r="C31" s="53">
        <f t="shared" si="12"/>
        <v>1.02</v>
      </c>
      <c r="D31" s="962" t="s">
        <v>3353</v>
      </c>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3742</v>
      </c>
      <c r="S31" s="799">
        <f t="shared" si="11"/>
        <v>4564</v>
      </c>
    </row>
    <row r="32" spans="1:45">
      <c r="A32" s="963">
        <v>55</v>
      </c>
      <c r="B32" s="137">
        <v>4419</v>
      </c>
      <c r="C32" s="53">
        <f t="shared" si="12"/>
        <v>1.02</v>
      </c>
      <c r="D32" s="962" t="s">
        <v>3353</v>
      </c>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3742</v>
      </c>
      <c r="S32" s="799">
        <f t="shared" si="11"/>
        <v>1654</v>
      </c>
    </row>
    <row r="33" spans="1:19">
      <c r="A33" s="963"/>
      <c r="B33" s="137"/>
      <c r="C33" s="53">
        <f t="shared" si="12"/>
        <v>1</v>
      </c>
      <c r="D33" s="962"/>
      <c r="E33" s="53">
        <f t="shared" si="13"/>
        <v>0.02</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3"/>
      <c r="B34" s="137"/>
      <c r="C34" s="53">
        <f t="shared" si="12"/>
        <v>1</v>
      </c>
      <c r="D34" s="962"/>
      <c r="E34" s="53">
        <f t="shared" si="13"/>
        <v>0.02</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3"/>
      <c r="B35" s="137"/>
      <c r="C35" s="53">
        <f t="shared" si="12"/>
        <v>1</v>
      </c>
      <c r="D35" s="962"/>
      <c r="E35" s="53">
        <f t="shared" si="13"/>
        <v>0.02</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3"/>
      <c r="B36" s="137"/>
      <c r="C36" s="53">
        <f t="shared" si="12"/>
        <v>1</v>
      </c>
      <c r="D36" s="962"/>
      <c r="E36" s="53">
        <f t="shared" si="13"/>
        <v>0.02</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3"/>
      <c r="B37" s="137"/>
      <c r="C37" s="53">
        <f t="shared" si="12"/>
        <v>1</v>
      </c>
      <c r="D37" s="962"/>
      <c r="E37" s="53">
        <f t="shared" si="13"/>
        <v>0.02</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3"/>
      <c r="B38" s="137"/>
      <c r="C38" s="53">
        <f t="shared" si="12"/>
        <v>1</v>
      </c>
      <c r="D38" s="962"/>
      <c r="E38" s="53">
        <f t="shared" si="13"/>
        <v>0.02</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3"/>
      <c r="B39" s="137"/>
      <c r="C39" s="53">
        <f t="shared" si="12"/>
        <v>1</v>
      </c>
      <c r="D39" s="962"/>
      <c r="E39" s="53">
        <f t="shared" si="13"/>
        <v>0.02</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3"/>
      <c r="B40" s="137"/>
      <c r="C40" s="53">
        <f t="shared" si="12"/>
        <v>1</v>
      </c>
      <c r="D40" s="962"/>
      <c r="E40" s="53">
        <f t="shared" si="13"/>
        <v>0.02</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3"/>
      <c r="B41" s="137"/>
      <c r="C41" s="53">
        <f t="shared" si="12"/>
        <v>1</v>
      </c>
      <c r="D41" s="962"/>
      <c r="E41" s="53">
        <f t="shared" si="13"/>
        <v>0.02</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3"/>
      <c r="B42" s="137"/>
      <c r="C42" s="53">
        <f t="shared" si="12"/>
        <v>1</v>
      </c>
      <c r="D42" s="962"/>
      <c r="E42" s="53">
        <f t="shared" si="13"/>
        <v>0.02</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3"/>
      <c r="B43" s="137"/>
      <c r="C43" s="53">
        <f t="shared" si="12"/>
        <v>1</v>
      </c>
      <c r="D43" s="962"/>
      <c r="E43" s="53">
        <f t="shared" si="13"/>
        <v>0.02</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3"/>
      <c r="B44" s="137"/>
      <c r="C44" s="53">
        <f t="shared" si="12"/>
        <v>1</v>
      </c>
      <c r="D44" s="962"/>
      <c r="E44" s="53">
        <f t="shared" si="13"/>
        <v>0.02</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3"/>
      <c r="B45" s="137"/>
      <c r="C45" s="53">
        <f t="shared" si="12"/>
        <v>1</v>
      </c>
      <c r="D45" s="962"/>
      <c r="E45" s="53">
        <f t="shared" si="13"/>
        <v>0.02</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3"/>
      <c r="B46" s="137"/>
      <c r="C46" s="53">
        <f t="shared" si="12"/>
        <v>1</v>
      </c>
      <c r="D46" s="962"/>
      <c r="E46" s="53">
        <f t="shared" si="13"/>
        <v>0.02</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3"/>
      <c r="B47" s="137"/>
      <c r="C47" s="53">
        <f t="shared" si="12"/>
        <v>1</v>
      </c>
      <c r="D47" s="962"/>
      <c r="E47" s="53">
        <f t="shared" si="13"/>
        <v>0.02</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3"/>
      <c r="B48" s="137"/>
      <c r="C48" s="53">
        <f t="shared" si="12"/>
        <v>1</v>
      </c>
      <c r="D48" s="962"/>
      <c r="E48" s="53">
        <f t="shared" si="13"/>
        <v>0.02</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3"/>
      <c r="B49" s="137"/>
      <c r="C49" s="53">
        <f t="shared" si="12"/>
        <v>1</v>
      </c>
      <c r="D49" s="962"/>
      <c r="E49" s="53">
        <f t="shared" si="13"/>
        <v>0.02</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3"/>
      <c r="B50" s="137"/>
      <c r="C50" s="53">
        <f t="shared" si="12"/>
        <v>1</v>
      </c>
      <c r="D50" s="962"/>
      <c r="E50" s="53">
        <f t="shared" si="13"/>
        <v>0.02</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3"/>
      <c r="B51" s="137"/>
      <c r="C51" s="53">
        <f t="shared" si="12"/>
        <v>1</v>
      </c>
      <c r="D51" s="962"/>
      <c r="E51" s="53">
        <f t="shared" si="13"/>
        <v>0.02</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3"/>
      <c r="B52" s="137"/>
      <c r="C52" s="53">
        <f t="shared" si="12"/>
        <v>1</v>
      </c>
      <c r="D52" s="962"/>
      <c r="E52" s="53">
        <f t="shared" si="13"/>
        <v>0.02</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3"/>
      <c r="B53" s="137"/>
      <c r="C53" s="53">
        <f t="shared" si="12"/>
        <v>1</v>
      </c>
      <c r="D53" s="962"/>
      <c r="E53" s="53">
        <f t="shared" si="13"/>
        <v>0.02</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3"/>
      <c r="B54" s="137"/>
      <c r="C54" s="53">
        <f t="shared" si="12"/>
        <v>1</v>
      </c>
      <c r="D54" s="962"/>
      <c r="E54" s="53">
        <f t="shared" si="13"/>
        <v>0.02</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3"/>
      <c r="B55" s="137"/>
      <c r="C55" s="53">
        <f t="shared" si="12"/>
        <v>1</v>
      </c>
      <c r="D55" s="962"/>
      <c r="E55" s="53">
        <f t="shared" si="13"/>
        <v>0.02</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3"/>
      <c r="B56" s="137"/>
      <c r="C56" s="53">
        <f t="shared" si="12"/>
        <v>1</v>
      </c>
      <c r="D56" s="962"/>
      <c r="E56" s="53">
        <f t="shared" si="13"/>
        <v>0.02</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3"/>
      <c r="B57" s="137"/>
      <c r="C57" s="53">
        <f t="shared" si="12"/>
        <v>1</v>
      </c>
      <c r="D57" s="962"/>
      <c r="E57" s="53">
        <f t="shared" si="13"/>
        <v>0.02</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3"/>
      <c r="B58" s="137"/>
      <c r="C58" s="53">
        <f t="shared" si="12"/>
        <v>1</v>
      </c>
      <c r="D58" s="962"/>
      <c r="E58" s="53">
        <f t="shared" si="13"/>
        <v>0.02</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3"/>
      <c r="B59" s="137"/>
      <c r="C59" s="53">
        <f t="shared" si="12"/>
        <v>1</v>
      </c>
      <c r="D59" s="962"/>
      <c r="E59" s="53">
        <f t="shared" si="13"/>
        <v>0.02</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3"/>
      <c r="B60" s="137"/>
      <c r="C60" s="53">
        <f t="shared" si="12"/>
        <v>1</v>
      </c>
      <c r="D60" s="962"/>
      <c r="E60" s="53">
        <f t="shared" si="13"/>
        <v>0.02</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3"/>
      <c r="B61" s="137"/>
      <c r="C61" s="53">
        <f t="shared" si="12"/>
        <v>1</v>
      </c>
      <c r="D61" s="962"/>
      <c r="E61" s="53">
        <f t="shared" si="13"/>
        <v>0.02</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3"/>
      <c r="B62" s="137"/>
      <c r="C62" s="53">
        <f t="shared" si="12"/>
        <v>1</v>
      </c>
      <c r="D62" s="962"/>
      <c r="E62" s="53">
        <f t="shared" si="13"/>
        <v>0.02</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3"/>
      <c r="B63" s="137"/>
      <c r="C63" s="53">
        <f t="shared" si="12"/>
        <v>1</v>
      </c>
      <c r="D63" s="962"/>
      <c r="E63" s="53">
        <f t="shared" si="13"/>
        <v>0.02</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3"/>
      <c r="B64" s="137"/>
      <c r="C64" s="53">
        <f t="shared" si="12"/>
        <v>1</v>
      </c>
      <c r="D64" s="962"/>
      <c r="E64" s="53">
        <f t="shared" si="13"/>
        <v>0.02</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3"/>
      <c r="B65" s="137"/>
      <c r="C65" s="53">
        <f t="shared" si="12"/>
        <v>1</v>
      </c>
      <c r="D65" s="962"/>
      <c r="E65" s="53">
        <f t="shared" si="13"/>
        <v>0.02</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3"/>
      <c r="B66" s="137"/>
      <c r="C66" s="53">
        <f t="shared" si="12"/>
        <v>1</v>
      </c>
      <c r="D66" s="962"/>
      <c r="E66" s="53">
        <f t="shared" si="13"/>
        <v>0.02</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3"/>
      <c r="B67" s="137"/>
      <c r="C67" s="53">
        <f t="shared" si="12"/>
        <v>1</v>
      </c>
      <c r="D67" s="962"/>
      <c r="E67" s="53">
        <f t="shared" si="13"/>
        <v>0.02</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3"/>
      <c r="B68" s="137"/>
      <c r="C68" s="53">
        <f t="shared" si="12"/>
        <v>1</v>
      </c>
      <c r="D68" s="962"/>
      <c r="E68" s="53">
        <f t="shared" si="13"/>
        <v>0.02</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3"/>
      <c r="B69" s="137"/>
      <c r="C69" s="53">
        <f t="shared" si="12"/>
        <v>1</v>
      </c>
      <c r="D69" s="962"/>
      <c r="E69" s="53">
        <f t="shared" si="13"/>
        <v>0.02</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3"/>
      <c r="B70" s="137"/>
      <c r="C70" s="53">
        <f t="shared" si="12"/>
        <v>1</v>
      </c>
      <c r="D70" s="962"/>
      <c r="E70" s="53">
        <f t="shared" si="13"/>
        <v>0.02</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3"/>
      <c r="B71" s="137"/>
      <c r="C71" s="53">
        <f t="shared" si="12"/>
        <v>1</v>
      </c>
      <c r="D71" s="962"/>
      <c r="E71" s="53">
        <f t="shared" si="13"/>
        <v>0.02</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3"/>
      <c r="B72" s="137"/>
      <c r="C72" s="53">
        <f t="shared" si="12"/>
        <v>1</v>
      </c>
      <c r="D72" s="962"/>
      <c r="E72" s="53">
        <f t="shared" si="13"/>
        <v>0.02</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3"/>
      <c r="B73" s="137"/>
      <c r="C73" s="53">
        <f t="shared" si="12"/>
        <v>1</v>
      </c>
      <c r="D73" s="962"/>
      <c r="E73" s="53">
        <f t="shared" si="13"/>
        <v>0.02</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3"/>
      <c r="B74" s="137"/>
      <c r="C74" s="53">
        <f t="shared" si="12"/>
        <v>1</v>
      </c>
      <c r="D74" s="962"/>
      <c r="E74" s="53">
        <f t="shared" si="13"/>
        <v>0.02</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3"/>
      <c r="B75" s="137"/>
      <c r="C75" s="53">
        <f t="shared" si="12"/>
        <v>1</v>
      </c>
      <c r="D75" s="962"/>
      <c r="E75" s="53">
        <f t="shared" si="13"/>
        <v>0.02</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3"/>
      <c r="B76" s="137"/>
      <c r="C76" s="53">
        <f t="shared" si="12"/>
        <v>1</v>
      </c>
      <c r="D76" s="962"/>
      <c r="E76" s="53">
        <f t="shared" si="13"/>
        <v>0.02</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3"/>
      <c r="B77" s="137"/>
      <c r="C77" s="53">
        <f t="shared" si="12"/>
        <v>1</v>
      </c>
      <c r="D77" s="962"/>
      <c r="E77" s="53">
        <f t="shared" si="13"/>
        <v>0.02</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3"/>
      <c r="B78" s="137"/>
      <c r="C78" s="53">
        <f t="shared" si="12"/>
        <v>1</v>
      </c>
      <c r="D78" s="962"/>
      <c r="E78" s="53">
        <f t="shared" si="13"/>
        <v>0.02</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3"/>
      <c r="B79" s="137"/>
      <c r="C79" s="53">
        <f t="shared" si="12"/>
        <v>1</v>
      </c>
      <c r="D79" s="962"/>
      <c r="E79" s="53">
        <f t="shared" si="13"/>
        <v>0.02</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3"/>
      <c r="B80" s="137"/>
      <c r="C80" s="53">
        <f t="shared" si="12"/>
        <v>1</v>
      </c>
      <c r="D80" s="962"/>
      <c r="E80" s="53">
        <f t="shared" si="13"/>
        <v>0.02</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3"/>
      <c r="B81" s="137"/>
      <c r="C81" s="53">
        <f t="shared" si="12"/>
        <v>1</v>
      </c>
      <c r="D81" s="962"/>
      <c r="E81" s="53">
        <f t="shared" si="13"/>
        <v>0.02</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3"/>
      <c r="B82" s="137"/>
      <c r="C82" s="53">
        <f t="shared" si="12"/>
        <v>1</v>
      </c>
      <c r="D82" s="962"/>
      <c r="E82" s="53">
        <f t="shared" si="13"/>
        <v>0.02</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3"/>
      <c r="B83" s="137"/>
      <c r="C83" s="53">
        <f t="shared" si="12"/>
        <v>1</v>
      </c>
      <c r="D83" s="962"/>
      <c r="E83" s="53">
        <f t="shared" si="13"/>
        <v>0.02</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3"/>
      <c r="B84" s="137"/>
      <c r="C84" s="53">
        <f t="shared" si="12"/>
        <v>1</v>
      </c>
      <c r="D84" s="962"/>
      <c r="E84" s="53">
        <f t="shared" si="13"/>
        <v>0.02</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3"/>
      <c r="B85" s="137"/>
      <c r="C85" s="53">
        <f t="shared" si="12"/>
        <v>1</v>
      </c>
      <c r="D85" s="962"/>
      <c r="E85" s="53">
        <f t="shared" si="13"/>
        <v>0.02</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3"/>
      <c r="B86" s="137"/>
      <c r="C86" s="53">
        <f t="shared" si="12"/>
        <v>1</v>
      </c>
      <c r="D86" s="962"/>
      <c r="E86" s="53">
        <f t="shared" si="13"/>
        <v>0.02</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3"/>
      <c r="B87" s="137"/>
      <c r="C87" s="53">
        <f t="shared" si="12"/>
        <v>1</v>
      </c>
      <c r="D87" s="962"/>
      <c r="E87" s="53">
        <f t="shared" si="13"/>
        <v>0.02</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3"/>
      <c r="B88" s="137"/>
      <c r="C88" s="53">
        <f t="shared" si="12"/>
        <v>1</v>
      </c>
      <c r="D88" s="962"/>
      <c r="E88" s="53">
        <f t="shared" si="13"/>
        <v>0.02</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3"/>
      <c r="B89" s="137"/>
      <c r="C89" s="53">
        <f t="shared" si="12"/>
        <v>1</v>
      </c>
      <c r="D89" s="962"/>
      <c r="E89" s="53">
        <f t="shared" si="13"/>
        <v>0.02</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3"/>
      <c r="B90" s="137"/>
      <c r="C90" s="53">
        <f t="shared" ref="C90:C153" si="23">IF(B90="",1,(LOOKUP(B90,$3:$3,$4:$4)-LOOKUP($B$24,$3:$3,$4:$4)+100)/100)</f>
        <v>1</v>
      </c>
      <c r="D90" s="962"/>
      <c r="E90" s="53">
        <f t="shared" ref="E90:E153" si="24">(SUMIF($5:$5,D90,$6:$6)-SUMIF($5:$5,$D$24,$6:$6)+100)/100</f>
        <v>0.02</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2"/>
      <c r="E91" s="53">
        <f t="shared" si="24"/>
        <v>0.02</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3"/>
      <c r="B92" s="137"/>
      <c r="C92" s="53">
        <f t="shared" si="23"/>
        <v>1</v>
      </c>
      <c r="D92" s="962"/>
      <c r="E92" s="53">
        <f t="shared" si="24"/>
        <v>0.02</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3"/>
      <c r="B93" s="137"/>
      <c r="C93" s="53">
        <f t="shared" si="23"/>
        <v>1</v>
      </c>
      <c r="D93" s="962"/>
      <c r="E93" s="53">
        <f t="shared" si="24"/>
        <v>0.02</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3"/>
      <c r="B94" s="137"/>
      <c r="C94" s="53">
        <f t="shared" si="23"/>
        <v>1</v>
      </c>
      <c r="D94" s="962"/>
      <c r="E94" s="53">
        <f t="shared" si="24"/>
        <v>0.02</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3"/>
      <c r="B95" s="137"/>
      <c r="C95" s="53">
        <f t="shared" si="23"/>
        <v>1</v>
      </c>
      <c r="D95" s="962"/>
      <c r="E95" s="53">
        <f t="shared" si="24"/>
        <v>0.02</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3"/>
      <c r="B96" s="137"/>
      <c r="C96" s="53">
        <f t="shared" si="23"/>
        <v>1</v>
      </c>
      <c r="D96" s="962"/>
      <c r="E96" s="53">
        <f t="shared" si="24"/>
        <v>0.02</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3"/>
      <c r="B97" s="137"/>
      <c r="C97" s="53">
        <f t="shared" si="23"/>
        <v>1</v>
      </c>
      <c r="D97" s="962"/>
      <c r="E97" s="53">
        <f t="shared" si="24"/>
        <v>0.02</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3"/>
      <c r="B98" s="137"/>
      <c r="C98" s="53">
        <f t="shared" si="23"/>
        <v>1</v>
      </c>
      <c r="D98" s="962"/>
      <c r="E98" s="53">
        <f t="shared" si="24"/>
        <v>0.02</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3"/>
      <c r="B99" s="137"/>
      <c r="C99" s="53">
        <f t="shared" si="23"/>
        <v>1</v>
      </c>
      <c r="D99" s="962"/>
      <c r="E99" s="53">
        <f t="shared" si="24"/>
        <v>0.02</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3"/>
      <c r="B100" s="137"/>
      <c r="C100" s="53">
        <f t="shared" si="23"/>
        <v>1</v>
      </c>
      <c r="D100" s="962"/>
      <c r="E100" s="53">
        <f t="shared" si="24"/>
        <v>0.02</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3"/>
      <c r="B101" s="137"/>
      <c r="C101" s="53">
        <f t="shared" si="23"/>
        <v>1</v>
      </c>
      <c r="D101" s="962"/>
      <c r="E101" s="53">
        <f t="shared" si="24"/>
        <v>0.02</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3"/>
      <c r="B102" s="137"/>
      <c r="C102" s="53">
        <f t="shared" si="23"/>
        <v>1</v>
      </c>
      <c r="D102" s="962"/>
      <c r="E102" s="53">
        <f t="shared" si="24"/>
        <v>0.02</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3"/>
      <c r="B103" s="137"/>
      <c r="C103" s="53">
        <f t="shared" si="23"/>
        <v>1</v>
      </c>
      <c r="D103" s="962"/>
      <c r="E103" s="53">
        <f t="shared" si="24"/>
        <v>0.02</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3"/>
      <c r="B104" s="137"/>
      <c r="C104" s="53">
        <f t="shared" si="23"/>
        <v>1</v>
      </c>
      <c r="D104" s="962"/>
      <c r="E104" s="53">
        <f t="shared" si="24"/>
        <v>0.02</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3"/>
      <c r="B105" s="137"/>
      <c r="C105" s="53">
        <f t="shared" si="23"/>
        <v>1</v>
      </c>
      <c r="D105" s="962"/>
      <c r="E105" s="53">
        <f t="shared" si="24"/>
        <v>0.02</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3"/>
      <c r="B106" s="137"/>
      <c r="C106" s="53">
        <f t="shared" si="23"/>
        <v>1</v>
      </c>
      <c r="D106" s="962"/>
      <c r="E106" s="53">
        <f t="shared" si="24"/>
        <v>0.02</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3"/>
      <c r="B107" s="137"/>
      <c r="C107" s="53">
        <f t="shared" si="23"/>
        <v>1</v>
      </c>
      <c r="D107" s="962"/>
      <c r="E107" s="53">
        <f t="shared" si="24"/>
        <v>0.02</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3"/>
      <c r="B108" s="137"/>
      <c r="C108" s="53">
        <f t="shared" si="23"/>
        <v>1</v>
      </c>
      <c r="D108" s="962"/>
      <c r="E108" s="53">
        <f t="shared" si="24"/>
        <v>0.02</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3"/>
      <c r="B109" s="137"/>
      <c r="C109" s="53">
        <f t="shared" si="23"/>
        <v>1</v>
      </c>
      <c r="D109" s="962"/>
      <c r="E109" s="53">
        <f t="shared" si="24"/>
        <v>0.02</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3"/>
      <c r="B110" s="137"/>
      <c r="C110" s="53">
        <f t="shared" si="23"/>
        <v>1</v>
      </c>
      <c r="D110" s="962"/>
      <c r="E110" s="53">
        <f t="shared" si="24"/>
        <v>0.02</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3"/>
      <c r="B111" s="137"/>
      <c r="C111" s="53">
        <f t="shared" si="23"/>
        <v>1</v>
      </c>
      <c r="D111" s="962"/>
      <c r="E111" s="53">
        <f t="shared" si="24"/>
        <v>0.02</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3"/>
      <c r="B112" s="137"/>
      <c r="C112" s="53">
        <f t="shared" si="23"/>
        <v>1</v>
      </c>
      <c r="D112" s="962"/>
      <c r="E112" s="53">
        <f t="shared" si="24"/>
        <v>0.02</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3"/>
      <c r="B113" s="137"/>
      <c r="C113" s="53">
        <f t="shared" si="23"/>
        <v>1</v>
      </c>
      <c r="D113" s="962"/>
      <c r="E113" s="53">
        <f t="shared" si="24"/>
        <v>0.02</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3"/>
      <c r="B114" s="137"/>
      <c r="C114" s="53">
        <f t="shared" si="23"/>
        <v>1</v>
      </c>
      <c r="D114" s="962"/>
      <c r="E114" s="53">
        <f t="shared" si="24"/>
        <v>0.02</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3"/>
      <c r="B115" s="137"/>
      <c r="C115" s="53">
        <f t="shared" si="23"/>
        <v>1</v>
      </c>
      <c r="D115" s="962"/>
      <c r="E115" s="53">
        <f t="shared" si="24"/>
        <v>0.02</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3"/>
      <c r="B116" s="137"/>
      <c r="C116" s="53">
        <f t="shared" si="23"/>
        <v>1</v>
      </c>
      <c r="D116" s="962"/>
      <c r="E116" s="53">
        <f t="shared" si="24"/>
        <v>0.02</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3"/>
      <c r="B117" s="137"/>
      <c r="C117" s="53">
        <f t="shared" si="23"/>
        <v>1</v>
      </c>
      <c r="D117" s="962"/>
      <c r="E117" s="53">
        <f t="shared" si="24"/>
        <v>0.02</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3"/>
      <c r="B118" s="137"/>
      <c r="C118" s="53">
        <f t="shared" si="23"/>
        <v>1</v>
      </c>
      <c r="D118" s="962"/>
      <c r="E118" s="53">
        <f t="shared" si="24"/>
        <v>0.02</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3"/>
      <c r="B119" s="137"/>
      <c r="C119" s="53">
        <f t="shared" si="23"/>
        <v>1</v>
      </c>
      <c r="D119" s="962"/>
      <c r="E119" s="53">
        <f t="shared" si="24"/>
        <v>0.02</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3"/>
      <c r="B120" s="137"/>
      <c r="C120" s="53">
        <f t="shared" si="23"/>
        <v>1</v>
      </c>
      <c r="D120" s="962"/>
      <c r="E120" s="53">
        <f t="shared" si="24"/>
        <v>0.02</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3"/>
      <c r="B121" s="137"/>
      <c r="C121" s="53">
        <f t="shared" si="23"/>
        <v>1</v>
      </c>
      <c r="D121" s="962"/>
      <c r="E121" s="53">
        <f t="shared" si="24"/>
        <v>0.02</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3"/>
      <c r="B122" s="137"/>
      <c r="C122" s="53">
        <f t="shared" si="23"/>
        <v>1</v>
      </c>
      <c r="D122" s="962"/>
      <c r="E122" s="53">
        <f t="shared" si="24"/>
        <v>0.02</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3"/>
      <c r="B123" s="137"/>
      <c r="C123" s="53">
        <f t="shared" si="23"/>
        <v>1</v>
      </c>
      <c r="D123" s="962"/>
      <c r="E123" s="53">
        <f t="shared" si="24"/>
        <v>0.02</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3"/>
      <c r="B124" s="137"/>
      <c r="C124" s="53">
        <f t="shared" si="23"/>
        <v>1</v>
      </c>
      <c r="D124" s="962"/>
      <c r="E124" s="53">
        <f t="shared" si="24"/>
        <v>0.02</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3"/>
      <c r="B125" s="137"/>
      <c r="C125" s="53">
        <f t="shared" si="23"/>
        <v>1</v>
      </c>
      <c r="D125" s="962"/>
      <c r="E125" s="53">
        <f t="shared" si="24"/>
        <v>0.02</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3"/>
      <c r="B126" s="137"/>
      <c r="C126" s="53">
        <f t="shared" si="23"/>
        <v>1</v>
      </c>
      <c r="D126" s="962"/>
      <c r="E126" s="53">
        <f t="shared" si="24"/>
        <v>0.02</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3"/>
      <c r="B127" s="137"/>
      <c r="C127" s="53">
        <f t="shared" si="23"/>
        <v>1</v>
      </c>
      <c r="D127" s="962"/>
      <c r="E127" s="53">
        <f t="shared" si="24"/>
        <v>0.02</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3"/>
      <c r="B128" s="137"/>
      <c r="C128" s="53">
        <f t="shared" si="23"/>
        <v>1</v>
      </c>
      <c r="D128" s="962"/>
      <c r="E128" s="53">
        <f t="shared" si="24"/>
        <v>0.02</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3"/>
      <c r="B129" s="137"/>
      <c r="C129" s="53">
        <f t="shared" si="23"/>
        <v>1</v>
      </c>
      <c r="D129" s="962"/>
      <c r="E129" s="53">
        <f t="shared" si="24"/>
        <v>0.02</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3"/>
      <c r="B130" s="137"/>
      <c r="C130" s="53">
        <f t="shared" si="23"/>
        <v>1</v>
      </c>
      <c r="D130" s="962"/>
      <c r="E130" s="53">
        <f t="shared" si="24"/>
        <v>0.02</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3"/>
      <c r="B131" s="137"/>
      <c r="C131" s="53">
        <f t="shared" si="23"/>
        <v>1</v>
      </c>
      <c r="D131" s="962"/>
      <c r="E131" s="53">
        <f t="shared" si="24"/>
        <v>0.02</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3"/>
      <c r="B132" s="137"/>
      <c r="C132" s="53">
        <f t="shared" si="23"/>
        <v>1</v>
      </c>
      <c r="D132" s="962"/>
      <c r="E132" s="53">
        <f t="shared" si="24"/>
        <v>0.02</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3"/>
      <c r="B133" s="137"/>
      <c r="C133" s="53">
        <f t="shared" si="23"/>
        <v>1</v>
      </c>
      <c r="D133" s="962"/>
      <c r="E133" s="53">
        <f t="shared" si="24"/>
        <v>0.02</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3"/>
      <c r="B134" s="137"/>
      <c r="C134" s="53">
        <f t="shared" si="23"/>
        <v>1</v>
      </c>
      <c r="D134" s="962"/>
      <c r="E134" s="53">
        <f t="shared" si="24"/>
        <v>0.02</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3"/>
      <c r="B135" s="137"/>
      <c r="C135" s="53">
        <f t="shared" si="23"/>
        <v>1</v>
      </c>
      <c r="D135" s="962"/>
      <c r="E135" s="53">
        <f t="shared" si="24"/>
        <v>0.02</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3"/>
      <c r="B136" s="137"/>
      <c r="C136" s="53">
        <f t="shared" si="23"/>
        <v>1</v>
      </c>
      <c r="D136" s="962"/>
      <c r="E136" s="53">
        <f t="shared" si="24"/>
        <v>0.02</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3"/>
      <c r="B137" s="137"/>
      <c r="C137" s="53">
        <f t="shared" si="23"/>
        <v>1</v>
      </c>
      <c r="D137" s="962"/>
      <c r="E137" s="53">
        <f t="shared" si="24"/>
        <v>0.02</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3"/>
      <c r="B138" s="137"/>
      <c r="C138" s="53">
        <f t="shared" si="23"/>
        <v>1</v>
      </c>
      <c r="D138" s="962"/>
      <c r="E138" s="53">
        <f t="shared" si="24"/>
        <v>0.02</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3"/>
      <c r="B139" s="137"/>
      <c r="C139" s="53">
        <f t="shared" si="23"/>
        <v>1</v>
      </c>
      <c r="D139" s="962"/>
      <c r="E139" s="53">
        <f t="shared" si="24"/>
        <v>0.02</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3"/>
      <c r="B140" s="137"/>
      <c r="C140" s="53">
        <f t="shared" si="23"/>
        <v>1</v>
      </c>
      <c r="D140" s="962"/>
      <c r="E140" s="53">
        <f t="shared" si="24"/>
        <v>0.02</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3"/>
      <c r="B141" s="137"/>
      <c r="C141" s="53">
        <f t="shared" si="23"/>
        <v>1</v>
      </c>
      <c r="D141" s="962"/>
      <c r="E141" s="53">
        <f t="shared" si="24"/>
        <v>0.02</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3"/>
      <c r="B142" s="137"/>
      <c r="C142" s="53">
        <f t="shared" si="23"/>
        <v>1</v>
      </c>
      <c r="D142" s="962"/>
      <c r="E142" s="53">
        <f t="shared" si="24"/>
        <v>0.02</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3"/>
      <c r="B143" s="137"/>
      <c r="C143" s="53">
        <f t="shared" si="23"/>
        <v>1</v>
      </c>
      <c r="D143" s="962"/>
      <c r="E143" s="53">
        <f t="shared" si="24"/>
        <v>0.02</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3"/>
      <c r="B144" s="137"/>
      <c r="C144" s="53">
        <f t="shared" si="23"/>
        <v>1</v>
      </c>
      <c r="D144" s="962"/>
      <c r="E144" s="53">
        <f t="shared" si="24"/>
        <v>0.02</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3"/>
      <c r="B145" s="137"/>
      <c r="C145" s="53">
        <f t="shared" si="23"/>
        <v>1</v>
      </c>
      <c r="D145" s="962"/>
      <c r="E145" s="53">
        <f t="shared" si="24"/>
        <v>0.02</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3"/>
      <c r="B146" s="137"/>
      <c r="C146" s="53">
        <f t="shared" si="23"/>
        <v>1</v>
      </c>
      <c r="D146" s="962"/>
      <c r="E146" s="53">
        <f t="shared" si="24"/>
        <v>0.02</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3"/>
      <c r="B147" s="137"/>
      <c r="C147" s="53">
        <f t="shared" si="23"/>
        <v>1</v>
      </c>
      <c r="D147" s="962"/>
      <c r="E147" s="53">
        <f t="shared" si="24"/>
        <v>0.02</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3"/>
      <c r="B148" s="137"/>
      <c r="C148" s="53">
        <f t="shared" si="23"/>
        <v>1</v>
      </c>
      <c r="D148" s="962"/>
      <c r="E148" s="53">
        <f t="shared" si="24"/>
        <v>0.02</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3"/>
      <c r="B149" s="137"/>
      <c r="C149" s="53">
        <f t="shared" si="23"/>
        <v>1</v>
      </c>
      <c r="D149" s="962"/>
      <c r="E149" s="53">
        <f t="shared" si="24"/>
        <v>0.02</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3"/>
      <c r="B150" s="137"/>
      <c r="C150" s="53">
        <f t="shared" si="23"/>
        <v>1</v>
      </c>
      <c r="D150" s="962"/>
      <c r="E150" s="53">
        <f t="shared" si="24"/>
        <v>0.02</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3"/>
      <c r="B151" s="137"/>
      <c r="C151" s="53">
        <f t="shared" si="23"/>
        <v>1</v>
      </c>
      <c r="D151" s="962"/>
      <c r="E151" s="53">
        <f t="shared" si="24"/>
        <v>0.02</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3"/>
      <c r="B152" s="137"/>
      <c r="C152" s="53">
        <f t="shared" si="23"/>
        <v>1</v>
      </c>
      <c r="D152" s="962"/>
      <c r="E152" s="53">
        <f t="shared" si="24"/>
        <v>0.02</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3"/>
      <c r="B153" s="137"/>
      <c r="C153" s="53">
        <f t="shared" si="23"/>
        <v>1</v>
      </c>
      <c r="D153" s="962"/>
      <c r="E153" s="53">
        <f t="shared" si="24"/>
        <v>0.02</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3"/>
      <c r="B154" s="137"/>
      <c r="C154" s="53">
        <f t="shared" ref="C154:C217" si="33">IF(B154="",1,(LOOKUP(B154,$3:$3,$4:$4)-LOOKUP($B$24,$3:$3,$4:$4)+100)/100)</f>
        <v>1</v>
      </c>
      <c r="D154" s="962"/>
      <c r="E154" s="53">
        <f t="shared" ref="E154:E217" si="34">(SUMIF($5:$5,D154,$6:$6)-SUMIF($5:$5,$D$24,$6:$6)+100)/100</f>
        <v>0.02</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2"/>
      <c r="E155" s="53">
        <f t="shared" si="34"/>
        <v>0.02</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3"/>
      <c r="B156" s="137"/>
      <c r="C156" s="53">
        <f t="shared" si="33"/>
        <v>1</v>
      </c>
      <c r="D156" s="962"/>
      <c r="E156" s="53">
        <f t="shared" si="34"/>
        <v>0.02</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3"/>
      <c r="B157" s="137"/>
      <c r="C157" s="53">
        <f t="shared" si="33"/>
        <v>1</v>
      </c>
      <c r="D157" s="962"/>
      <c r="E157" s="53">
        <f t="shared" si="34"/>
        <v>0.02</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3"/>
      <c r="B158" s="137"/>
      <c r="C158" s="53">
        <f t="shared" si="33"/>
        <v>1</v>
      </c>
      <c r="D158" s="962"/>
      <c r="E158" s="53">
        <f t="shared" si="34"/>
        <v>0.02</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3"/>
      <c r="B159" s="137"/>
      <c r="C159" s="53">
        <f t="shared" si="33"/>
        <v>1</v>
      </c>
      <c r="D159" s="962"/>
      <c r="E159" s="53">
        <f t="shared" si="34"/>
        <v>0.02</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3"/>
      <c r="B160" s="137"/>
      <c r="C160" s="53">
        <f t="shared" si="33"/>
        <v>1</v>
      </c>
      <c r="D160" s="962"/>
      <c r="E160" s="53">
        <f t="shared" si="34"/>
        <v>0.02</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3"/>
      <c r="B161" s="137"/>
      <c r="C161" s="53">
        <f t="shared" si="33"/>
        <v>1</v>
      </c>
      <c r="D161" s="962"/>
      <c r="E161" s="53">
        <f t="shared" si="34"/>
        <v>0.02</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3"/>
      <c r="B162" s="137"/>
      <c r="C162" s="53">
        <f t="shared" si="33"/>
        <v>1</v>
      </c>
      <c r="D162" s="962"/>
      <c r="E162" s="53">
        <f t="shared" si="34"/>
        <v>0.02</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3"/>
      <c r="B163" s="137"/>
      <c r="C163" s="53">
        <f t="shared" si="33"/>
        <v>1</v>
      </c>
      <c r="D163" s="962"/>
      <c r="E163" s="53">
        <f t="shared" si="34"/>
        <v>0.02</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3"/>
      <c r="B164" s="137"/>
      <c r="C164" s="53">
        <f t="shared" si="33"/>
        <v>1</v>
      </c>
      <c r="D164" s="962"/>
      <c r="E164" s="53">
        <f t="shared" si="34"/>
        <v>0.02</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3"/>
      <c r="B165" s="137"/>
      <c r="C165" s="53">
        <f t="shared" si="33"/>
        <v>1</v>
      </c>
      <c r="D165" s="962"/>
      <c r="E165" s="53">
        <f t="shared" si="34"/>
        <v>0.02</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3"/>
      <c r="B166" s="137"/>
      <c r="C166" s="53">
        <f t="shared" si="33"/>
        <v>1</v>
      </c>
      <c r="D166" s="962"/>
      <c r="E166" s="53">
        <f t="shared" si="34"/>
        <v>0.02</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3"/>
      <c r="B167" s="137"/>
      <c r="C167" s="53">
        <f t="shared" si="33"/>
        <v>1</v>
      </c>
      <c r="D167" s="962"/>
      <c r="E167" s="53">
        <f t="shared" si="34"/>
        <v>0.02</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3"/>
      <c r="B168" s="137"/>
      <c r="C168" s="53">
        <f t="shared" si="33"/>
        <v>1</v>
      </c>
      <c r="D168" s="962"/>
      <c r="E168" s="53">
        <f t="shared" si="34"/>
        <v>0.02</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3"/>
      <c r="B169" s="137"/>
      <c r="C169" s="53">
        <f t="shared" si="33"/>
        <v>1</v>
      </c>
      <c r="D169" s="962"/>
      <c r="E169" s="53">
        <f t="shared" si="34"/>
        <v>0.02</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3"/>
      <c r="B170" s="137"/>
      <c r="C170" s="53">
        <f t="shared" si="33"/>
        <v>1</v>
      </c>
      <c r="D170" s="962"/>
      <c r="E170" s="53">
        <f t="shared" si="34"/>
        <v>0.02</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3"/>
      <c r="B171" s="137"/>
      <c r="C171" s="53">
        <f t="shared" si="33"/>
        <v>1</v>
      </c>
      <c r="D171" s="962"/>
      <c r="E171" s="53">
        <f t="shared" si="34"/>
        <v>0.02</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3"/>
      <c r="B172" s="137"/>
      <c r="C172" s="53">
        <f t="shared" si="33"/>
        <v>1</v>
      </c>
      <c r="D172" s="962"/>
      <c r="E172" s="53">
        <f t="shared" si="34"/>
        <v>0.02</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3"/>
      <c r="B173" s="137"/>
      <c r="C173" s="53">
        <f t="shared" si="33"/>
        <v>1</v>
      </c>
      <c r="D173" s="962"/>
      <c r="E173" s="53">
        <f t="shared" si="34"/>
        <v>0.02</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3"/>
      <c r="B174" s="137"/>
      <c r="C174" s="53">
        <f t="shared" si="33"/>
        <v>1</v>
      </c>
      <c r="D174" s="962"/>
      <c r="E174" s="53">
        <f t="shared" si="34"/>
        <v>0.02</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3"/>
      <c r="B175" s="137"/>
      <c r="C175" s="53">
        <f t="shared" si="33"/>
        <v>1</v>
      </c>
      <c r="D175" s="962"/>
      <c r="E175" s="53">
        <f t="shared" si="34"/>
        <v>0.02</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3"/>
      <c r="B176" s="137"/>
      <c r="C176" s="53">
        <f t="shared" si="33"/>
        <v>1</v>
      </c>
      <c r="D176" s="962"/>
      <c r="E176" s="53">
        <f t="shared" si="34"/>
        <v>0.02</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3"/>
      <c r="B177" s="137"/>
      <c r="C177" s="53">
        <f t="shared" si="33"/>
        <v>1</v>
      </c>
      <c r="D177" s="962"/>
      <c r="E177" s="53">
        <f t="shared" si="34"/>
        <v>0.02</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3"/>
      <c r="B178" s="137"/>
      <c r="C178" s="53">
        <f t="shared" si="33"/>
        <v>1</v>
      </c>
      <c r="D178" s="962"/>
      <c r="E178" s="53">
        <f t="shared" si="34"/>
        <v>0.02</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3"/>
      <c r="B179" s="137"/>
      <c r="C179" s="53">
        <f t="shared" si="33"/>
        <v>1</v>
      </c>
      <c r="D179" s="962"/>
      <c r="E179" s="53">
        <f t="shared" si="34"/>
        <v>0.02</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3"/>
      <c r="B180" s="137"/>
      <c r="C180" s="53">
        <f t="shared" si="33"/>
        <v>1</v>
      </c>
      <c r="D180" s="962"/>
      <c r="E180" s="53">
        <f t="shared" si="34"/>
        <v>0.02</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3"/>
      <c r="B181" s="137"/>
      <c r="C181" s="53">
        <f t="shared" si="33"/>
        <v>1</v>
      </c>
      <c r="D181" s="962"/>
      <c r="E181" s="53">
        <f t="shared" si="34"/>
        <v>0.02</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3"/>
      <c r="B182" s="137"/>
      <c r="C182" s="53">
        <f t="shared" si="33"/>
        <v>1</v>
      </c>
      <c r="D182" s="962"/>
      <c r="E182" s="53">
        <f t="shared" si="34"/>
        <v>0.02</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3"/>
      <c r="B183" s="137"/>
      <c r="C183" s="53">
        <f t="shared" si="33"/>
        <v>1</v>
      </c>
      <c r="D183" s="962"/>
      <c r="E183" s="53">
        <f t="shared" si="34"/>
        <v>0.02</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3"/>
      <c r="B184" s="137"/>
      <c r="C184" s="53">
        <f t="shared" si="33"/>
        <v>1</v>
      </c>
      <c r="D184" s="962"/>
      <c r="E184" s="53">
        <f t="shared" si="34"/>
        <v>0.02</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3"/>
      <c r="B185" s="137"/>
      <c r="C185" s="53">
        <f t="shared" si="33"/>
        <v>1</v>
      </c>
      <c r="D185" s="962"/>
      <c r="E185" s="53">
        <f t="shared" si="34"/>
        <v>0.02</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3"/>
      <c r="B186" s="137"/>
      <c r="C186" s="53">
        <f t="shared" si="33"/>
        <v>1</v>
      </c>
      <c r="D186" s="962"/>
      <c r="E186" s="53">
        <f t="shared" si="34"/>
        <v>0.02</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3"/>
      <c r="B187" s="137"/>
      <c r="C187" s="53">
        <f t="shared" si="33"/>
        <v>1</v>
      </c>
      <c r="D187" s="962"/>
      <c r="E187" s="53">
        <f t="shared" si="34"/>
        <v>0.02</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3"/>
      <c r="B188" s="137"/>
      <c r="C188" s="53">
        <f t="shared" si="33"/>
        <v>1</v>
      </c>
      <c r="D188" s="962"/>
      <c r="E188" s="53">
        <f t="shared" si="34"/>
        <v>0.02</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3"/>
      <c r="B189" s="137"/>
      <c r="C189" s="53">
        <f t="shared" si="33"/>
        <v>1</v>
      </c>
      <c r="D189" s="962"/>
      <c r="E189" s="53">
        <f t="shared" si="34"/>
        <v>0.02</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3"/>
      <c r="B190" s="137"/>
      <c r="C190" s="53">
        <f t="shared" si="33"/>
        <v>1</v>
      </c>
      <c r="D190" s="962"/>
      <c r="E190" s="53">
        <f t="shared" si="34"/>
        <v>0.02</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3"/>
      <c r="B191" s="137"/>
      <c r="C191" s="53">
        <f t="shared" si="33"/>
        <v>1</v>
      </c>
      <c r="D191" s="962"/>
      <c r="E191" s="53">
        <f t="shared" si="34"/>
        <v>0.02</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3"/>
      <c r="B192" s="137"/>
      <c r="C192" s="53">
        <f t="shared" si="33"/>
        <v>1</v>
      </c>
      <c r="D192" s="962"/>
      <c r="E192" s="53">
        <f t="shared" si="34"/>
        <v>0.02</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3"/>
      <c r="B193" s="137"/>
      <c r="C193" s="53">
        <f t="shared" si="33"/>
        <v>1</v>
      </c>
      <c r="D193" s="962"/>
      <c r="E193" s="53">
        <f t="shared" si="34"/>
        <v>0.02</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3"/>
      <c r="B194" s="137"/>
      <c r="C194" s="53">
        <f t="shared" si="33"/>
        <v>1</v>
      </c>
      <c r="D194" s="962"/>
      <c r="E194" s="53">
        <f t="shared" si="34"/>
        <v>0.02</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3"/>
      <c r="B195" s="137"/>
      <c r="C195" s="53">
        <f t="shared" si="33"/>
        <v>1</v>
      </c>
      <c r="D195" s="962"/>
      <c r="E195" s="53">
        <f t="shared" si="34"/>
        <v>0.02</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3"/>
      <c r="B196" s="137"/>
      <c r="C196" s="53">
        <f t="shared" si="33"/>
        <v>1</v>
      </c>
      <c r="D196" s="962"/>
      <c r="E196" s="53">
        <f t="shared" si="34"/>
        <v>0.02</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3"/>
      <c r="B197" s="137"/>
      <c r="C197" s="53">
        <f t="shared" si="33"/>
        <v>1</v>
      </c>
      <c r="D197" s="962"/>
      <c r="E197" s="53">
        <f t="shared" si="34"/>
        <v>0.02</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3"/>
      <c r="B198" s="137"/>
      <c r="C198" s="53">
        <f t="shared" si="33"/>
        <v>1</v>
      </c>
      <c r="D198" s="962"/>
      <c r="E198" s="53">
        <f t="shared" si="34"/>
        <v>0.02</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3"/>
      <c r="B199" s="137"/>
      <c r="C199" s="53">
        <f t="shared" si="33"/>
        <v>1</v>
      </c>
      <c r="D199" s="962"/>
      <c r="E199" s="53">
        <f t="shared" si="34"/>
        <v>0.02</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3"/>
      <c r="B200" s="137"/>
      <c r="C200" s="53">
        <f t="shared" si="33"/>
        <v>1</v>
      </c>
      <c r="D200" s="962"/>
      <c r="E200" s="53">
        <f t="shared" si="34"/>
        <v>0.02</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3"/>
      <c r="B201" s="137"/>
      <c r="C201" s="53">
        <f t="shared" si="33"/>
        <v>1</v>
      </c>
      <c r="D201" s="962"/>
      <c r="E201" s="53">
        <f t="shared" si="34"/>
        <v>0.02</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3"/>
      <c r="B202" s="137"/>
      <c r="C202" s="53">
        <f t="shared" si="33"/>
        <v>1</v>
      </c>
      <c r="D202" s="962"/>
      <c r="E202" s="53">
        <f t="shared" si="34"/>
        <v>0.02</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3"/>
      <c r="B203" s="137"/>
      <c r="C203" s="53">
        <f t="shared" si="33"/>
        <v>1</v>
      </c>
      <c r="D203" s="962"/>
      <c r="E203" s="53">
        <f t="shared" si="34"/>
        <v>0.02</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3"/>
      <c r="B204" s="137"/>
      <c r="C204" s="53">
        <f t="shared" si="33"/>
        <v>1</v>
      </c>
      <c r="D204" s="962"/>
      <c r="E204" s="53">
        <f t="shared" si="34"/>
        <v>0.02</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3"/>
      <c r="B205" s="137"/>
      <c r="C205" s="53">
        <f t="shared" si="33"/>
        <v>1</v>
      </c>
      <c r="D205" s="962"/>
      <c r="E205" s="53">
        <f t="shared" si="34"/>
        <v>0.02</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3"/>
      <c r="B206" s="137"/>
      <c r="C206" s="53">
        <f t="shared" si="33"/>
        <v>1</v>
      </c>
      <c r="D206" s="962"/>
      <c r="E206" s="53">
        <f t="shared" si="34"/>
        <v>0.02</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3"/>
      <c r="B207" s="137"/>
      <c r="C207" s="53">
        <f t="shared" si="33"/>
        <v>1</v>
      </c>
      <c r="D207" s="962"/>
      <c r="E207" s="53">
        <f t="shared" si="34"/>
        <v>0.02</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3"/>
      <c r="B208" s="137"/>
      <c r="C208" s="53">
        <f t="shared" si="33"/>
        <v>1</v>
      </c>
      <c r="D208" s="962"/>
      <c r="E208" s="53">
        <f t="shared" si="34"/>
        <v>0.02</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3"/>
      <c r="B209" s="137"/>
      <c r="C209" s="53">
        <f t="shared" si="33"/>
        <v>1</v>
      </c>
      <c r="D209" s="962"/>
      <c r="E209" s="53">
        <f t="shared" si="34"/>
        <v>0.02</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3"/>
      <c r="B210" s="137"/>
      <c r="C210" s="53">
        <f t="shared" si="33"/>
        <v>1</v>
      </c>
      <c r="D210" s="962"/>
      <c r="E210" s="53">
        <f t="shared" si="34"/>
        <v>0.02</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3"/>
      <c r="B211" s="137"/>
      <c r="C211" s="53">
        <f t="shared" si="33"/>
        <v>1</v>
      </c>
      <c r="D211" s="962"/>
      <c r="E211" s="53">
        <f t="shared" si="34"/>
        <v>0.02</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3"/>
      <c r="B212" s="137"/>
      <c r="C212" s="53">
        <f t="shared" si="33"/>
        <v>1</v>
      </c>
      <c r="D212" s="962"/>
      <c r="E212" s="53">
        <f t="shared" si="34"/>
        <v>0.02</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3"/>
      <c r="B213" s="137"/>
      <c r="C213" s="53">
        <f t="shared" si="33"/>
        <v>1</v>
      </c>
      <c r="D213" s="962"/>
      <c r="E213" s="53">
        <f t="shared" si="34"/>
        <v>0.02</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3"/>
      <c r="B214" s="137"/>
      <c r="C214" s="53">
        <f t="shared" si="33"/>
        <v>1</v>
      </c>
      <c r="D214" s="962"/>
      <c r="E214" s="53">
        <f t="shared" si="34"/>
        <v>0.02</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3"/>
      <c r="B215" s="137"/>
      <c r="C215" s="53">
        <f t="shared" si="33"/>
        <v>1</v>
      </c>
      <c r="D215" s="962"/>
      <c r="E215" s="53">
        <f t="shared" si="34"/>
        <v>0.02</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3"/>
      <c r="B216" s="137"/>
      <c r="C216" s="53">
        <f t="shared" si="33"/>
        <v>1</v>
      </c>
      <c r="D216" s="962"/>
      <c r="E216" s="53">
        <f t="shared" si="34"/>
        <v>0.02</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3"/>
      <c r="B217" s="137"/>
      <c r="C217" s="53">
        <f t="shared" si="33"/>
        <v>1</v>
      </c>
      <c r="D217" s="962"/>
      <c r="E217" s="53">
        <f t="shared" si="34"/>
        <v>0.02</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3"/>
      <c r="B218" s="137"/>
      <c r="C218" s="53">
        <f t="shared" ref="C218:C281" si="43">IF(B218="",1,(LOOKUP(B218,$3:$3,$4:$4)-LOOKUP($B$24,$3:$3,$4:$4)+100)/100)</f>
        <v>1</v>
      </c>
      <c r="D218" s="962"/>
      <c r="E218" s="53">
        <f t="shared" ref="E218:E281" si="44">(SUMIF($5:$5,D218,$6:$6)-SUMIF($5:$5,$D$24,$6:$6)+100)/100</f>
        <v>0.02</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2"/>
      <c r="E219" s="53">
        <f t="shared" si="44"/>
        <v>0.02</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3"/>
      <c r="B220" s="137"/>
      <c r="C220" s="53">
        <f t="shared" si="43"/>
        <v>1</v>
      </c>
      <c r="D220" s="962"/>
      <c r="E220" s="53">
        <f t="shared" si="44"/>
        <v>0.02</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3"/>
      <c r="B221" s="137"/>
      <c r="C221" s="53">
        <f t="shared" si="43"/>
        <v>1</v>
      </c>
      <c r="D221" s="962"/>
      <c r="E221" s="53">
        <f t="shared" si="44"/>
        <v>0.02</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3"/>
      <c r="B222" s="137"/>
      <c r="C222" s="53">
        <f t="shared" si="43"/>
        <v>1</v>
      </c>
      <c r="D222" s="962"/>
      <c r="E222" s="53">
        <f t="shared" si="44"/>
        <v>0.02</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3"/>
      <c r="B223" s="137"/>
      <c r="C223" s="53">
        <f t="shared" si="43"/>
        <v>1</v>
      </c>
      <c r="D223" s="962"/>
      <c r="E223" s="53">
        <f t="shared" si="44"/>
        <v>0.02</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3"/>
      <c r="B224" s="137"/>
      <c r="C224" s="53">
        <f t="shared" si="43"/>
        <v>1</v>
      </c>
      <c r="D224" s="962"/>
      <c r="E224" s="53">
        <f t="shared" si="44"/>
        <v>0.02</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3"/>
      <c r="B225" s="137"/>
      <c r="C225" s="53">
        <f t="shared" si="43"/>
        <v>1</v>
      </c>
      <c r="D225" s="962"/>
      <c r="E225" s="53">
        <f t="shared" si="44"/>
        <v>0.02</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3"/>
      <c r="B226" s="137"/>
      <c r="C226" s="53">
        <f t="shared" si="43"/>
        <v>1</v>
      </c>
      <c r="D226" s="962"/>
      <c r="E226" s="53">
        <f t="shared" si="44"/>
        <v>0.02</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3"/>
      <c r="B227" s="137"/>
      <c r="C227" s="53">
        <f t="shared" si="43"/>
        <v>1</v>
      </c>
      <c r="D227" s="962"/>
      <c r="E227" s="53">
        <f t="shared" si="44"/>
        <v>0.02</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3"/>
      <c r="B228" s="137"/>
      <c r="C228" s="53">
        <f t="shared" si="43"/>
        <v>1</v>
      </c>
      <c r="D228" s="962"/>
      <c r="E228" s="53">
        <f t="shared" si="44"/>
        <v>0.02</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3"/>
      <c r="B229" s="137"/>
      <c r="C229" s="53">
        <f t="shared" si="43"/>
        <v>1</v>
      </c>
      <c r="D229" s="962"/>
      <c r="E229" s="53">
        <f t="shared" si="44"/>
        <v>0.02</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3"/>
      <c r="B230" s="137"/>
      <c r="C230" s="53">
        <f t="shared" si="43"/>
        <v>1</v>
      </c>
      <c r="D230" s="962"/>
      <c r="E230" s="53">
        <f t="shared" si="44"/>
        <v>0.02</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3"/>
      <c r="B231" s="137"/>
      <c r="C231" s="53">
        <f t="shared" si="43"/>
        <v>1</v>
      </c>
      <c r="D231" s="962"/>
      <c r="E231" s="53">
        <f t="shared" si="44"/>
        <v>0.02</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3"/>
      <c r="B232" s="137"/>
      <c r="C232" s="53">
        <f t="shared" si="43"/>
        <v>1</v>
      </c>
      <c r="D232" s="962"/>
      <c r="E232" s="53">
        <f t="shared" si="44"/>
        <v>0.02</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3"/>
      <c r="B233" s="137"/>
      <c r="C233" s="53">
        <f t="shared" si="43"/>
        <v>1</v>
      </c>
      <c r="D233" s="962"/>
      <c r="E233" s="53">
        <f t="shared" si="44"/>
        <v>0.02</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3"/>
      <c r="B234" s="137"/>
      <c r="C234" s="53">
        <f t="shared" si="43"/>
        <v>1</v>
      </c>
      <c r="D234" s="962"/>
      <c r="E234" s="53">
        <f t="shared" si="44"/>
        <v>0.02</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3"/>
      <c r="B235" s="137"/>
      <c r="C235" s="53">
        <f t="shared" si="43"/>
        <v>1</v>
      </c>
      <c r="D235" s="962"/>
      <c r="E235" s="53">
        <f t="shared" si="44"/>
        <v>0.02</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3"/>
      <c r="B236" s="137"/>
      <c r="C236" s="53">
        <f t="shared" si="43"/>
        <v>1</v>
      </c>
      <c r="D236" s="962"/>
      <c r="E236" s="53">
        <f t="shared" si="44"/>
        <v>0.02</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3"/>
      <c r="B237" s="137"/>
      <c r="C237" s="53">
        <f t="shared" si="43"/>
        <v>1</v>
      </c>
      <c r="D237" s="962"/>
      <c r="E237" s="53">
        <f t="shared" si="44"/>
        <v>0.02</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3"/>
      <c r="B238" s="137"/>
      <c r="C238" s="53">
        <f t="shared" si="43"/>
        <v>1</v>
      </c>
      <c r="D238" s="962"/>
      <c r="E238" s="53">
        <f t="shared" si="44"/>
        <v>0.02</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3"/>
      <c r="B239" s="137"/>
      <c r="C239" s="53">
        <f t="shared" si="43"/>
        <v>1</v>
      </c>
      <c r="D239" s="962"/>
      <c r="E239" s="53">
        <f t="shared" si="44"/>
        <v>0.02</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3"/>
      <c r="B240" s="137"/>
      <c r="C240" s="53">
        <f t="shared" si="43"/>
        <v>1</v>
      </c>
      <c r="D240" s="962"/>
      <c r="E240" s="53">
        <f t="shared" si="44"/>
        <v>0.02</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3"/>
      <c r="B241" s="137"/>
      <c r="C241" s="53">
        <f t="shared" si="43"/>
        <v>1</v>
      </c>
      <c r="D241" s="962"/>
      <c r="E241" s="53">
        <f t="shared" si="44"/>
        <v>0.02</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3"/>
      <c r="B242" s="137"/>
      <c r="C242" s="53">
        <f t="shared" si="43"/>
        <v>1</v>
      </c>
      <c r="D242" s="962"/>
      <c r="E242" s="53">
        <f t="shared" si="44"/>
        <v>0.02</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3"/>
      <c r="B243" s="137"/>
      <c r="C243" s="53">
        <f t="shared" si="43"/>
        <v>1</v>
      </c>
      <c r="D243" s="962"/>
      <c r="E243" s="53">
        <f t="shared" si="44"/>
        <v>0.02</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3"/>
      <c r="B244" s="137"/>
      <c r="C244" s="53">
        <f t="shared" si="43"/>
        <v>1</v>
      </c>
      <c r="D244" s="962"/>
      <c r="E244" s="53">
        <f t="shared" si="44"/>
        <v>0.02</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3"/>
      <c r="B245" s="137"/>
      <c r="C245" s="53">
        <f t="shared" si="43"/>
        <v>1</v>
      </c>
      <c r="D245" s="962"/>
      <c r="E245" s="53">
        <f t="shared" si="44"/>
        <v>0.02</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3"/>
      <c r="B246" s="137"/>
      <c r="C246" s="53">
        <f t="shared" si="43"/>
        <v>1</v>
      </c>
      <c r="D246" s="962"/>
      <c r="E246" s="53">
        <f t="shared" si="44"/>
        <v>0.02</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3"/>
      <c r="B247" s="137"/>
      <c r="C247" s="53">
        <f t="shared" si="43"/>
        <v>1</v>
      </c>
      <c r="D247" s="962"/>
      <c r="E247" s="53">
        <f t="shared" si="44"/>
        <v>0.02</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3"/>
      <c r="B248" s="137"/>
      <c r="C248" s="53">
        <f t="shared" si="43"/>
        <v>1</v>
      </c>
      <c r="D248" s="962"/>
      <c r="E248" s="53">
        <f t="shared" si="44"/>
        <v>0.02</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3"/>
      <c r="B249" s="137"/>
      <c r="C249" s="53">
        <f t="shared" si="43"/>
        <v>1</v>
      </c>
      <c r="D249" s="962"/>
      <c r="E249" s="53">
        <f t="shared" si="44"/>
        <v>0.02</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3"/>
      <c r="B250" s="137"/>
      <c r="C250" s="53">
        <f t="shared" si="43"/>
        <v>1</v>
      </c>
      <c r="D250" s="962"/>
      <c r="E250" s="53">
        <f t="shared" si="44"/>
        <v>0.02</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3"/>
      <c r="B251" s="137"/>
      <c r="C251" s="53">
        <f t="shared" si="43"/>
        <v>1</v>
      </c>
      <c r="D251" s="962"/>
      <c r="E251" s="53">
        <f t="shared" si="44"/>
        <v>0.02</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3"/>
      <c r="B252" s="137"/>
      <c r="C252" s="53">
        <f t="shared" si="43"/>
        <v>1</v>
      </c>
      <c r="D252" s="962"/>
      <c r="E252" s="53">
        <f t="shared" si="44"/>
        <v>0.02</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3"/>
      <c r="B253" s="137"/>
      <c r="C253" s="53">
        <f t="shared" si="43"/>
        <v>1</v>
      </c>
      <c r="D253" s="962"/>
      <c r="E253" s="53">
        <f t="shared" si="44"/>
        <v>0.02</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3"/>
      <c r="B254" s="137"/>
      <c r="C254" s="53">
        <f t="shared" si="43"/>
        <v>1</v>
      </c>
      <c r="D254" s="962"/>
      <c r="E254" s="53">
        <f t="shared" si="44"/>
        <v>0.02</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3"/>
      <c r="B255" s="137"/>
      <c r="C255" s="53">
        <f t="shared" si="43"/>
        <v>1</v>
      </c>
      <c r="D255" s="962"/>
      <c r="E255" s="53">
        <f t="shared" si="44"/>
        <v>0.02</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3"/>
      <c r="B256" s="137"/>
      <c r="C256" s="53">
        <f t="shared" si="43"/>
        <v>1</v>
      </c>
      <c r="D256" s="962"/>
      <c r="E256" s="53">
        <f t="shared" si="44"/>
        <v>0.02</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3"/>
      <c r="B257" s="137"/>
      <c r="C257" s="53">
        <f t="shared" si="43"/>
        <v>1</v>
      </c>
      <c r="D257" s="962"/>
      <c r="E257" s="53">
        <f t="shared" si="44"/>
        <v>0.02</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3"/>
      <c r="B258" s="137"/>
      <c r="C258" s="53">
        <f t="shared" si="43"/>
        <v>1</v>
      </c>
      <c r="D258" s="962"/>
      <c r="E258" s="53">
        <f t="shared" si="44"/>
        <v>0.02</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3"/>
      <c r="B259" s="137"/>
      <c r="C259" s="53">
        <f t="shared" si="43"/>
        <v>1</v>
      </c>
      <c r="D259" s="962"/>
      <c r="E259" s="53">
        <f t="shared" si="44"/>
        <v>0.02</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3"/>
      <c r="B260" s="137"/>
      <c r="C260" s="53">
        <f t="shared" si="43"/>
        <v>1</v>
      </c>
      <c r="D260" s="962"/>
      <c r="E260" s="53">
        <f t="shared" si="44"/>
        <v>0.02</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3"/>
      <c r="B261" s="137"/>
      <c r="C261" s="53">
        <f t="shared" si="43"/>
        <v>1</v>
      </c>
      <c r="D261" s="962"/>
      <c r="E261" s="53">
        <f t="shared" si="44"/>
        <v>0.02</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3"/>
      <c r="B262" s="137"/>
      <c r="C262" s="53">
        <f t="shared" si="43"/>
        <v>1</v>
      </c>
      <c r="D262" s="962"/>
      <c r="E262" s="53">
        <f t="shared" si="44"/>
        <v>0.02</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3"/>
      <c r="B263" s="137"/>
      <c r="C263" s="53">
        <f t="shared" si="43"/>
        <v>1</v>
      </c>
      <c r="D263" s="962"/>
      <c r="E263" s="53">
        <f t="shared" si="44"/>
        <v>0.02</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3"/>
      <c r="B264" s="137"/>
      <c r="C264" s="53">
        <f t="shared" si="43"/>
        <v>1</v>
      </c>
      <c r="D264" s="962"/>
      <c r="E264" s="53">
        <f t="shared" si="44"/>
        <v>0.02</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3"/>
      <c r="B265" s="137"/>
      <c r="C265" s="53">
        <f t="shared" si="43"/>
        <v>1</v>
      </c>
      <c r="D265" s="962"/>
      <c r="E265" s="53">
        <f t="shared" si="44"/>
        <v>0.02</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3"/>
      <c r="B266" s="137"/>
      <c r="C266" s="53">
        <f t="shared" si="43"/>
        <v>1</v>
      </c>
      <c r="D266" s="962"/>
      <c r="E266" s="53">
        <f t="shared" si="44"/>
        <v>0.02</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3"/>
      <c r="B267" s="137"/>
      <c r="C267" s="53">
        <f t="shared" si="43"/>
        <v>1</v>
      </c>
      <c r="D267" s="962"/>
      <c r="E267" s="53">
        <f t="shared" si="44"/>
        <v>0.02</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3"/>
      <c r="B268" s="137"/>
      <c r="C268" s="53">
        <f t="shared" si="43"/>
        <v>1</v>
      </c>
      <c r="D268" s="962"/>
      <c r="E268" s="53">
        <f t="shared" si="44"/>
        <v>0.02</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3"/>
      <c r="B269" s="137"/>
      <c r="C269" s="53">
        <f t="shared" si="43"/>
        <v>1</v>
      </c>
      <c r="D269" s="962"/>
      <c r="E269" s="53">
        <f t="shared" si="44"/>
        <v>0.02</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3"/>
      <c r="B270" s="137"/>
      <c r="C270" s="53">
        <f t="shared" si="43"/>
        <v>1</v>
      </c>
      <c r="D270" s="962"/>
      <c r="E270" s="53">
        <f t="shared" si="44"/>
        <v>0.02</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3"/>
      <c r="B271" s="137"/>
      <c r="C271" s="53">
        <f t="shared" si="43"/>
        <v>1</v>
      </c>
      <c r="D271" s="962"/>
      <c r="E271" s="53">
        <f t="shared" si="44"/>
        <v>0.02</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3"/>
      <c r="B272" s="137"/>
      <c r="C272" s="53">
        <f t="shared" si="43"/>
        <v>1</v>
      </c>
      <c r="D272" s="962"/>
      <c r="E272" s="53">
        <f t="shared" si="44"/>
        <v>0.02</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3"/>
      <c r="B273" s="137"/>
      <c r="C273" s="53">
        <f t="shared" si="43"/>
        <v>1</v>
      </c>
      <c r="D273" s="962"/>
      <c r="E273" s="53">
        <f t="shared" si="44"/>
        <v>0.02</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3"/>
      <c r="B274" s="137"/>
      <c r="C274" s="53">
        <f t="shared" si="43"/>
        <v>1</v>
      </c>
      <c r="D274" s="962"/>
      <c r="E274" s="53">
        <f t="shared" si="44"/>
        <v>0.02</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3"/>
      <c r="B275" s="137"/>
      <c r="C275" s="53">
        <f t="shared" si="43"/>
        <v>1</v>
      </c>
      <c r="D275" s="962"/>
      <c r="E275" s="53">
        <f t="shared" si="44"/>
        <v>0.02</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3"/>
      <c r="B276" s="137"/>
      <c r="C276" s="53">
        <f t="shared" si="43"/>
        <v>1</v>
      </c>
      <c r="D276" s="962"/>
      <c r="E276" s="53">
        <f t="shared" si="44"/>
        <v>0.02</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3"/>
      <c r="B277" s="137"/>
      <c r="C277" s="53">
        <f t="shared" si="43"/>
        <v>1</v>
      </c>
      <c r="D277" s="962"/>
      <c r="E277" s="53">
        <f t="shared" si="44"/>
        <v>0.02</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3"/>
      <c r="B278" s="137"/>
      <c r="C278" s="53">
        <f t="shared" si="43"/>
        <v>1</v>
      </c>
      <c r="D278" s="962"/>
      <c r="E278" s="53">
        <f t="shared" si="44"/>
        <v>0.02</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3"/>
      <c r="B279" s="137"/>
      <c r="C279" s="53">
        <f t="shared" si="43"/>
        <v>1</v>
      </c>
      <c r="D279" s="962"/>
      <c r="E279" s="53">
        <f t="shared" si="44"/>
        <v>0.02</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3"/>
      <c r="B280" s="137"/>
      <c r="C280" s="53">
        <f t="shared" si="43"/>
        <v>1</v>
      </c>
      <c r="D280" s="962"/>
      <c r="E280" s="53">
        <f t="shared" si="44"/>
        <v>0.02</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3"/>
      <c r="B281" s="137"/>
      <c r="C281" s="53">
        <f t="shared" si="43"/>
        <v>1</v>
      </c>
      <c r="D281" s="962"/>
      <c r="E281" s="53">
        <f t="shared" si="44"/>
        <v>0.02</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3"/>
      <c r="B282" s="137"/>
      <c r="C282" s="53">
        <f t="shared" ref="C282:C345" si="53">IF(B282="",1,(LOOKUP(B282,$3:$3,$4:$4)-LOOKUP($B$24,$3:$3,$4:$4)+100)/100)</f>
        <v>1</v>
      </c>
      <c r="D282" s="962"/>
      <c r="E282" s="53">
        <f t="shared" ref="E282:E345" si="54">(SUMIF($5:$5,D282,$6:$6)-SUMIF($5:$5,$D$24,$6:$6)+100)/100</f>
        <v>0.02</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2"/>
      <c r="E283" s="53">
        <f t="shared" si="54"/>
        <v>0.02</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3"/>
      <c r="B284" s="137"/>
      <c r="C284" s="53">
        <f t="shared" si="53"/>
        <v>1</v>
      </c>
      <c r="D284" s="962"/>
      <c r="E284" s="53">
        <f t="shared" si="54"/>
        <v>0.02</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3"/>
      <c r="B285" s="137"/>
      <c r="C285" s="53">
        <f t="shared" si="53"/>
        <v>1</v>
      </c>
      <c r="D285" s="962"/>
      <c r="E285" s="53">
        <f t="shared" si="54"/>
        <v>0.02</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3"/>
      <c r="B286" s="137"/>
      <c r="C286" s="53">
        <f t="shared" si="53"/>
        <v>1</v>
      </c>
      <c r="D286" s="962"/>
      <c r="E286" s="53">
        <f t="shared" si="54"/>
        <v>0.02</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3"/>
      <c r="B287" s="137"/>
      <c r="C287" s="53">
        <f t="shared" si="53"/>
        <v>1</v>
      </c>
      <c r="D287" s="962"/>
      <c r="E287" s="53">
        <f t="shared" si="54"/>
        <v>0.02</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3"/>
      <c r="B288" s="137"/>
      <c r="C288" s="53">
        <f t="shared" si="53"/>
        <v>1</v>
      </c>
      <c r="D288" s="962"/>
      <c r="E288" s="53">
        <f t="shared" si="54"/>
        <v>0.02</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3"/>
      <c r="B289" s="137"/>
      <c r="C289" s="53">
        <f t="shared" si="53"/>
        <v>1</v>
      </c>
      <c r="D289" s="962"/>
      <c r="E289" s="53">
        <f t="shared" si="54"/>
        <v>0.02</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3"/>
      <c r="B290" s="137"/>
      <c r="C290" s="53">
        <f t="shared" si="53"/>
        <v>1</v>
      </c>
      <c r="D290" s="962"/>
      <c r="E290" s="53">
        <f t="shared" si="54"/>
        <v>0.02</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3"/>
      <c r="B291" s="137"/>
      <c r="C291" s="53">
        <f t="shared" si="53"/>
        <v>1</v>
      </c>
      <c r="D291" s="962"/>
      <c r="E291" s="53">
        <f t="shared" si="54"/>
        <v>0.02</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3"/>
      <c r="B292" s="137"/>
      <c r="C292" s="53">
        <f t="shared" si="53"/>
        <v>1</v>
      </c>
      <c r="D292" s="962"/>
      <c r="E292" s="53">
        <f t="shared" si="54"/>
        <v>0.02</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3"/>
      <c r="B293" s="137"/>
      <c r="C293" s="53">
        <f t="shared" si="53"/>
        <v>1</v>
      </c>
      <c r="D293" s="962"/>
      <c r="E293" s="53">
        <f t="shared" si="54"/>
        <v>0.02</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3"/>
      <c r="B294" s="137"/>
      <c r="C294" s="53">
        <f t="shared" si="53"/>
        <v>1</v>
      </c>
      <c r="D294" s="962"/>
      <c r="E294" s="53">
        <f t="shared" si="54"/>
        <v>0.02</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3"/>
      <c r="B295" s="137"/>
      <c r="C295" s="53">
        <f t="shared" si="53"/>
        <v>1</v>
      </c>
      <c r="D295" s="962"/>
      <c r="E295" s="53">
        <f t="shared" si="54"/>
        <v>0.02</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3"/>
      <c r="B296" s="137"/>
      <c r="C296" s="53">
        <f t="shared" si="53"/>
        <v>1</v>
      </c>
      <c r="D296" s="962"/>
      <c r="E296" s="53">
        <f t="shared" si="54"/>
        <v>0.02</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3"/>
      <c r="B297" s="137"/>
      <c r="C297" s="53">
        <f t="shared" si="53"/>
        <v>1</v>
      </c>
      <c r="D297" s="962"/>
      <c r="E297" s="53">
        <f t="shared" si="54"/>
        <v>0.02</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3"/>
      <c r="B298" s="137"/>
      <c r="C298" s="53">
        <f t="shared" si="53"/>
        <v>1</v>
      </c>
      <c r="D298" s="962"/>
      <c r="E298" s="53">
        <f t="shared" si="54"/>
        <v>0.02</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3"/>
      <c r="B299" s="137"/>
      <c r="C299" s="53">
        <f t="shared" si="53"/>
        <v>1</v>
      </c>
      <c r="D299" s="962"/>
      <c r="E299" s="53">
        <f t="shared" si="54"/>
        <v>0.02</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3"/>
      <c r="B300" s="137"/>
      <c r="C300" s="53">
        <f t="shared" si="53"/>
        <v>1</v>
      </c>
      <c r="D300" s="962"/>
      <c r="E300" s="53">
        <f t="shared" si="54"/>
        <v>0.02</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3"/>
      <c r="B301" s="137"/>
      <c r="C301" s="53">
        <f t="shared" si="53"/>
        <v>1</v>
      </c>
      <c r="D301" s="962"/>
      <c r="E301" s="53">
        <f t="shared" si="54"/>
        <v>0.02</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3"/>
      <c r="B302" s="137"/>
      <c r="C302" s="53">
        <f t="shared" si="53"/>
        <v>1</v>
      </c>
      <c r="D302" s="962"/>
      <c r="E302" s="53">
        <f t="shared" si="54"/>
        <v>0.02</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3"/>
      <c r="B303" s="137"/>
      <c r="C303" s="53">
        <f t="shared" si="53"/>
        <v>1</v>
      </c>
      <c r="D303" s="962"/>
      <c r="E303" s="53">
        <f t="shared" si="54"/>
        <v>0.02</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3"/>
      <c r="B304" s="137"/>
      <c r="C304" s="53">
        <f t="shared" si="53"/>
        <v>1</v>
      </c>
      <c r="D304" s="962"/>
      <c r="E304" s="53">
        <f t="shared" si="54"/>
        <v>0.02</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3"/>
      <c r="B305" s="137"/>
      <c r="C305" s="53">
        <f t="shared" si="53"/>
        <v>1</v>
      </c>
      <c r="D305" s="962"/>
      <c r="E305" s="53">
        <f t="shared" si="54"/>
        <v>0.02</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3"/>
      <c r="B306" s="137"/>
      <c r="C306" s="53">
        <f t="shared" si="53"/>
        <v>1</v>
      </c>
      <c r="D306" s="962"/>
      <c r="E306" s="53">
        <f t="shared" si="54"/>
        <v>0.02</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3"/>
      <c r="B307" s="137"/>
      <c r="C307" s="53">
        <f t="shared" si="53"/>
        <v>1</v>
      </c>
      <c r="D307" s="962"/>
      <c r="E307" s="53">
        <f t="shared" si="54"/>
        <v>0.02</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3"/>
      <c r="B308" s="137"/>
      <c r="C308" s="53">
        <f t="shared" si="53"/>
        <v>1</v>
      </c>
      <c r="D308" s="962"/>
      <c r="E308" s="53">
        <f t="shared" si="54"/>
        <v>0.02</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3"/>
      <c r="B309" s="137"/>
      <c r="C309" s="53">
        <f t="shared" si="53"/>
        <v>1</v>
      </c>
      <c r="D309" s="962"/>
      <c r="E309" s="53">
        <f t="shared" si="54"/>
        <v>0.02</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3"/>
      <c r="B310" s="137"/>
      <c r="C310" s="53">
        <f t="shared" si="53"/>
        <v>1</v>
      </c>
      <c r="D310" s="962"/>
      <c r="E310" s="53">
        <f t="shared" si="54"/>
        <v>0.02</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3"/>
      <c r="B311" s="137"/>
      <c r="C311" s="53">
        <f t="shared" si="53"/>
        <v>1</v>
      </c>
      <c r="D311" s="962"/>
      <c r="E311" s="53">
        <f t="shared" si="54"/>
        <v>0.02</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3"/>
      <c r="B312" s="137"/>
      <c r="C312" s="53">
        <f t="shared" si="53"/>
        <v>1</v>
      </c>
      <c r="D312" s="962"/>
      <c r="E312" s="53">
        <f t="shared" si="54"/>
        <v>0.02</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3"/>
      <c r="B313" s="137"/>
      <c r="C313" s="53">
        <f t="shared" si="53"/>
        <v>1</v>
      </c>
      <c r="D313" s="962"/>
      <c r="E313" s="53">
        <f t="shared" si="54"/>
        <v>0.02</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3"/>
      <c r="B314" s="137"/>
      <c r="C314" s="53">
        <f t="shared" si="53"/>
        <v>1</v>
      </c>
      <c r="D314" s="962"/>
      <c r="E314" s="53">
        <f t="shared" si="54"/>
        <v>0.02</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3"/>
      <c r="B315" s="137"/>
      <c r="C315" s="53">
        <f t="shared" si="53"/>
        <v>1</v>
      </c>
      <c r="D315" s="962"/>
      <c r="E315" s="53">
        <f t="shared" si="54"/>
        <v>0.02</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3"/>
      <c r="B316" s="137"/>
      <c r="C316" s="53">
        <f t="shared" si="53"/>
        <v>1</v>
      </c>
      <c r="D316" s="962"/>
      <c r="E316" s="53">
        <f t="shared" si="54"/>
        <v>0.02</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3"/>
      <c r="B317" s="137"/>
      <c r="C317" s="53">
        <f t="shared" si="53"/>
        <v>1</v>
      </c>
      <c r="D317" s="962"/>
      <c r="E317" s="53">
        <f t="shared" si="54"/>
        <v>0.02</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3"/>
      <c r="B318" s="137"/>
      <c r="C318" s="53">
        <f t="shared" si="53"/>
        <v>1</v>
      </c>
      <c r="D318" s="962"/>
      <c r="E318" s="53">
        <f t="shared" si="54"/>
        <v>0.02</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3"/>
      <c r="B319" s="137"/>
      <c r="C319" s="53">
        <f t="shared" si="53"/>
        <v>1</v>
      </c>
      <c r="D319" s="962"/>
      <c r="E319" s="53">
        <f t="shared" si="54"/>
        <v>0.02</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3"/>
      <c r="B320" s="137"/>
      <c r="C320" s="53">
        <f t="shared" si="53"/>
        <v>1</v>
      </c>
      <c r="D320" s="962"/>
      <c r="E320" s="53">
        <f t="shared" si="54"/>
        <v>0.02</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3"/>
      <c r="B321" s="137"/>
      <c r="C321" s="53">
        <f t="shared" si="53"/>
        <v>1</v>
      </c>
      <c r="D321" s="962"/>
      <c r="E321" s="53">
        <f t="shared" si="54"/>
        <v>0.02</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3"/>
      <c r="B322" s="137"/>
      <c r="C322" s="53">
        <f t="shared" si="53"/>
        <v>1</v>
      </c>
      <c r="D322" s="962"/>
      <c r="E322" s="53">
        <f t="shared" si="54"/>
        <v>0.02</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3"/>
      <c r="B323" s="137"/>
      <c r="C323" s="53">
        <f t="shared" si="53"/>
        <v>1</v>
      </c>
      <c r="D323" s="962"/>
      <c r="E323" s="53">
        <f t="shared" si="54"/>
        <v>0.02</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3"/>
      <c r="B324" s="137"/>
      <c r="C324" s="53">
        <f t="shared" si="53"/>
        <v>1</v>
      </c>
      <c r="D324" s="962"/>
      <c r="E324" s="53">
        <f t="shared" si="54"/>
        <v>0.02</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3"/>
      <c r="B325" s="137"/>
      <c r="C325" s="53">
        <f t="shared" si="53"/>
        <v>1</v>
      </c>
      <c r="D325" s="962"/>
      <c r="E325" s="53">
        <f t="shared" si="54"/>
        <v>0.02</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3"/>
      <c r="B326" s="137"/>
      <c r="C326" s="53">
        <f t="shared" si="53"/>
        <v>1</v>
      </c>
      <c r="D326" s="962"/>
      <c r="E326" s="53">
        <f t="shared" si="54"/>
        <v>0.02</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3"/>
      <c r="B327" s="137"/>
      <c r="C327" s="53">
        <f t="shared" si="53"/>
        <v>1</v>
      </c>
      <c r="D327" s="962"/>
      <c r="E327" s="53">
        <f t="shared" si="54"/>
        <v>0.02</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3"/>
      <c r="B328" s="137"/>
      <c r="C328" s="53">
        <f t="shared" si="53"/>
        <v>1</v>
      </c>
      <c r="D328" s="962"/>
      <c r="E328" s="53">
        <f t="shared" si="54"/>
        <v>0.02</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3"/>
      <c r="B329" s="137"/>
      <c r="C329" s="53">
        <f t="shared" si="53"/>
        <v>1</v>
      </c>
      <c r="D329" s="962"/>
      <c r="E329" s="53">
        <f t="shared" si="54"/>
        <v>0.02</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3"/>
      <c r="B330" s="137"/>
      <c r="C330" s="53">
        <f t="shared" si="53"/>
        <v>1</v>
      </c>
      <c r="D330" s="962"/>
      <c r="E330" s="53">
        <f t="shared" si="54"/>
        <v>0.02</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3"/>
      <c r="B331" s="137"/>
      <c r="C331" s="53">
        <f t="shared" si="53"/>
        <v>1</v>
      </c>
      <c r="D331" s="962"/>
      <c r="E331" s="53">
        <f t="shared" si="54"/>
        <v>0.02</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3"/>
      <c r="B332" s="137"/>
      <c r="C332" s="53">
        <f t="shared" si="53"/>
        <v>1</v>
      </c>
      <c r="D332" s="962"/>
      <c r="E332" s="53">
        <f t="shared" si="54"/>
        <v>0.02</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3"/>
      <c r="B333" s="137"/>
      <c r="C333" s="53">
        <f t="shared" si="53"/>
        <v>1</v>
      </c>
      <c r="D333" s="962"/>
      <c r="E333" s="53">
        <f t="shared" si="54"/>
        <v>0.02</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3"/>
      <c r="B334" s="137"/>
      <c r="C334" s="53">
        <f t="shared" si="53"/>
        <v>1</v>
      </c>
      <c r="D334" s="962"/>
      <c r="E334" s="53">
        <f t="shared" si="54"/>
        <v>0.02</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3"/>
      <c r="B335" s="137"/>
      <c r="C335" s="53">
        <f t="shared" si="53"/>
        <v>1</v>
      </c>
      <c r="D335" s="962"/>
      <c r="E335" s="53">
        <f t="shared" si="54"/>
        <v>0.02</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3"/>
      <c r="B336" s="137"/>
      <c r="C336" s="53">
        <f t="shared" si="53"/>
        <v>1</v>
      </c>
      <c r="D336" s="962"/>
      <c r="E336" s="53">
        <f t="shared" si="54"/>
        <v>0.02</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3"/>
      <c r="B337" s="137"/>
      <c r="C337" s="53">
        <f t="shared" si="53"/>
        <v>1</v>
      </c>
      <c r="D337" s="962"/>
      <c r="E337" s="53">
        <f t="shared" si="54"/>
        <v>0.02</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3"/>
      <c r="B338" s="137"/>
      <c r="C338" s="53">
        <f t="shared" si="53"/>
        <v>1</v>
      </c>
      <c r="D338" s="962"/>
      <c r="E338" s="53">
        <f t="shared" si="54"/>
        <v>0.02</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3"/>
      <c r="B339" s="137"/>
      <c r="C339" s="53">
        <f t="shared" si="53"/>
        <v>1</v>
      </c>
      <c r="D339" s="962"/>
      <c r="E339" s="53">
        <f t="shared" si="54"/>
        <v>0.02</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3"/>
      <c r="B340" s="137"/>
      <c r="C340" s="53">
        <f t="shared" si="53"/>
        <v>1</v>
      </c>
      <c r="D340" s="962"/>
      <c r="E340" s="53">
        <f t="shared" si="54"/>
        <v>0.02</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3"/>
      <c r="B341" s="137"/>
      <c r="C341" s="53">
        <f t="shared" si="53"/>
        <v>1</v>
      </c>
      <c r="D341" s="962"/>
      <c r="E341" s="53">
        <f t="shared" si="54"/>
        <v>0.02</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3"/>
      <c r="B342" s="137"/>
      <c r="C342" s="53">
        <f t="shared" si="53"/>
        <v>1</v>
      </c>
      <c r="D342" s="962"/>
      <c r="E342" s="53">
        <f t="shared" si="54"/>
        <v>0.02</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3"/>
      <c r="B343" s="137"/>
      <c r="C343" s="53">
        <f t="shared" si="53"/>
        <v>1</v>
      </c>
      <c r="D343" s="962"/>
      <c r="E343" s="53">
        <f t="shared" si="54"/>
        <v>0.02</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3"/>
      <c r="B344" s="137"/>
      <c r="C344" s="53">
        <f t="shared" si="53"/>
        <v>1</v>
      </c>
      <c r="D344" s="962"/>
      <c r="E344" s="53">
        <f t="shared" si="54"/>
        <v>0.02</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3"/>
      <c r="B345" s="137"/>
      <c r="C345" s="53">
        <f t="shared" si="53"/>
        <v>1</v>
      </c>
      <c r="D345" s="962"/>
      <c r="E345" s="53">
        <f t="shared" si="54"/>
        <v>0.02</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3"/>
      <c r="B346" s="137"/>
      <c r="C346" s="53">
        <f t="shared" ref="C346:C409" si="64">IF(B346="",1,(LOOKUP(B346,$3:$3,$4:$4)-LOOKUP($B$24,$3:$3,$4:$4)+100)/100)</f>
        <v>1</v>
      </c>
      <c r="D346" s="962"/>
      <c r="E346" s="53">
        <f t="shared" ref="E346:E409" si="65">(SUMIF($5:$5,D346,$6:$6)-SUMIF($5:$5,$D$24,$6:$6)+100)/100</f>
        <v>0.02</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2"/>
      <c r="E347" s="53">
        <f t="shared" si="65"/>
        <v>0.02</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3"/>
      <c r="B348" s="137"/>
      <c r="C348" s="53">
        <f t="shared" si="64"/>
        <v>1</v>
      </c>
      <c r="D348" s="962"/>
      <c r="E348" s="53">
        <f t="shared" si="65"/>
        <v>0.02</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3"/>
      <c r="B349" s="137"/>
      <c r="C349" s="53">
        <f t="shared" si="64"/>
        <v>1</v>
      </c>
      <c r="D349" s="962"/>
      <c r="E349" s="53">
        <f t="shared" si="65"/>
        <v>0.02</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3"/>
      <c r="B350" s="137"/>
      <c r="C350" s="53">
        <f t="shared" si="64"/>
        <v>1</v>
      </c>
      <c r="D350" s="962"/>
      <c r="E350" s="53">
        <f t="shared" si="65"/>
        <v>0.02</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3"/>
      <c r="B351" s="137"/>
      <c r="C351" s="53">
        <f t="shared" si="64"/>
        <v>1</v>
      </c>
      <c r="D351" s="962"/>
      <c r="E351" s="53">
        <f t="shared" si="65"/>
        <v>0.02</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3"/>
      <c r="B352" s="137"/>
      <c r="C352" s="53">
        <f t="shared" si="64"/>
        <v>1</v>
      </c>
      <c r="D352" s="962"/>
      <c r="E352" s="53">
        <f t="shared" si="65"/>
        <v>0.02</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3"/>
      <c r="B353" s="137"/>
      <c r="C353" s="53">
        <f t="shared" si="64"/>
        <v>1</v>
      </c>
      <c r="D353" s="962"/>
      <c r="E353" s="53">
        <f t="shared" si="65"/>
        <v>0.02</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3"/>
      <c r="B354" s="137"/>
      <c r="C354" s="53">
        <f t="shared" si="64"/>
        <v>1</v>
      </c>
      <c r="D354" s="962"/>
      <c r="E354" s="53">
        <f t="shared" si="65"/>
        <v>0.02</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3"/>
      <c r="B355" s="137"/>
      <c r="C355" s="53">
        <f t="shared" si="64"/>
        <v>1</v>
      </c>
      <c r="D355" s="962"/>
      <c r="E355" s="53">
        <f t="shared" si="65"/>
        <v>0.02</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3"/>
      <c r="B356" s="137"/>
      <c r="C356" s="53">
        <f t="shared" si="64"/>
        <v>1</v>
      </c>
      <c r="D356" s="962"/>
      <c r="E356" s="53">
        <f t="shared" si="65"/>
        <v>0.02</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3"/>
      <c r="B357" s="137"/>
      <c r="C357" s="53">
        <f t="shared" si="64"/>
        <v>1</v>
      </c>
      <c r="D357" s="962"/>
      <c r="E357" s="53">
        <f t="shared" si="65"/>
        <v>0.02</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3"/>
      <c r="B358" s="137"/>
      <c r="C358" s="53">
        <f t="shared" si="64"/>
        <v>1</v>
      </c>
      <c r="D358" s="962"/>
      <c r="E358" s="53">
        <f t="shared" si="65"/>
        <v>0.02</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3"/>
      <c r="B359" s="137"/>
      <c r="C359" s="53">
        <f t="shared" si="64"/>
        <v>1</v>
      </c>
      <c r="D359" s="962"/>
      <c r="E359" s="53">
        <f t="shared" si="65"/>
        <v>0.02</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3"/>
      <c r="B360" s="137"/>
      <c r="C360" s="53">
        <f t="shared" si="64"/>
        <v>1</v>
      </c>
      <c r="D360" s="962"/>
      <c r="E360" s="53">
        <f t="shared" si="65"/>
        <v>0.02</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3"/>
      <c r="B361" s="137"/>
      <c r="C361" s="53">
        <f t="shared" si="64"/>
        <v>1</v>
      </c>
      <c r="D361" s="962"/>
      <c r="E361" s="53">
        <f t="shared" si="65"/>
        <v>0.02</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3"/>
      <c r="B362" s="137"/>
      <c r="C362" s="53">
        <f t="shared" si="64"/>
        <v>1</v>
      </c>
      <c r="D362" s="962"/>
      <c r="E362" s="53">
        <f t="shared" si="65"/>
        <v>0.02</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3"/>
      <c r="B363" s="137"/>
      <c r="C363" s="53">
        <f t="shared" si="64"/>
        <v>1</v>
      </c>
      <c r="D363" s="962"/>
      <c r="E363" s="53">
        <f t="shared" si="65"/>
        <v>0.02</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3"/>
      <c r="B364" s="137"/>
      <c r="C364" s="53">
        <f t="shared" si="64"/>
        <v>1</v>
      </c>
      <c r="D364" s="962"/>
      <c r="E364" s="53">
        <f t="shared" si="65"/>
        <v>0.02</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3"/>
      <c r="B365" s="137"/>
      <c r="C365" s="53">
        <f t="shared" si="64"/>
        <v>1</v>
      </c>
      <c r="D365" s="962"/>
      <c r="E365" s="53">
        <f t="shared" si="65"/>
        <v>0.02</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3"/>
      <c r="B366" s="137"/>
      <c r="C366" s="53">
        <f t="shared" si="64"/>
        <v>1</v>
      </c>
      <c r="D366" s="962"/>
      <c r="E366" s="53">
        <f t="shared" si="65"/>
        <v>0.02</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3"/>
      <c r="B367" s="137"/>
      <c r="C367" s="53">
        <f t="shared" si="64"/>
        <v>1</v>
      </c>
      <c r="D367" s="962"/>
      <c r="E367" s="53">
        <f t="shared" si="65"/>
        <v>0.02</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3"/>
      <c r="B368" s="137"/>
      <c r="C368" s="53">
        <f t="shared" si="64"/>
        <v>1</v>
      </c>
      <c r="D368" s="962"/>
      <c r="E368" s="53">
        <f t="shared" si="65"/>
        <v>0.02</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3"/>
      <c r="B369" s="137"/>
      <c r="C369" s="53">
        <f t="shared" si="64"/>
        <v>1</v>
      </c>
      <c r="D369" s="962"/>
      <c r="E369" s="53">
        <f t="shared" si="65"/>
        <v>0.02</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3"/>
      <c r="B370" s="137"/>
      <c r="C370" s="53">
        <f t="shared" si="64"/>
        <v>1</v>
      </c>
      <c r="D370" s="962"/>
      <c r="E370" s="53">
        <f t="shared" si="65"/>
        <v>0.02</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3"/>
      <c r="B371" s="137"/>
      <c r="C371" s="53">
        <f t="shared" si="64"/>
        <v>1</v>
      </c>
      <c r="D371" s="962"/>
      <c r="E371" s="53">
        <f t="shared" si="65"/>
        <v>0.02</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3"/>
      <c r="B372" s="137"/>
      <c r="C372" s="53">
        <f t="shared" si="64"/>
        <v>1</v>
      </c>
      <c r="D372" s="962"/>
      <c r="E372" s="53">
        <f t="shared" si="65"/>
        <v>0.02</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3"/>
      <c r="B373" s="137"/>
      <c r="C373" s="53">
        <f t="shared" si="64"/>
        <v>1</v>
      </c>
      <c r="D373" s="962"/>
      <c r="E373" s="53">
        <f t="shared" si="65"/>
        <v>0.02</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3"/>
      <c r="B374" s="137"/>
      <c r="C374" s="53">
        <f t="shared" si="64"/>
        <v>1</v>
      </c>
      <c r="D374" s="962"/>
      <c r="E374" s="53">
        <f t="shared" si="65"/>
        <v>0.02</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3"/>
      <c r="B375" s="137"/>
      <c r="C375" s="53">
        <f t="shared" si="64"/>
        <v>1</v>
      </c>
      <c r="D375" s="962"/>
      <c r="E375" s="53">
        <f t="shared" si="65"/>
        <v>0.02</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3"/>
      <c r="B376" s="137"/>
      <c r="C376" s="53">
        <f t="shared" si="64"/>
        <v>1</v>
      </c>
      <c r="D376" s="962"/>
      <c r="E376" s="53">
        <f t="shared" si="65"/>
        <v>0.02</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3"/>
      <c r="B377" s="137"/>
      <c r="C377" s="53">
        <f t="shared" si="64"/>
        <v>1</v>
      </c>
      <c r="D377" s="962"/>
      <c r="E377" s="53">
        <f t="shared" si="65"/>
        <v>0.02</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3"/>
      <c r="B378" s="137"/>
      <c r="C378" s="53">
        <f t="shared" si="64"/>
        <v>1</v>
      </c>
      <c r="D378" s="962"/>
      <c r="E378" s="53">
        <f t="shared" si="65"/>
        <v>0.02</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3"/>
      <c r="B379" s="137"/>
      <c r="C379" s="53">
        <f t="shared" si="64"/>
        <v>1</v>
      </c>
      <c r="D379" s="962"/>
      <c r="E379" s="53">
        <f t="shared" si="65"/>
        <v>0.02</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3"/>
      <c r="B380" s="137"/>
      <c r="C380" s="53">
        <f t="shared" si="64"/>
        <v>1</v>
      </c>
      <c r="D380" s="962"/>
      <c r="E380" s="53">
        <f t="shared" si="65"/>
        <v>0.02</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3"/>
      <c r="B381" s="137"/>
      <c r="C381" s="53">
        <f t="shared" si="64"/>
        <v>1</v>
      </c>
      <c r="D381" s="962"/>
      <c r="E381" s="53">
        <f t="shared" si="65"/>
        <v>0.02</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3"/>
      <c r="B382" s="137"/>
      <c r="C382" s="53">
        <f t="shared" si="64"/>
        <v>1</v>
      </c>
      <c r="D382" s="962"/>
      <c r="E382" s="53">
        <f t="shared" si="65"/>
        <v>0.02</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3"/>
      <c r="B383" s="137"/>
      <c r="C383" s="53">
        <f t="shared" si="64"/>
        <v>1</v>
      </c>
      <c r="D383" s="962"/>
      <c r="E383" s="53">
        <f t="shared" si="65"/>
        <v>0.02</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3"/>
      <c r="B384" s="137"/>
      <c r="C384" s="53">
        <f t="shared" si="64"/>
        <v>1</v>
      </c>
      <c r="D384" s="962"/>
      <c r="E384" s="53">
        <f t="shared" si="65"/>
        <v>0.02</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3"/>
      <c r="B385" s="137"/>
      <c r="C385" s="53">
        <f t="shared" si="64"/>
        <v>1</v>
      </c>
      <c r="D385" s="962"/>
      <c r="E385" s="53">
        <f t="shared" si="65"/>
        <v>0.02</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3"/>
      <c r="B386" s="137"/>
      <c r="C386" s="53">
        <f t="shared" si="64"/>
        <v>1</v>
      </c>
      <c r="D386" s="962"/>
      <c r="E386" s="53">
        <f t="shared" si="65"/>
        <v>0.02</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3"/>
      <c r="B387" s="137"/>
      <c r="C387" s="53">
        <f t="shared" si="64"/>
        <v>1</v>
      </c>
      <c r="D387" s="962"/>
      <c r="E387" s="53">
        <f t="shared" si="65"/>
        <v>0.02</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3"/>
      <c r="B388" s="137"/>
      <c r="C388" s="53">
        <f t="shared" si="64"/>
        <v>1</v>
      </c>
      <c r="D388" s="962"/>
      <c r="E388" s="53">
        <f t="shared" si="65"/>
        <v>0.02</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3"/>
      <c r="B389" s="137"/>
      <c r="C389" s="53">
        <f t="shared" si="64"/>
        <v>1</v>
      </c>
      <c r="D389" s="962"/>
      <c r="E389" s="53">
        <f t="shared" si="65"/>
        <v>0.02</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3"/>
      <c r="B390" s="137"/>
      <c r="C390" s="53">
        <f t="shared" si="64"/>
        <v>1</v>
      </c>
      <c r="D390" s="962"/>
      <c r="E390" s="53">
        <f t="shared" si="65"/>
        <v>0.02</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3"/>
      <c r="B391" s="137"/>
      <c r="C391" s="53">
        <f t="shared" si="64"/>
        <v>1</v>
      </c>
      <c r="D391" s="962"/>
      <c r="E391" s="53">
        <f t="shared" si="65"/>
        <v>0.02</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3"/>
      <c r="B392" s="137"/>
      <c r="C392" s="53">
        <f t="shared" si="64"/>
        <v>1</v>
      </c>
      <c r="D392" s="962"/>
      <c r="E392" s="53">
        <f t="shared" si="65"/>
        <v>0.02</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3"/>
      <c r="B393" s="137"/>
      <c r="C393" s="53">
        <f t="shared" si="64"/>
        <v>1</v>
      </c>
      <c r="D393" s="962"/>
      <c r="E393" s="53">
        <f t="shared" si="65"/>
        <v>0.02</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3"/>
      <c r="B394" s="137"/>
      <c r="C394" s="53">
        <f t="shared" si="64"/>
        <v>1</v>
      </c>
      <c r="D394" s="962"/>
      <c r="E394" s="53">
        <f t="shared" si="65"/>
        <v>0.02</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3"/>
      <c r="B395" s="137"/>
      <c r="C395" s="53">
        <f t="shared" si="64"/>
        <v>1</v>
      </c>
      <c r="D395" s="962"/>
      <c r="E395" s="53">
        <f t="shared" si="65"/>
        <v>0.02</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3"/>
      <c r="B396" s="137"/>
      <c r="C396" s="53">
        <f t="shared" si="64"/>
        <v>1</v>
      </c>
      <c r="D396" s="962"/>
      <c r="E396" s="53">
        <f t="shared" si="65"/>
        <v>0.02</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3"/>
      <c r="B397" s="137"/>
      <c r="C397" s="53">
        <f t="shared" si="64"/>
        <v>1</v>
      </c>
      <c r="D397" s="962"/>
      <c r="E397" s="53">
        <f t="shared" si="65"/>
        <v>0.02</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3"/>
      <c r="B398" s="137"/>
      <c r="C398" s="53">
        <f t="shared" si="64"/>
        <v>1</v>
      </c>
      <c r="D398" s="962"/>
      <c r="E398" s="53">
        <f t="shared" si="65"/>
        <v>0.02</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3"/>
      <c r="B399" s="137"/>
      <c r="C399" s="53">
        <f t="shared" si="64"/>
        <v>1</v>
      </c>
      <c r="D399" s="962"/>
      <c r="E399" s="53">
        <f t="shared" si="65"/>
        <v>0.02</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3"/>
      <c r="B400" s="137"/>
      <c r="C400" s="53">
        <f t="shared" si="64"/>
        <v>1</v>
      </c>
      <c r="D400" s="962"/>
      <c r="E400" s="53">
        <f t="shared" si="65"/>
        <v>0.02</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3"/>
      <c r="B401" s="137"/>
      <c r="C401" s="53">
        <f t="shared" si="64"/>
        <v>1</v>
      </c>
      <c r="D401" s="962"/>
      <c r="E401" s="53">
        <f t="shared" si="65"/>
        <v>0.02</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3"/>
      <c r="B402" s="137"/>
      <c r="C402" s="53">
        <f t="shared" si="64"/>
        <v>1</v>
      </c>
      <c r="D402" s="962"/>
      <c r="E402" s="53">
        <f t="shared" si="65"/>
        <v>0.02</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3"/>
      <c r="B403" s="137"/>
      <c r="C403" s="53">
        <f t="shared" si="64"/>
        <v>1</v>
      </c>
      <c r="D403" s="962"/>
      <c r="E403" s="53">
        <f t="shared" si="65"/>
        <v>0.02</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3"/>
      <c r="B404" s="137"/>
      <c r="C404" s="53">
        <f t="shared" si="64"/>
        <v>1</v>
      </c>
      <c r="D404" s="962"/>
      <c r="E404" s="53">
        <f t="shared" si="65"/>
        <v>0.02</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3"/>
      <c r="B405" s="137"/>
      <c r="C405" s="53">
        <f t="shared" si="64"/>
        <v>1</v>
      </c>
      <c r="D405" s="962"/>
      <c r="E405" s="53">
        <f t="shared" si="65"/>
        <v>0.02</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3"/>
      <c r="B406" s="137"/>
      <c r="C406" s="53">
        <f t="shared" si="64"/>
        <v>1</v>
      </c>
      <c r="D406" s="962"/>
      <c r="E406" s="53">
        <f t="shared" si="65"/>
        <v>0.02</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3"/>
      <c r="B407" s="137"/>
      <c r="C407" s="53">
        <f t="shared" si="64"/>
        <v>1</v>
      </c>
      <c r="D407" s="962"/>
      <c r="E407" s="53">
        <f t="shared" si="65"/>
        <v>0.02</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3"/>
      <c r="B408" s="137"/>
      <c r="C408" s="53">
        <f t="shared" si="64"/>
        <v>1</v>
      </c>
      <c r="D408" s="962"/>
      <c r="E408" s="53">
        <f t="shared" si="65"/>
        <v>0.02</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3"/>
      <c r="B409" s="137"/>
      <c r="C409" s="53">
        <f t="shared" si="64"/>
        <v>1</v>
      </c>
      <c r="D409" s="962"/>
      <c r="E409" s="53">
        <f t="shared" si="65"/>
        <v>0.02</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3"/>
      <c r="B410" s="137"/>
      <c r="C410" s="53">
        <f t="shared" ref="C410:C473" si="74">IF(B410="",1,(LOOKUP(B410,$3:$3,$4:$4)-LOOKUP($B$24,$3:$3,$4:$4)+100)/100)</f>
        <v>1</v>
      </c>
      <c r="D410" s="962"/>
      <c r="E410" s="53">
        <f t="shared" ref="E410:E473" si="75">(SUMIF($5:$5,D410,$6:$6)-SUMIF($5:$5,$D$24,$6:$6)+100)/100</f>
        <v>0.02</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2"/>
      <c r="E411" s="53">
        <f t="shared" si="75"/>
        <v>0.02</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3"/>
      <c r="B412" s="137"/>
      <c r="C412" s="53">
        <f t="shared" si="74"/>
        <v>1</v>
      </c>
      <c r="D412" s="962"/>
      <c r="E412" s="53">
        <f t="shared" si="75"/>
        <v>0.02</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3"/>
      <c r="B413" s="137"/>
      <c r="C413" s="53">
        <f t="shared" si="74"/>
        <v>1</v>
      </c>
      <c r="D413" s="962"/>
      <c r="E413" s="53">
        <f t="shared" si="75"/>
        <v>0.02</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3"/>
      <c r="B414" s="137"/>
      <c r="C414" s="53">
        <f t="shared" si="74"/>
        <v>1</v>
      </c>
      <c r="D414" s="962"/>
      <c r="E414" s="53">
        <f t="shared" si="75"/>
        <v>0.02</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3"/>
      <c r="B415" s="137"/>
      <c r="C415" s="53">
        <f t="shared" si="74"/>
        <v>1</v>
      </c>
      <c r="D415" s="962"/>
      <c r="E415" s="53">
        <f t="shared" si="75"/>
        <v>0.02</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3"/>
      <c r="B416" s="137"/>
      <c r="C416" s="53">
        <f t="shared" si="74"/>
        <v>1</v>
      </c>
      <c r="D416" s="962"/>
      <c r="E416" s="53">
        <f t="shared" si="75"/>
        <v>0.02</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3"/>
      <c r="B417" s="137"/>
      <c r="C417" s="53">
        <f t="shared" si="74"/>
        <v>1</v>
      </c>
      <c r="D417" s="962"/>
      <c r="E417" s="53">
        <f t="shared" si="75"/>
        <v>0.02</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3"/>
      <c r="B418" s="137"/>
      <c r="C418" s="53">
        <f t="shared" si="74"/>
        <v>1</v>
      </c>
      <c r="D418" s="962"/>
      <c r="E418" s="53">
        <f t="shared" si="75"/>
        <v>0.02</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3"/>
      <c r="B419" s="137"/>
      <c r="C419" s="53">
        <f t="shared" si="74"/>
        <v>1</v>
      </c>
      <c r="D419" s="962"/>
      <c r="E419" s="53">
        <f t="shared" si="75"/>
        <v>0.02</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3"/>
      <c r="B420" s="137"/>
      <c r="C420" s="53">
        <f t="shared" si="74"/>
        <v>1</v>
      </c>
      <c r="D420" s="962"/>
      <c r="E420" s="53">
        <f t="shared" si="75"/>
        <v>0.02</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3"/>
      <c r="B421" s="137"/>
      <c r="C421" s="53">
        <f t="shared" si="74"/>
        <v>1</v>
      </c>
      <c r="D421" s="962"/>
      <c r="E421" s="53">
        <f t="shared" si="75"/>
        <v>0.02</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3"/>
      <c r="B422" s="137"/>
      <c r="C422" s="53">
        <f t="shared" si="74"/>
        <v>1</v>
      </c>
      <c r="D422" s="962"/>
      <c r="E422" s="53">
        <f t="shared" si="75"/>
        <v>0.02</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3"/>
      <c r="B423" s="137"/>
      <c r="C423" s="53">
        <f t="shared" si="74"/>
        <v>1</v>
      </c>
      <c r="D423" s="962"/>
      <c r="E423" s="53">
        <f t="shared" si="75"/>
        <v>0.02</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3"/>
      <c r="B424" s="137"/>
      <c r="C424" s="53">
        <f t="shared" si="74"/>
        <v>1</v>
      </c>
      <c r="D424" s="962"/>
      <c r="E424" s="53">
        <f t="shared" si="75"/>
        <v>0.02</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3"/>
      <c r="B425" s="137"/>
      <c r="C425" s="53">
        <f t="shared" si="74"/>
        <v>1</v>
      </c>
      <c r="D425" s="962"/>
      <c r="E425" s="53">
        <f t="shared" si="75"/>
        <v>0.02</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3"/>
      <c r="B426" s="137"/>
      <c r="C426" s="53">
        <f t="shared" si="74"/>
        <v>1</v>
      </c>
      <c r="D426" s="962"/>
      <c r="E426" s="53">
        <f t="shared" si="75"/>
        <v>0.02</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3"/>
      <c r="B427" s="137"/>
      <c r="C427" s="53">
        <f t="shared" si="74"/>
        <v>1</v>
      </c>
      <c r="D427" s="962"/>
      <c r="E427" s="53">
        <f t="shared" si="75"/>
        <v>0.02</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3"/>
      <c r="B428" s="137"/>
      <c r="C428" s="53">
        <f t="shared" si="74"/>
        <v>1</v>
      </c>
      <c r="D428" s="962"/>
      <c r="E428" s="53">
        <f t="shared" si="75"/>
        <v>0.02</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3"/>
      <c r="B429" s="137"/>
      <c r="C429" s="53">
        <f t="shared" si="74"/>
        <v>1</v>
      </c>
      <c r="D429" s="962"/>
      <c r="E429" s="53">
        <f t="shared" si="75"/>
        <v>0.02</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3"/>
      <c r="B430" s="137"/>
      <c r="C430" s="53">
        <f t="shared" si="74"/>
        <v>1</v>
      </c>
      <c r="D430" s="962"/>
      <c r="E430" s="53">
        <f t="shared" si="75"/>
        <v>0.02</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3"/>
      <c r="B431" s="137"/>
      <c r="C431" s="53">
        <f t="shared" si="74"/>
        <v>1</v>
      </c>
      <c r="D431" s="962"/>
      <c r="E431" s="53">
        <f t="shared" si="75"/>
        <v>0.02</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3"/>
      <c r="B432" s="137"/>
      <c r="C432" s="53">
        <f t="shared" si="74"/>
        <v>1</v>
      </c>
      <c r="D432" s="962"/>
      <c r="E432" s="53">
        <f t="shared" si="75"/>
        <v>0.02</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3"/>
      <c r="B433" s="137"/>
      <c r="C433" s="53">
        <f t="shared" si="74"/>
        <v>1</v>
      </c>
      <c r="D433" s="962"/>
      <c r="E433" s="53">
        <f t="shared" si="75"/>
        <v>0.02</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3"/>
      <c r="B434" s="137"/>
      <c r="C434" s="53">
        <f t="shared" si="74"/>
        <v>1</v>
      </c>
      <c r="D434" s="962"/>
      <c r="E434" s="53">
        <f t="shared" si="75"/>
        <v>0.02</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3"/>
      <c r="B435" s="137"/>
      <c r="C435" s="53">
        <f t="shared" si="74"/>
        <v>1</v>
      </c>
      <c r="D435" s="962"/>
      <c r="E435" s="53">
        <f t="shared" si="75"/>
        <v>0.02</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3"/>
      <c r="B436" s="137"/>
      <c r="C436" s="53">
        <f t="shared" si="74"/>
        <v>1</v>
      </c>
      <c r="D436" s="962"/>
      <c r="E436" s="53">
        <f t="shared" si="75"/>
        <v>0.02</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3"/>
      <c r="B437" s="137"/>
      <c r="C437" s="53">
        <f t="shared" si="74"/>
        <v>1</v>
      </c>
      <c r="D437" s="962"/>
      <c r="E437" s="53">
        <f t="shared" si="75"/>
        <v>0.02</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3"/>
      <c r="B438" s="137"/>
      <c r="C438" s="53">
        <f t="shared" si="74"/>
        <v>1</v>
      </c>
      <c r="D438" s="962"/>
      <c r="E438" s="53">
        <f t="shared" si="75"/>
        <v>0.02</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3"/>
      <c r="B439" s="137"/>
      <c r="C439" s="53">
        <f t="shared" si="74"/>
        <v>1</v>
      </c>
      <c r="D439" s="962"/>
      <c r="E439" s="53">
        <f t="shared" si="75"/>
        <v>0.02</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3"/>
      <c r="B440" s="137"/>
      <c r="C440" s="53">
        <f t="shared" si="74"/>
        <v>1</v>
      </c>
      <c r="D440" s="962"/>
      <c r="E440" s="53">
        <f t="shared" si="75"/>
        <v>0.02</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3"/>
      <c r="B441" s="137"/>
      <c r="C441" s="53">
        <f t="shared" si="74"/>
        <v>1</v>
      </c>
      <c r="D441" s="962"/>
      <c r="E441" s="53">
        <f t="shared" si="75"/>
        <v>0.02</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3"/>
      <c r="B442" s="137"/>
      <c r="C442" s="53">
        <f t="shared" si="74"/>
        <v>1</v>
      </c>
      <c r="D442" s="962"/>
      <c r="E442" s="53">
        <f t="shared" si="75"/>
        <v>0.02</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3"/>
      <c r="B443" s="137"/>
      <c r="C443" s="53">
        <f t="shared" si="74"/>
        <v>1</v>
      </c>
      <c r="D443" s="962"/>
      <c r="E443" s="53">
        <f t="shared" si="75"/>
        <v>0.02</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3"/>
      <c r="B444" s="137"/>
      <c r="C444" s="53">
        <f t="shared" si="74"/>
        <v>1</v>
      </c>
      <c r="D444" s="962"/>
      <c r="E444" s="53">
        <f t="shared" si="75"/>
        <v>0.02</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3"/>
      <c r="B445" s="137"/>
      <c r="C445" s="53">
        <f t="shared" si="74"/>
        <v>1</v>
      </c>
      <c r="D445" s="962"/>
      <c r="E445" s="53">
        <f t="shared" si="75"/>
        <v>0.02</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3"/>
      <c r="B446" s="137"/>
      <c r="C446" s="53">
        <f t="shared" si="74"/>
        <v>1</v>
      </c>
      <c r="D446" s="962"/>
      <c r="E446" s="53">
        <f t="shared" si="75"/>
        <v>0.02</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3"/>
      <c r="B447" s="137"/>
      <c r="C447" s="53">
        <f t="shared" si="74"/>
        <v>1</v>
      </c>
      <c r="D447" s="962"/>
      <c r="E447" s="53">
        <f t="shared" si="75"/>
        <v>0.02</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3"/>
      <c r="B448" s="137"/>
      <c r="C448" s="53">
        <f t="shared" si="74"/>
        <v>1</v>
      </c>
      <c r="D448" s="962"/>
      <c r="E448" s="53">
        <f t="shared" si="75"/>
        <v>0.02</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3"/>
      <c r="B449" s="137"/>
      <c r="C449" s="53">
        <f t="shared" si="74"/>
        <v>1</v>
      </c>
      <c r="D449" s="962"/>
      <c r="E449" s="53">
        <f t="shared" si="75"/>
        <v>0.02</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3"/>
      <c r="B450" s="137"/>
      <c r="C450" s="53">
        <f t="shared" si="74"/>
        <v>1</v>
      </c>
      <c r="D450" s="962"/>
      <c r="E450" s="53">
        <f t="shared" si="75"/>
        <v>0.02</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3"/>
      <c r="B451" s="137"/>
      <c r="C451" s="53">
        <f t="shared" si="74"/>
        <v>1</v>
      </c>
      <c r="D451" s="962"/>
      <c r="E451" s="53">
        <f t="shared" si="75"/>
        <v>0.02</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3"/>
      <c r="B452" s="137"/>
      <c r="C452" s="53">
        <f t="shared" si="74"/>
        <v>1</v>
      </c>
      <c r="D452" s="962"/>
      <c r="E452" s="53">
        <f t="shared" si="75"/>
        <v>0.02</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3"/>
      <c r="B453" s="137"/>
      <c r="C453" s="53">
        <f t="shared" si="74"/>
        <v>1</v>
      </c>
      <c r="D453" s="962"/>
      <c r="E453" s="53">
        <f t="shared" si="75"/>
        <v>0.02</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3"/>
      <c r="B454" s="137"/>
      <c r="C454" s="53">
        <f t="shared" si="74"/>
        <v>1</v>
      </c>
      <c r="D454" s="962"/>
      <c r="E454" s="53">
        <f t="shared" si="75"/>
        <v>0.02</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3"/>
      <c r="B455" s="137"/>
      <c r="C455" s="53">
        <f t="shared" si="74"/>
        <v>1</v>
      </c>
      <c r="D455" s="962"/>
      <c r="E455" s="53">
        <f t="shared" si="75"/>
        <v>0.02</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3"/>
      <c r="B456" s="137"/>
      <c r="C456" s="53">
        <f t="shared" si="74"/>
        <v>1</v>
      </c>
      <c r="D456" s="962"/>
      <c r="E456" s="53">
        <f t="shared" si="75"/>
        <v>0.02</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3"/>
      <c r="B457" s="137"/>
      <c r="C457" s="53">
        <f t="shared" si="74"/>
        <v>1</v>
      </c>
      <c r="D457" s="962"/>
      <c r="E457" s="53">
        <f t="shared" si="75"/>
        <v>0.02</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3"/>
      <c r="B458" s="137"/>
      <c r="C458" s="53">
        <f t="shared" si="74"/>
        <v>1</v>
      </c>
      <c r="D458" s="962"/>
      <c r="E458" s="53">
        <f t="shared" si="75"/>
        <v>0.02</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3"/>
      <c r="B459" s="137"/>
      <c r="C459" s="53">
        <f t="shared" si="74"/>
        <v>1</v>
      </c>
      <c r="D459" s="962"/>
      <c r="E459" s="53">
        <f t="shared" si="75"/>
        <v>0.02</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3"/>
      <c r="B460" s="137"/>
      <c r="C460" s="53">
        <f t="shared" si="74"/>
        <v>1</v>
      </c>
      <c r="D460" s="962"/>
      <c r="E460" s="53">
        <f t="shared" si="75"/>
        <v>0.02</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3"/>
      <c r="B461" s="137"/>
      <c r="C461" s="53">
        <f t="shared" si="74"/>
        <v>1</v>
      </c>
      <c r="D461" s="962"/>
      <c r="E461" s="53">
        <f t="shared" si="75"/>
        <v>0.02</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3"/>
      <c r="B462" s="137"/>
      <c r="C462" s="53">
        <f t="shared" si="74"/>
        <v>1</v>
      </c>
      <c r="D462" s="962"/>
      <c r="E462" s="53">
        <f t="shared" si="75"/>
        <v>0.02</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3"/>
      <c r="B463" s="137"/>
      <c r="C463" s="53">
        <f t="shared" si="74"/>
        <v>1</v>
      </c>
      <c r="D463" s="962"/>
      <c r="E463" s="53">
        <f t="shared" si="75"/>
        <v>0.02</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3"/>
      <c r="B464" s="137"/>
      <c r="C464" s="53">
        <f t="shared" si="74"/>
        <v>1</v>
      </c>
      <c r="D464" s="962"/>
      <c r="E464" s="53">
        <f t="shared" si="75"/>
        <v>0.02</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3"/>
      <c r="B465" s="137"/>
      <c r="C465" s="53">
        <f t="shared" si="74"/>
        <v>1</v>
      </c>
      <c r="D465" s="962"/>
      <c r="E465" s="53">
        <f t="shared" si="75"/>
        <v>0.02</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3"/>
      <c r="B466" s="137"/>
      <c r="C466" s="53">
        <f t="shared" si="74"/>
        <v>1</v>
      </c>
      <c r="D466" s="962"/>
      <c r="E466" s="53">
        <f t="shared" si="75"/>
        <v>0.02</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3"/>
      <c r="B467" s="137"/>
      <c r="C467" s="53">
        <f t="shared" si="74"/>
        <v>1</v>
      </c>
      <c r="D467" s="962"/>
      <c r="E467" s="53">
        <f t="shared" si="75"/>
        <v>0.02</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3"/>
      <c r="B468" s="137"/>
      <c r="C468" s="53">
        <f t="shared" si="74"/>
        <v>1</v>
      </c>
      <c r="D468" s="962"/>
      <c r="E468" s="53">
        <f t="shared" si="75"/>
        <v>0.02</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3"/>
      <c r="B469" s="137"/>
      <c r="C469" s="53">
        <f t="shared" si="74"/>
        <v>1</v>
      </c>
      <c r="D469" s="962"/>
      <c r="E469" s="53">
        <f t="shared" si="75"/>
        <v>0.02</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3"/>
      <c r="B470" s="137"/>
      <c r="C470" s="53">
        <f t="shared" si="74"/>
        <v>1</v>
      </c>
      <c r="D470" s="962"/>
      <c r="E470" s="53">
        <f t="shared" si="75"/>
        <v>0.02</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3"/>
      <c r="B471" s="137"/>
      <c r="C471" s="53">
        <f t="shared" si="74"/>
        <v>1</v>
      </c>
      <c r="D471" s="962"/>
      <c r="E471" s="53">
        <f t="shared" si="75"/>
        <v>0.02</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3"/>
      <c r="B472" s="137"/>
      <c r="C472" s="53">
        <f t="shared" si="74"/>
        <v>1</v>
      </c>
      <c r="D472" s="962"/>
      <c r="E472" s="53">
        <f t="shared" si="75"/>
        <v>0.02</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3"/>
      <c r="B473" s="137"/>
      <c r="C473" s="53">
        <f t="shared" si="74"/>
        <v>1</v>
      </c>
      <c r="D473" s="962"/>
      <c r="E473" s="53">
        <f t="shared" si="75"/>
        <v>0.02</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3"/>
      <c r="B474" s="137"/>
      <c r="C474" s="53">
        <f t="shared" ref="C474:C524" si="85">IF(B474="",1,(LOOKUP(B474,$3:$3,$4:$4)-LOOKUP($B$24,$3:$3,$4:$4)+100)/100)</f>
        <v>1</v>
      </c>
      <c r="D474" s="962"/>
      <c r="E474" s="53">
        <f t="shared" ref="E474:E524" si="86">(SUMIF($5:$5,D474,$6:$6)-SUMIF($5:$5,$D$24,$6:$6)+100)/100</f>
        <v>0.02</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2"/>
      <c r="E475" s="53">
        <f t="shared" si="86"/>
        <v>0.02</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3"/>
      <c r="B476" s="137"/>
      <c r="C476" s="53">
        <f t="shared" si="85"/>
        <v>1</v>
      </c>
      <c r="D476" s="962"/>
      <c r="E476" s="53">
        <f t="shared" si="86"/>
        <v>0.02</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3"/>
      <c r="B477" s="137"/>
      <c r="C477" s="53">
        <f t="shared" si="85"/>
        <v>1</v>
      </c>
      <c r="D477" s="962"/>
      <c r="E477" s="53">
        <f t="shared" si="86"/>
        <v>0.02</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3"/>
      <c r="B478" s="137"/>
      <c r="C478" s="53">
        <f t="shared" si="85"/>
        <v>1</v>
      </c>
      <c r="D478" s="962"/>
      <c r="E478" s="53">
        <f t="shared" si="86"/>
        <v>0.02</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3"/>
      <c r="B479" s="137"/>
      <c r="C479" s="53">
        <f t="shared" si="85"/>
        <v>1</v>
      </c>
      <c r="D479" s="962"/>
      <c r="E479" s="53">
        <f t="shared" si="86"/>
        <v>0.02</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3"/>
      <c r="B480" s="137"/>
      <c r="C480" s="53">
        <f t="shared" si="85"/>
        <v>1</v>
      </c>
      <c r="D480" s="962"/>
      <c r="E480" s="53">
        <f t="shared" si="86"/>
        <v>0.02</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3"/>
      <c r="B481" s="137"/>
      <c r="C481" s="53">
        <f t="shared" si="85"/>
        <v>1</v>
      </c>
      <c r="D481" s="962"/>
      <c r="E481" s="53">
        <f t="shared" si="86"/>
        <v>0.02</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3"/>
      <c r="B482" s="137"/>
      <c r="C482" s="53">
        <f t="shared" si="85"/>
        <v>1</v>
      </c>
      <c r="D482" s="962"/>
      <c r="E482" s="53">
        <f t="shared" si="86"/>
        <v>0.02</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3"/>
      <c r="B483" s="137"/>
      <c r="C483" s="53">
        <f t="shared" si="85"/>
        <v>1</v>
      </c>
      <c r="D483" s="962"/>
      <c r="E483" s="53">
        <f t="shared" si="86"/>
        <v>0.02</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3"/>
      <c r="B484" s="137"/>
      <c r="C484" s="53">
        <f t="shared" si="85"/>
        <v>1</v>
      </c>
      <c r="D484" s="962"/>
      <c r="E484" s="53">
        <f t="shared" si="86"/>
        <v>0.02</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3"/>
      <c r="B485" s="137"/>
      <c r="C485" s="53">
        <f t="shared" si="85"/>
        <v>1</v>
      </c>
      <c r="D485" s="962"/>
      <c r="E485" s="53">
        <f t="shared" si="86"/>
        <v>0.02</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3"/>
      <c r="B486" s="137"/>
      <c r="C486" s="53">
        <f t="shared" si="85"/>
        <v>1</v>
      </c>
      <c r="D486" s="962"/>
      <c r="E486" s="53">
        <f t="shared" si="86"/>
        <v>0.02</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3"/>
      <c r="B487" s="137"/>
      <c r="C487" s="53">
        <f t="shared" si="85"/>
        <v>1</v>
      </c>
      <c r="D487" s="962"/>
      <c r="E487" s="53">
        <f t="shared" si="86"/>
        <v>0.02</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3"/>
      <c r="B488" s="137"/>
      <c r="C488" s="53">
        <f t="shared" si="85"/>
        <v>1</v>
      </c>
      <c r="D488" s="962"/>
      <c r="E488" s="53">
        <f t="shared" si="86"/>
        <v>0.02</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3"/>
      <c r="B489" s="137"/>
      <c r="C489" s="53">
        <f t="shared" si="85"/>
        <v>1</v>
      </c>
      <c r="D489" s="962"/>
      <c r="E489" s="53">
        <f t="shared" si="86"/>
        <v>0.02</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3"/>
      <c r="B490" s="137"/>
      <c r="C490" s="53">
        <f t="shared" si="85"/>
        <v>1</v>
      </c>
      <c r="D490" s="962"/>
      <c r="E490" s="53">
        <f t="shared" si="86"/>
        <v>0.02</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3"/>
      <c r="B491" s="137"/>
      <c r="C491" s="53">
        <f t="shared" si="85"/>
        <v>1</v>
      </c>
      <c r="D491" s="962"/>
      <c r="E491" s="53">
        <f t="shared" si="86"/>
        <v>0.02</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3"/>
      <c r="B492" s="137"/>
      <c r="C492" s="53">
        <f t="shared" si="85"/>
        <v>1</v>
      </c>
      <c r="D492" s="962"/>
      <c r="E492" s="53">
        <f t="shared" si="86"/>
        <v>0.02</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3"/>
      <c r="B493" s="137"/>
      <c r="C493" s="53">
        <f t="shared" si="85"/>
        <v>1</v>
      </c>
      <c r="D493" s="962"/>
      <c r="E493" s="53">
        <f t="shared" si="86"/>
        <v>0.02</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3"/>
      <c r="B494" s="137"/>
      <c r="C494" s="53">
        <f t="shared" si="85"/>
        <v>1</v>
      </c>
      <c r="D494" s="962"/>
      <c r="E494" s="53">
        <f t="shared" si="86"/>
        <v>0.02</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3"/>
      <c r="B495" s="137"/>
      <c r="C495" s="53">
        <f t="shared" si="85"/>
        <v>1</v>
      </c>
      <c r="D495" s="962"/>
      <c r="E495" s="53">
        <f t="shared" si="86"/>
        <v>0.02</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3"/>
      <c r="B496" s="137"/>
      <c r="C496" s="53">
        <f t="shared" si="85"/>
        <v>1</v>
      </c>
      <c r="D496" s="962"/>
      <c r="E496" s="53">
        <f t="shared" si="86"/>
        <v>0.02</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3"/>
      <c r="B497" s="137"/>
      <c r="C497" s="53">
        <f t="shared" si="85"/>
        <v>1</v>
      </c>
      <c r="D497" s="962"/>
      <c r="E497" s="53">
        <f t="shared" si="86"/>
        <v>0.02</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3"/>
      <c r="B498" s="137"/>
      <c r="C498" s="53">
        <f t="shared" si="85"/>
        <v>1</v>
      </c>
      <c r="D498" s="962"/>
      <c r="E498" s="53">
        <f t="shared" si="86"/>
        <v>0.02</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3"/>
      <c r="B499" s="137"/>
      <c r="C499" s="53">
        <f t="shared" si="85"/>
        <v>1</v>
      </c>
      <c r="D499" s="962"/>
      <c r="E499" s="53">
        <f t="shared" si="86"/>
        <v>0.02</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3"/>
      <c r="B500" s="137"/>
      <c r="C500" s="53">
        <f t="shared" si="85"/>
        <v>1</v>
      </c>
      <c r="D500" s="962"/>
      <c r="E500" s="53">
        <f t="shared" si="86"/>
        <v>0.02</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3"/>
      <c r="B501" s="137"/>
      <c r="C501" s="53">
        <f t="shared" si="85"/>
        <v>1</v>
      </c>
      <c r="D501" s="962"/>
      <c r="E501" s="53">
        <f t="shared" si="86"/>
        <v>0.02</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3"/>
      <c r="B502" s="137"/>
      <c r="C502" s="53">
        <f t="shared" si="85"/>
        <v>1</v>
      </c>
      <c r="D502" s="962"/>
      <c r="E502" s="53">
        <f t="shared" si="86"/>
        <v>0.02</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3"/>
      <c r="B503" s="137"/>
      <c r="C503" s="53">
        <f t="shared" si="85"/>
        <v>1</v>
      </c>
      <c r="D503" s="962"/>
      <c r="E503" s="53">
        <f t="shared" si="86"/>
        <v>0.02</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3"/>
      <c r="B504" s="137"/>
      <c r="C504" s="53">
        <f t="shared" si="85"/>
        <v>1</v>
      </c>
      <c r="D504" s="962"/>
      <c r="E504" s="53">
        <f t="shared" si="86"/>
        <v>0.02</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3"/>
      <c r="B505" s="137"/>
      <c r="C505" s="53">
        <f t="shared" si="85"/>
        <v>1</v>
      </c>
      <c r="D505" s="962"/>
      <c r="E505" s="53">
        <f t="shared" si="86"/>
        <v>0.02</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3"/>
      <c r="B506" s="137"/>
      <c r="C506" s="53">
        <f t="shared" si="85"/>
        <v>1</v>
      </c>
      <c r="D506" s="962"/>
      <c r="E506" s="53">
        <f t="shared" si="86"/>
        <v>0.02</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3"/>
      <c r="B507" s="137"/>
      <c r="C507" s="53">
        <f t="shared" si="85"/>
        <v>1</v>
      </c>
      <c r="D507" s="962"/>
      <c r="E507" s="53">
        <f t="shared" si="86"/>
        <v>0.02</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3"/>
      <c r="B508" s="137"/>
      <c r="C508" s="53">
        <f t="shared" si="85"/>
        <v>1</v>
      </c>
      <c r="D508" s="962"/>
      <c r="E508" s="53">
        <f t="shared" si="86"/>
        <v>0.02</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3"/>
      <c r="B509" s="137"/>
      <c r="C509" s="53">
        <f t="shared" si="85"/>
        <v>1</v>
      </c>
      <c r="D509" s="962"/>
      <c r="E509" s="53">
        <f t="shared" si="86"/>
        <v>0.02</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3"/>
      <c r="B510" s="137"/>
      <c r="C510" s="53">
        <f t="shared" si="85"/>
        <v>1</v>
      </c>
      <c r="D510" s="962"/>
      <c r="E510" s="53">
        <f t="shared" si="86"/>
        <v>0.02</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3"/>
      <c r="B511" s="137"/>
      <c r="C511" s="53">
        <f t="shared" si="85"/>
        <v>1</v>
      </c>
      <c r="D511" s="962"/>
      <c r="E511" s="53">
        <f t="shared" si="86"/>
        <v>0.02</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3"/>
      <c r="B512" s="137"/>
      <c r="C512" s="53">
        <f t="shared" si="85"/>
        <v>1</v>
      </c>
      <c r="D512" s="962"/>
      <c r="E512" s="53">
        <f t="shared" si="86"/>
        <v>0.02</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3"/>
      <c r="B513" s="137"/>
      <c r="C513" s="53">
        <f t="shared" si="85"/>
        <v>1</v>
      </c>
      <c r="D513" s="962"/>
      <c r="E513" s="53">
        <f t="shared" si="86"/>
        <v>0.02</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3"/>
      <c r="B514" s="137"/>
      <c r="C514" s="53">
        <f t="shared" si="85"/>
        <v>1</v>
      </c>
      <c r="D514" s="962"/>
      <c r="E514" s="53">
        <f t="shared" si="86"/>
        <v>0.02</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3"/>
      <c r="B515" s="137"/>
      <c r="C515" s="53">
        <f t="shared" si="85"/>
        <v>1</v>
      </c>
      <c r="D515" s="962"/>
      <c r="E515" s="53">
        <f t="shared" si="86"/>
        <v>0.02</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3"/>
      <c r="B516" s="137"/>
      <c r="C516" s="53">
        <f t="shared" si="85"/>
        <v>1</v>
      </c>
      <c r="D516" s="962"/>
      <c r="E516" s="53">
        <f t="shared" si="86"/>
        <v>0.02</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3"/>
      <c r="B517" s="137"/>
      <c r="C517" s="53">
        <f t="shared" si="85"/>
        <v>1</v>
      </c>
      <c r="D517" s="962"/>
      <c r="E517" s="53">
        <f t="shared" si="86"/>
        <v>0.02</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3"/>
      <c r="B518" s="137"/>
      <c r="C518" s="53">
        <f t="shared" si="85"/>
        <v>1</v>
      </c>
      <c r="D518" s="962"/>
      <c r="E518" s="53">
        <f t="shared" si="86"/>
        <v>0.02</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3"/>
      <c r="B519" s="137"/>
      <c r="C519" s="53">
        <f t="shared" si="85"/>
        <v>1</v>
      </c>
      <c r="D519" s="962"/>
      <c r="E519" s="53">
        <f t="shared" si="86"/>
        <v>0.02</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3"/>
      <c r="B520" s="137"/>
      <c r="C520" s="53">
        <f t="shared" si="85"/>
        <v>1</v>
      </c>
      <c r="D520" s="962"/>
      <c r="E520" s="53">
        <f t="shared" si="86"/>
        <v>0.02</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3"/>
      <c r="B521" s="137"/>
      <c r="C521" s="53">
        <f t="shared" si="85"/>
        <v>1</v>
      </c>
      <c r="D521" s="962"/>
      <c r="E521" s="53">
        <f t="shared" si="86"/>
        <v>0.02</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3"/>
      <c r="B522" s="137"/>
      <c r="C522" s="53">
        <f t="shared" si="85"/>
        <v>1</v>
      </c>
      <c r="D522" s="962"/>
      <c r="E522" s="53">
        <f t="shared" si="86"/>
        <v>0.02</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3"/>
      <c r="B523" s="137"/>
      <c r="C523" s="53">
        <f t="shared" si="85"/>
        <v>1</v>
      </c>
      <c r="D523" s="962"/>
      <c r="E523" s="53">
        <f t="shared" si="86"/>
        <v>0.02</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3"/>
      <c r="B524" s="137"/>
      <c r="C524" s="53">
        <f t="shared" si="85"/>
        <v>1</v>
      </c>
      <c r="D524" s="962"/>
      <c r="E524" s="53">
        <f t="shared" si="86"/>
        <v>0.02</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43594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1.5</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topLeftCell="D1" workbookViewId="0">
      <selection activeCell="N21" sqref="N21"/>
    </sheetView>
  </sheetViews>
  <sheetFormatPr defaultRowHeight="13.5"/>
  <cols>
    <col min="1" max="1" width="5.25" style="3205" customWidth="1"/>
    <col min="2" max="2" width="25.125" style="3205" bestFit="1" customWidth="1"/>
    <col min="3" max="3" width="25.5" style="3205" hidden="1" customWidth="1"/>
    <col min="4" max="4" width="15.125" style="3205" bestFit="1" customWidth="1"/>
    <col min="5" max="5" width="10.5" style="3205" hidden="1" customWidth="1"/>
    <col min="6" max="6" width="12.75" style="3205" hidden="1" customWidth="1"/>
    <col min="7" max="7" width="13" style="3205" bestFit="1" customWidth="1"/>
    <col min="8" max="8" width="11" style="3205" bestFit="1" customWidth="1"/>
    <col min="9" max="9" width="9.5" style="3205" bestFit="1" customWidth="1"/>
    <col min="10" max="10" width="17.25" style="3205" bestFit="1" customWidth="1"/>
    <col min="11" max="11" width="5.25" style="3205" bestFit="1" customWidth="1"/>
    <col min="12" max="12" width="19.25" style="3205" bestFit="1" customWidth="1"/>
    <col min="13" max="13" width="7.125" style="3205" bestFit="1" customWidth="1"/>
    <col min="14" max="14" width="15.125" style="3205" bestFit="1" customWidth="1"/>
    <col min="15" max="16" width="13" style="3205" customWidth="1"/>
    <col min="17" max="16384" width="9" style="3205"/>
  </cols>
  <sheetData>
    <row r="1" spans="1:18" ht="27" customHeight="1">
      <c r="A1" s="3183" t="s">
        <v>2989</v>
      </c>
      <c r="B1" s="3183" t="s">
        <v>2990</v>
      </c>
      <c r="C1" s="3183" t="s">
        <v>2991</v>
      </c>
      <c r="D1" s="3183" t="s">
        <v>2992</v>
      </c>
      <c r="E1" s="3183" t="s">
        <v>2993</v>
      </c>
      <c r="F1" s="3183" t="s">
        <v>2994</v>
      </c>
      <c r="G1" s="3183" t="s">
        <v>2995</v>
      </c>
      <c r="H1" s="3183" t="s">
        <v>2996</v>
      </c>
      <c r="I1" s="3183" t="s">
        <v>2997</v>
      </c>
      <c r="J1" s="3183" t="s">
        <v>2998</v>
      </c>
      <c r="K1" s="3183" t="s">
        <v>2999</v>
      </c>
      <c r="L1" s="3190" t="s">
        <v>3033</v>
      </c>
      <c r="M1" s="3190" t="s">
        <v>3032</v>
      </c>
      <c r="N1" s="3190" t="s">
        <v>3034</v>
      </c>
      <c r="O1" s="3190" t="s">
        <v>3381</v>
      </c>
      <c r="P1" s="3190" t="s">
        <v>3382</v>
      </c>
      <c r="Q1" s="3189" t="s">
        <v>3031</v>
      </c>
    </row>
    <row r="2" spans="1:18" ht="27" customHeight="1">
      <c r="A2" s="3186">
        <v>1</v>
      </c>
      <c r="B2" s="3191" t="s">
        <v>3045</v>
      </c>
      <c r="C2" s="3186" t="s">
        <v>3001</v>
      </c>
      <c r="D2" s="3191" t="s">
        <v>3375</v>
      </c>
      <c r="E2" s="3187" t="s">
        <v>3010</v>
      </c>
      <c r="F2" s="3186" t="s">
        <v>3011</v>
      </c>
      <c r="G2" s="3186" t="s">
        <v>3004</v>
      </c>
      <c r="H2" s="3186" t="s">
        <v>3005</v>
      </c>
      <c r="I2" s="3188">
        <v>56069</v>
      </c>
      <c r="J2" s="3186">
        <v>37520</v>
      </c>
      <c r="K2" s="3186" t="s">
        <v>3006</v>
      </c>
      <c r="L2" s="3186">
        <v>56280</v>
      </c>
      <c r="M2" s="3186">
        <f>L2/J2</f>
        <v>1.5</v>
      </c>
      <c r="N2" s="3186">
        <v>101304000</v>
      </c>
      <c r="O2" s="3186">
        <f t="shared" ref="O2:O10" si="0">ROUND(Q2/J2*10000,0)</f>
        <v>3669</v>
      </c>
      <c r="P2" s="3186">
        <f>ROUND(O2/1.5,0)</f>
        <v>2446</v>
      </c>
      <c r="Q2" s="3186">
        <f>典型户型修正!S24</f>
        <v>13765</v>
      </c>
      <c r="R2" s="3205">
        <f>N2/J2</f>
        <v>2700</v>
      </c>
    </row>
    <row r="3" spans="1:18" ht="27" customHeight="1">
      <c r="A3" s="3183">
        <v>2</v>
      </c>
      <c r="B3" s="3183" t="s">
        <v>3000</v>
      </c>
      <c r="C3" s="3183" t="s">
        <v>3001</v>
      </c>
      <c r="D3" s="3190" t="s">
        <v>3373</v>
      </c>
      <c r="E3" s="3184" t="s">
        <v>3002</v>
      </c>
      <c r="F3" s="3183" t="s">
        <v>3003</v>
      </c>
      <c r="G3" s="3183" t="s">
        <v>3004</v>
      </c>
      <c r="H3" s="3183" t="s">
        <v>3005</v>
      </c>
      <c r="I3" s="3185">
        <v>56069</v>
      </c>
      <c r="J3" s="3183">
        <v>20732</v>
      </c>
      <c r="K3" s="3183" t="s">
        <v>3006</v>
      </c>
      <c r="L3" s="3183">
        <v>31098</v>
      </c>
      <c r="M3" s="3183">
        <f>L3/J3</f>
        <v>1.5</v>
      </c>
      <c r="N3" s="3183">
        <v>55976400</v>
      </c>
      <c r="O3" s="3218">
        <f t="shared" si="0"/>
        <v>3742</v>
      </c>
      <c r="P3" s="3218">
        <f t="shared" ref="P3:P10" si="1">ROUND(O3/1.5,0)</f>
        <v>2495</v>
      </c>
      <c r="Q3" s="3183">
        <f>典型户型修正!S25</f>
        <v>7758</v>
      </c>
      <c r="R3" s="3205">
        <f>N3/J3</f>
        <v>2700</v>
      </c>
    </row>
    <row r="4" spans="1:18" ht="27" customHeight="1">
      <c r="A4" s="3183">
        <v>3</v>
      </c>
      <c r="B4" s="3183" t="s">
        <v>3007</v>
      </c>
      <c r="C4" s="3183" t="s">
        <v>3001</v>
      </c>
      <c r="D4" s="3190" t="s">
        <v>3374</v>
      </c>
      <c r="E4" s="3184" t="s">
        <v>3008</v>
      </c>
      <c r="F4" s="3183" t="s">
        <v>3009</v>
      </c>
      <c r="G4" s="3183" t="s">
        <v>3004</v>
      </c>
      <c r="H4" s="3183" t="s">
        <v>3005</v>
      </c>
      <c r="I4" s="3185">
        <v>56069</v>
      </c>
      <c r="J4" s="3183">
        <v>53107</v>
      </c>
      <c r="K4" s="3183" t="s">
        <v>3006</v>
      </c>
      <c r="L4" s="3183">
        <v>79660.5</v>
      </c>
      <c r="M4" s="3183">
        <f t="shared" ref="M4:M9" si="2">L4/J4</f>
        <v>1.5</v>
      </c>
      <c r="N4" s="3183">
        <v>143388900</v>
      </c>
      <c r="O4" s="3218">
        <f t="shared" si="0"/>
        <v>3669</v>
      </c>
      <c r="P4" s="3218">
        <f t="shared" si="1"/>
        <v>2446</v>
      </c>
      <c r="Q4" s="3183">
        <f>典型户型修正!S26</f>
        <v>19485</v>
      </c>
      <c r="R4" s="3205">
        <f t="shared" ref="R4:R10" si="3">N4/J4</f>
        <v>2700</v>
      </c>
    </row>
    <row r="5" spans="1:18" ht="27" customHeight="1">
      <c r="A5" s="3183">
        <v>4</v>
      </c>
      <c r="B5" s="3183" t="s">
        <v>3012</v>
      </c>
      <c r="C5" s="3183" t="s">
        <v>3001</v>
      </c>
      <c r="D5" s="3190" t="s">
        <v>3376</v>
      </c>
      <c r="E5" s="3184" t="s">
        <v>3013</v>
      </c>
      <c r="F5" s="3183" t="s">
        <v>3014</v>
      </c>
      <c r="G5" s="3183" t="s">
        <v>3004</v>
      </c>
      <c r="H5" s="3183" t="s">
        <v>3005</v>
      </c>
      <c r="I5" s="3185">
        <v>56069</v>
      </c>
      <c r="J5" s="3183">
        <v>33556</v>
      </c>
      <c r="K5" s="3183" t="s">
        <v>3006</v>
      </c>
      <c r="L5" s="3183">
        <v>50334</v>
      </c>
      <c r="M5" s="3183">
        <f t="shared" si="2"/>
        <v>1.5</v>
      </c>
      <c r="N5" s="3183">
        <v>90601200</v>
      </c>
      <c r="O5" s="3218">
        <f t="shared" si="0"/>
        <v>3669</v>
      </c>
      <c r="P5" s="3218">
        <f t="shared" si="1"/>
        <v>2446</v>
      </c>
      <c r="Q5" s="3183">
        <f>典型户型修正!S27</f>
        <v>12312</v>
      </c>
      <c r="R5" s="3205">
        <f t="shared" si="3"/>
        <v>2700</v>
      </c>
    </row>
    <row r="6" spans="1:18" ht="27" customHeight="1">
      <c r="A6" s="3183">
        <v>5</v>
      </c>
      <c r="B6" s="3183" t="s">
        <v>3015</v>
      </c>
      <c r="C6" s="3183" t="s">
        <v>3001</v>
      </c>
      <c r="D6" s="3190" t="s">
        <v>3377</v>
      </c>
      <c r="E6" s="3184" t="s">
        <v>3016</v>
      </c>
      <c r="F6" s="3183" t="s">
        <v>3017</v>
      </c>
      <c r="G6" s="3183" t="s">
        <v>3004</v>
      </c>
      <c r="H6" s="3183" t="s">
        <v>3005</v>
      </c>
      <c r="I6" s="3185">
        <v>56069</v>
      </c>
      <c r="J6" s="3183">
        <v>12282</v>
      </c>
      <c r="K6" s="3183" t="s">
        <v>3006</v>
      </c>
      <c r="L6" s="3183">
        <v>18423</v>
      </c>
      <c r="M6" s="3183">
        <f t="shared" si="2"/>
        <v>1.5</v>
      </c>
      <c r="N6" s="3183">
        <v>33161400</v>
      </c>
      <c r="O6" s="3218">
        <f t="shared" si="0"/>
        <v>3742</v>
      </c>
      <c r="P6" s="3218">
        <f t="shared" si="1"/>
        <v>2495</v>
      </c>
      <c r="Q6" s="3183">
        <f>典型户型修正!S28</f>
        <v>4596</v>
      </c>
      <c r="R6" s="3205">
        <f t="shared" si="3"/>
        <v>2700</v>
      </c>
    </row>
    <row r="7" spans="1:18" ht="27" customHeight="1">
      <c r="A7" s="3183">
        <v>6</v>
      </c>
      <c r="B7" s="3183" t="s">
        <v>3018</v>
      </c>
      <c r="C7" s="3183" t="s">
        <v>3001</v>
      </c>
      <c r="D7" s="3190" t="s">
        <v>3378</v>
      </c>
      <c r="E7" s="3184" t="s">
        <v>3019</v>
      </c>
      <c r="F7" s="3183" t="s">
        <v>3020</v>
      </c>
      <c r="G7" s="3183" t="s">
        <v>3004</v>
      </c>
      <c r="H7" s="3183" t="s">
        <v>3005</v>
      </c>
      <c r="I7" s="3185">
        <v>56069</v>
      </c>
      <c r="J7" s="3183">
        <v>11536</v>
      </c>
      <c r="K7" s="3183" t="s">
        <v>3006</v>
      </c>
      <c r="L7" s="3183">
        <v>17304</v>
      </c>
      <c r="M7" s="3183">
        <f t="shared" si="2"/>
        <v>1.5</v>
      </c>
      <c r="N7" s="3183">
        <v>31147200</v>
      </c>
      <c r="O7" s="3218">
        <f t="shared" si="0"/>
        <v>3742</v>
      </c>
      <c r="P7" s="3218">
        <f t="shared" si="1"/>
        <v>2495</v>
      </c>
      <c r="Q7" s="3183">
        <f>典型户型修正!S29</f>
        <v>4317</v>
      </c>
      <c r="R7" s="3205">
        <f t="shared" si="3"/>
        <v>2700</v>
      </c>
    </row>
    <row r="8" spans="1:18" ht="27" customHeight="1">
      <c r="A8" s="3183">
        <v>7</v>
      </c>
      <c r="B8" s="3183" t="s">
        <v>3021</v>
      </c>
      <c r="C8" s="3183" t="s">
        <v>3001</v>
      </c>
      <c r="D8" s="3190" t="s">
        <v>3379</v>
      </c>
      <c r="E8" s="3183" t="s">
        <v>3022</v>
      </c>
      <c r="F8" s="3183" t="s">
        <v>3020</v>
      </c>
      <c r="G8" s="3183" t="s">
        <v>3004</v>
      </c>
      <c r="H8" s="3183" t="s">
        <v>3005</v>
      </c>
      <c r="I8" s="3185">
        <v>56069</v>
      </c>
      <c r="J8" s="3183">
        <v>14333</v>
      </c>
      <c r="K8" s="3183" t="s">
        <v>3006</v>
      </c>
      <c r="L8" s="3183">
        <v>21499.5</v>
      </c>
      <c r="M8" s="3183">
        <f t="shared" si="2"/>
        <v>1.5</v>
      </c>
      <c r="N8" s="3183">
        <v>38699100</v>
      </c>
      <c r="O8" s="3218">
        <f t="shared" si="0"/>
        <v>3742</v>
      </c>
      <c r="P8" s="3218">
        <f t="shared" si="1"/>
        <v>2495</v>
      </c>
      <c r="Q8" s="3183">
        <f>典型户型修正!S30</f>
        <v>5363</v>
      </c>
      <c r="R8" s="3205">
        <f t="shared" si="3"/>
        <v>2700</v>
      </c>
    </row>
    <row r="9" spans="1:18" ht="27" customHeight="1">
      <c r="A9" s="3183">
        <v>8</v>
      </c>
      <c r="B9" s="3183" t="s">
        <v>3023</v>
      </c>
      <c r="C9" s="3183" t="s">
        <v>3001</v>
      </c>
      <c r="D9" s="3190" t="s">
        <v>3380</v>
      </c>
      <c r="E9" s="3184" t="s">
        <v>3024</v>
      </c>
      <c r="F9" s="3183" t="s">
        <v>3025</v>
      </c>
      <c r="G9" s="3183" t="s">
        <v>3004</v>
      </c>
      <c r="H9" s="3183" t="s">
        <v>3005</v>
      </c>
      <c r="I9" s="3185">
        <v>56069</v>
      </c>
      <c r="J9" s="3183">
        <v>12197</v>
      </c>
      <c r="K9" s="3183" t="s">
        <v>3006</v>
      </c>
      <c r="L9" s="3183">
        <v>18295.5</v>
      </c>
      <c r="M9" s="3183">
        <f t="shared" si="2"/>
        <v>1.5</v>
      </c>
      <c r="N9" s="3183">
        <v>32931900</v>
      </c>
      <c r="O9" s="3218">
        <f t="shared" si="0"/>
        <v>3742</v>
      </c>
      <c r="P9" s="3218">
        <f t="shared" si="1"/>
        <v>2495</v>
      </c>
      <c r="Q9" s="3183">
        <f>典型户型修正!S31</f>
        <v>4564</v>
      </c>
      <c r="R9" s="3205">
        <f t="shared" si="3"/>
        <v>2700</v>
      </c>
    </row>
    <row r="10" spans="1:18" ht="27" customHeight="1">
      <c r="A10" s="3183">
        <v>9</v>
      </c>
      <c r="B10" s="3183" t="s">
        <v>3026</v>
      </c>
      <c r="C10" s="3183" t="s">
        <v>3001</v>
      </c>
      <c r="D10" s="3190" t="s">
        <v>3027</v>
      </c>
      <c r="E10" s="3184" t="s">
        <v>3028</v>
      </c>
      <c r="F10" s="3183" t="s">
        <v>3029</v>
      </c>
      <c r="G10" s="3183" t="s">
        <v>3004</v>
      </c>
      <c r="H10" s="3183" t="s">
        <v>3005</v>
      </c>
      <c r="I10" s="3185">
        <v>56069</v>
      </c>
      <c r="J10" s="3183">
        <v>4419</v>
      </c>
      <c r="K10" s="3183" t="s">
        <v>3006</v>
      </c>
      <c r="L10" s="3214">
        <f>J10*M10</f>
        <v>6628.5</v>
      </c>
      <c r="M10" s="3214">
        <v>1.5</v>
      </c>
      <c r="N10" s="3214">
        <v>11931300</v>
      </c>
      <c r="O10" s="3218">
        <f t="shared" si="0"/>
        <v>3743</v>
      </c>
      <c r="P10" s="3218">
        <f t="shared" si="1"/>
        <v>2495</v>
      </c>
      <c r="Q10" s="3183">
        <f>典型户型修正!S32</f>
        <v>1654</v>
      </c>
      <c r="R10" s="3205">
        <f t="shared" si="3"/>
        <v>2700</v>
      </c>
    </row>
    <row r="11" spans="1:18" ht="27" customHeight="1">
      <c r="A11" s="3183" t="s">
        <v>3030</v>
      </c>
      <c r="B11" s="3183"/>
      <c r="C11" s="3183"/>
      <c r="D11" s="3183"/>
      <c r="E11" s="3183"/>
      <c r="F11" s="3183"/>
      <c r="G11" s="3183"/>
      <c r="H11" s="3183"/>
      <c r="I11" s="3183"/>
      <c r="J11" s="3183">
        <f>SUM(J2:J10)</f>
        <v>199682</v>
      </c>
      <c r="K11" s="3183"/>
      <c r="L11" s="3183"/>
      <c r="M11" s="3183"/>
      <c r="N11" s="3183"/>
      <c r="O11" s="3183"/>
      <c r="P11" s="3183"/>
      <c r="Q11" s="3183">
        <f>SUM(Q2:Q10)</f>
        <v>73814</v>
      </c>
    </row>
  </sheetData>
  <phoneticPr fontId="274" type="noConversion"/>
  <pageMargins left="0.7" right="0.7" top="0.75" bottom="0.75" header="0.3" footer="0.3"/>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 workbookViewId="0">
      <selection activeCell="R20" sqref="R20"/>
    </sheetView>
  </sheetViews>
  <sheetFormatPr defaultRowHeight="13.5"/>
  <sheetData/>
  <phoneticPr fontId="274" type="noConversion"/>
  <pageMargins left="0.7" right="0.7" top="0.75" bottom="0.75" header="0.3" footer="0.3"/>
  <pageSetup paperSize="9" scale="8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2036</v>
      </c>
      <c r="B1" s="3228"/>
      <c r="C1" s="3228"/>
      <c r="D1" s="3228"/>
      <c r="E1" s="3228"/>
      <c r="F1" s="3228"/>
      <c r="G1" s="3228"/>
      <c r="H1" s="3228"/>
      <c r="I1" s="3228"/>
      <c r="J1" s="3228"/>
      <c r="K1" s="3228"/>
      <c r="L1" s="3228"/>
      <c r="M1" s="3228"/>
      <c r="N1" s="3228"/>
      <c r="O1" s="3228"/>
      <c r="P1" s="3228"/>
      <c r="Q1" s="3228"/>
      <c r="R1" s="3228"/>
    </row>
    <row r="2" spans="1:18">
      <c r="A2" s="1791" t="s">
        <v>2038</v>
      </c>
      <c r="B2" s="1791"/>
      <c r="C2" s="1791"/>
      <c r="D2" s="1791"/>
      <c r="E2" s="1791"/>
      <c r="F2" s="1791"/>
      <c r="G2" s="1791"/>
      <c r="H2" s="1791"/>
      <c r="I2" s="1792"/>
      <c r="J2" s="1792"/>
      <c r="K2" s="1793" t="str">
        <f>"估价期日："&amp;TEXT(项目基本情况!D3,"yyyy年m月d日;;")</f>
        <v>估价期日：2019年5月9日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9" t="s">
        <v>2027</v>
      </c>
      <c r="B3" s="3229" t="s">
        <v>2727</v>
      </c>
      <c r="C3" s="3230" t="s">
        <v>2028</v>
      </c>
      <c r="D3" s="3229" t="s">
        <v>2731</v>
      </c>
      <c r="E3" s="3224" t="s">
        <v>2029</v>
      </c>
      <c r="F3" s="3224"/>
      <c r="G3" s="3224"/>
      <c r="H3" s="3224" t="s">
        <v>2030</v>
      </c>
      <c r="I3" s="3224"/>
      <c r="J3" s="3224"/>
      <c r="K3" s="3230" t="s">
        <v>2031</v>
      </c>
      <c r="L3" s="3230" t="s">
        <v>2032</v>
      </c>
      <c r="M3" s="3229" t="s">
        <v>2728</v>
      </c>
      <c r="N3" s="3231" t="str">
        <f>"（分摊）"&amp;项目基本情况!B16&amp;"国有建设用地使用权面积/㎡"</f>
        <v>（分摊）出让国有建设用地使用权面积/㎡</v>
      </c>
      <c r="O3" s="3229" t="s">
        <v>2061</v>
      </c>
      <c r="P3" s="3230" t="s">
        <v>2041</v>
      </c>
      <c r="Q3" s="3230" t="s">
        <v>2062</v>
      </c>
      <c r="R3" s="3230" t="s">
        <v>2033</v>
      </c>
    </row>
    <row r="4" spans="1:18" ht="36.75" customHeight="1">
      <c r="A4" s="3229"/>
      <c r="B4" s="3229"/>
      <c r="C4" s="3230"/>
      <c r="D4" s="3229"/>
      <c r="E4" s="2612" t="s">
        <v>2040</v>
      </c>
      <c r="F4" s="2612" t="s">
        <v>2740</v>
      </c>
      <c r="G4" s="2612" t="s">
        <v>2034</v>
      </c>
      <c r="H4" s="2612" t="s">
        <v>2035</v>
      </c>
      <c r="I4" s="2612" t="s">
        <v>2741</v>
      </c>
      <c r="J4" s="2612" t="s">
        <v>2034</v>
      </c>
      <c r="K4" s="3230"/>
      <c r="L4" s="3230"/>
      <c r="M4" s="3229"/>
      <c r="N4" s="3231"/>
      <c r="O4" s="3229"/>
      <c r="P4" s="3230"/>
      <c r="Q4" s="3230"/>
      <c r="R4" s="3230"/>
    </row>
    <row r="5" spans="1:18" ht="135" customHeight="1">
      <c r="A5" s="1927" t="s">
        <v>2651</v>
      </c>
      <c r="B5" s="2821" t="s">
        <v>2649</v>
      </c>
      <c r="C5" s="2611">
        <v>22</v>
      </c>
      <c r="D5" s="2610" t="s">
        <v>2650</v>
      </c>
      <c r="E5" s="1794" t="str">
        <f>项目基本情况!B12</f>
        <v>其他商服用地</v>
      </c>
      <c r="F5" s="2610">
        <v>258</v>
      </c>
      <c r="G5" s="1794" t="str">
        <f>项目基本情况!B13</f>
        <v>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37520</v>
      </c>
      <c r="O5" s="1794">
        <f>项目基本情况!C21</f>
        <v>56280</v>
      </c>
      <c r="P5" s="1794">
        <f ca="1">结果表!E42</f>
        <v>3669</v>
      </c>
      <c r="Q5" s="1794">
        <f ca="1">结果表!D42</f>
        <v>2446</v>
      </c>
      <c r="R5" s="1795">
        <f ca="1">结果表!C42</f>
        <v>13765</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796">
        <f ca="1">结果表!O39</f>
        <v>13765</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796"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32" t="s">
        <v>2063</v>
      </c>
      <c r="B1" s="3232"/>
      <c r="C1" s="3232"/>
      <c r="D1" s="3232"/>
    </row>
    <row r="2" spans="1:4" ht="47.25" customHeight="1">
      <c r="A2" s="3236" t="str">
        <f>"1.权利限制："&amp;项目基本情况!L24&amp;"未设定租赁等其他他项权利。"</f>
        <v>1.权利限制：根据估价对象《不动产权证书》——、《国有土地使用权》原件，截至估价期日，估价对象抵押权未见登记。未设定租赁等其他他项权利。</v>
      </c>
      <c r="B2" s="3236"/>
      <c r="C2" s="3236"/>
      <c r="D2" s="3236"/>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5" t="s">
        <v>2064</v>
      </c>
      <c r="B5" s="3235"/>
      <c r="C5" s="3235"/>
      <c r="D5" s="3235"/>
    </row>
    <row r="6" spans="1:4">
      <c r="A6" s="3232" t="s">
        <v>2042</v>
      </c>
      <c r="B6" s="3232"/>
      <c r="C6" s="3232"/>
      <c r="D6" s="3232"/>
    </row>
    <row r="7" spans="1:4" ht="33" customHeight="1">
      <c r="A7" s="3232" t="s">
        <v>2571</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（1）根据估价对象《不动产权证书》——、《国有土地使用权》原件，截至估价期日，估价对象抵押权未见登记。</v>
      </c>
      <c r="B11" s="3234"/>
      <c r="C11" s="3234"/>
      <c r="D11" s="3234"/>
    </row>
    <row r="12" spans="1:4" ht="168" customHeight="1">
      <c r="A12" s="3235" t="s">
        <v>2066</v>
      </c>
      <c r="B12" s="3235"/>
      <c r="C12" s="3235"/>
      <c r="D12" s="3235"/>
    </row>
    <row r="13" spans="1:4">
      <c r="A13" s="3233" t="s">
        <v>2742</v>
      </c>
      <c r="B13" s="3233"/>
      <c r="C13" s="3233"/>
      <c r="D13" s="3233"/>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2698</v>
      </c>
      <c r="B17" s="3232"/>
      <c r="C17" s="3232"/>
      <c r="D17" s="3232"/>
    </row>
    <row r="18" spans="1:4">
      <c r="A18" s="3232" t="s">
        <v>2690</v>
      </c>
      <c r="B18" s="3232"/>
      <c r="C18" s="3232"/>
      <c r="D18" s="3232"/>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32" t="s">
        <v>2695</v>
      </c>
      <c r="B23" s="3232"/>
      <c r="C23" s="3232"/>
      <c r="D23" s="3232"/>
    </row>
    <row r="24" spans="1:4">
      <c r="A24" s="2822" t="s">
        <v>2691</v>
      </c>
      <c r="B24" s="2822" t="s">
        <v>2696</v>
      </c>
      <c r="C24" s="2822" t="s">
        <v>2693</v>
      </c>
      <c r="D24" s="2822" t="s">
        <v>2694</v>
      </c>
    </row>
    <row r="25" spans="1:4">
      <c r="A25" s="2825" t="s">
        <v>2697</v>
      </c>
      <c r="B25" s="2822" t="s">
        <v>950</v>
      </c>
      <c r="C25" s="2824"/>
      <c r="D25" s="1784" t="s">
        <v>2700</v>
      </c>
    </row>
    <row r="29" spans="1:4">
      <c r="D29" s="2823" t="s">
        <v>2037</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44" t="s">
        <v>53</v>
      </c>
      <c r="B15" s="3245" t="s">
        <v>844</v>
      </c>
      <c r="C15" s="3241"/>
    </row>
    <row r="16" spans="1:7" ht="14.25">
      <c r="A16" s="3244"/>
      <c r="B16" s="3242" t="s">
        <v>54</v>
      </c>
      <c r="C16" s="1166" t="s">
        <v>53</v>
      </c>
    </row>
    <row r="17" spans="1:3" ht="14.25">
      <c r="A17" s="3244"/>
      <c r="B17" s="3242"/>
      <c r="C17" s="1166" t="s">
        <v>55</v>
      </c>
    </row>
    <row r="18" spans="1:3" ht="14.25">
      <c r="A18" s="3244"/>
      <c r="B18" s="3242"/>
      <c r="C18" s="1166" t="s">
        <v>56</v>
      </c>
    </row>
    <row r="19" spans="1:3" ht="14.25">
      <c r="A19" s="3244"/>
      <c r="B19" s="3240" t="s">
        <v>57</v>
      </c>
      <c r="C19" s="3241"/>
    </row>
    <row r="20" spans="1:3" ht="14.25">
      <c r="A20" s="1167" t="s">
        <v>58</v>
      </c>
      <c r="B20" s="1168"/>
      <c r="C20" s="1169"/>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70" t="s">
        <v>835</v>
      </c>
    </row>
    <row r="25" spans="1:3" ht="14.25">
      <c r="A25" s="3243"/>
      <c r="B25" s="3247"/>
      <c r="C25" s="1170" t="s">
        <v>836</v>
      </c>
    </row>
    <row r="26" spans="1:3" ht="14.25">
      <c r="A26" s="3243"/>
      <c r="B26" s="3247"/>
      <c r="C26" s="1170" t="s">
        <v>837</v>
      </c>
    </row>
    <row r="27" spans="1:3" ht="14.25">
      <c r="A27" s="3243"/>
      <c r="B27" s="3247"/>
      <c r="C27" s="1170" t="s">
        <v>838</v>
      </c>
    </row>
    <row r="28" spans="1:3" ht="14.25">
      <c r="A28" s="3243"/>
      <c r="B28" s="3247"/>
      <c r="C28" s="1170" t="s">
        <v>839</v>
      </c>
    </row>
    <row r="29" spans="1:3" ht="14.25">
      <c r="A29" s="3243"/>
      <c r="B29" s="3247"/>
      <c r="C29" s="1170" t="s">
        <v>840</v>
      </c>
    </row>
    <row r="30" spans="1:3" ht="14.25">
      <c r="A30" s="3243"/>
      <c r="B30" s="3247"/>
      <c r="C30" s="1170" t="s">
        <v>841</v>
      </c>
    </row>
    <row r="31" spans="1:3" ht="14.25">
      <c r="A31" s="3243"/>
      <c r="B31" s="3247"/>
      <c r="C31" s="1170" t="s">
        <v>842</v>
      </c>
    </row>
    <row r="32" spans="1:3" ht="14.25">
      <c r="A32" s="3243"/>
      <c r="B32" s="3247"/>
      <c r="C32" s="1170" t="s">
        <v>1644</v>
      </c>
    </row>
    <row r="33" spans="1:3" ht="14.25">
      <c r="A33" s="3243"/>
      <c r="B33" s="3237" t="s">
        <v>1650</v>
      </c>
      <c r="C33" s="1170" t="s">
        <v>1645</v>
      </c>
    </row>
    <row r="34" spans="1:3" ht="14.25">
      <c r="A34" s="3243"/>
      <c r="B34" s="3238"/>
      <c r="C34" s="1175" t="s">
        <v>1646</v>
      </c>
    </row>
    <row r="35" spans="1:3" ht="14.25">
      <c r="A35" s="3243"/>
      <c r="B35" s="3238"/>
      <c r="C35" s="1176" t="s">
        <v>1647</v>
      </c>
    </row>
    <row r="36" spans="1:3" ht="14.25">
      <c r="A36" s="3243"/>
      <c r="B36" s="3238"/>
      <c r="C36" s="1176" t="s">
        <v>1648</v>
      </c>
    </row>
    <row r="37" spans="1:3" ht="14.25">
      <c r="A37" s="3243"/>
      <c r="B37" s="3239"/>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6" sqref="B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1905</v>
      </c>
      <c r="B2" s="3127">
        <f ca="1">TODAY()</f>
        <v>43598</v>
      </c>
      <c r="C2" s="3128" t="s">
        <v>1906</v>
      </c>
      <c r="D2" s="3128"/>
    </row>
    <row r="3" spans="1:6" ht="20.25" customHeight="1">
      <c r="A3" s="3130" t="s">
        <v>1907</v>
      </c>
      <c r="B3" s="3131" t="s">
        <v>1908</v>
      </c>
      <c r="C3" s="3131" t="s">
        <v>1909</v>
      </c>
      <c r="D3" s="3132" t="s">
        <v>1910</v>
      </c>
      <c r="E3" s="3131" t="s">
        <v>1911</v>
      </c>
      <c r="F3" s="3131" t="s">
        <v>1909</v>
      </c>
    </row>
    <row r="4" spans="1:6" ht="20.25" customHeight="1">
      <c r="A4" s="3131" t="s">
        <v>1912</v>
      </c>
      <c r="B4" s="3131">
        <f ca="1">IF(C4&lt;B2,"已过期",1119970066)</f>
        <v>1119970066</v>
      </c>
      <c r="C4" s="3133">
        <v>43849</v>
      </c>
      <c r="D4" s="3131" t="s">
        <v>1912</v>
      </c>
      <c r="E4" s="3131">
        <f ca="1">IF(F4&lt;B2,"已过期",96010014)</f>
        <v>96010014</v>
      </c>
      <c r="F4" s="3134">
        <v>47118</v>
      </c>
    </row>
    <row r="5" spans="1:6" ht="20.25" customHeight="1">
      <c r="A5" s="3131" t="s">
        <v>1913</v>
      </c>
      <c r="B5" s="3131">
        <f ca="1">IF(C5&lt;B2,"已过期",1119970074)</f>
        <v>1119970074</v>
      </c>
      <c r="C5" s="3133">
        <v>43849</v>
      </c>
      <c r="D5" s="3131" t="s">
        <v>1913</v>
      </c>
      <c r="E5" s="3131">
        <f ca="1">IF(F5&lt;B2,"已过期",2002110027)</f>
        <v>2002110027</v>
      </c>
      <c r="F5" s="3134">
        <v>46752</v>
      </c>
    </row>
    <row r="6" spans="1:6" ht="20.25" customHeight="1">
      <c r="A6" s="3131" t="s">
        <v>1914</v>
      </c>
      <c r="B6" s="3131">
        <f ca="1">IF(C6&lt;B2,"已过期",1119970111)</f>
        <v>1119970111</v>
      </c>
      <c r="C6" s="3133">
        <v>43849</v>
      </c>
      <c r="D6" s="3131" t="s">
        <v>1914</v>
      </c>
      <c r="E6" s="3131">
        <f ca="1">IF(F6&lt;B2,"已过期",94010078)</f>
        <v>94010078</v>
      </c>
      <c r="F6" s="3134">
        <v>46387</v>
      </c>
    </row>
    <row r="7" spans="1:6" ht="20.25" customHeight="1">
      <c r="A7" s="3131" t="s">
        <v>1915</v>
      </c>
      <c r="B7" s="3131">
        <f ca="1">IF(C7&lt;B2,"已过期",1120050019)</f>
        <v>1120050019</v>
      </c>
      <c r="C7" s="3133">
        <v>44395</v>
      </c>
      <c r="D7" s="3131" t="s">
        <v>1915</v>
      </c>
      <c r="E7" s="3131">
        <f ca="1">IF(F7&lt;B2,"已过期",2002110030)</f>
        <v>2002110030</v>
      </c>
      <c r="F7" s="3134">
        <v>46387</v>
      </c>
    </row>
    <row r="8" spans="1:6" ht="20.25" customHeight="1">
      <c r="A8" s="3131" t="s">
        <v>1916</v>
      </c>
      <c r="B8" s="3131">
        <f ca="1">IF(C8&lt;B2,"已过期",1120000080)</f>
        <v>1120000080</v>
      </c>
      <c r="C8" s="3133">
        <v>43849</v>
      </c>
      <c r="D8" s="3131" t="s">
        <v>1916</v>
      </c>
      <c r="E8" s="3131">
        <f ca="1">IF(F8&lt;B2,"已过期",2000110082)</f>
        <v>2000110082</v>
      </c>
      <c r="F8" s="3134">
        <v>46387</v>
      </c>
    </row>
    <row r="9" spans="1:6" ht="20.25" customHeight="1">
      <c r="A9" s="3131" t="s">
        <v>1917</v>
      </c>
      <c r="B9" s="3131">
        <f ca="1">IF(C9&lt;B2,"已过期",1419970001)</f>
        <v>1419970001</v>
      </c>
      <c r="C9" s="3133">
        <v>43867</v>
      </c>
      <c r="D9" s="3131" t="s">
        <v>1917</v>
      </c>
      <c r="E9" s="3131">
        <f ca="1">IF(F9&lt;B2,"已过期",2002110125)</f>
        <v>2002110125</v>
      </c>
      <c r="F9" s="3134">
        <v>47118</v>
      </c>
    </row>
    <row r="10" spans="1:6" ht="20.25" customHeight="1">
      <c r="A10" s="3131" t="s">
        <v>1918</v>
      </c>
      <c r="B10" s="3131" t="str">
        <f ca="1">IF(C10&lt;B2,"已过期",1120060040)</f>
        <v>已过期</v>
      </c>
      <c r="C10" s="3133">
        <v>43483</v>
      </c>
      <c r="D10" s="3131" t="s">
        <v>1918</v>
      </c>
      <c r="E10" s="3131">
        <f ca="1">IF(F10&lt;B2,"已过期",2004110096)</f>
        <v>2004110096</v>
      </c>
      <c r="F10" s="3134">
        <v>47118</v>
      </c>
    </row>
    <row r="11" spans="1:6" ht="20.25" customHeight="1">
      <c r="A11" s="3131" t="s">
        <v>1919</v>
      </c>
      <c r="B11" s="3131">
        <f ca="1">IF(C11&lt;B2,"已过期",1120100036)</f>
        <v>1120100036</v>
      </c>
      <c r="C11" s="3133">
        <v>43622</v>
      </c>
      <c r="D11" s="3131" t="s">
        <v>1919</v>
      </c>
      <c r="E11" s="3131">
        <f ca="1">IF(F11&lt;B2,"已过期",2010110070)</f>
        <v>2010110070</v>
      </c>
      <c r="F11" s="3134">
        <v>47907</v>
      </c>
    </row>
    <row r="12" spans="1:6" ht="20.25" customHeight="1">
      <c r="A12" s="3131"/>
      <c r="B12" s="3131"/>
      <c r="C12" s="3133"/>
      <c r="D12" s="3131"/>
      <c r="E12" s="3131"/>
      <c r="F12" s="3134"/>
    </row>
    <row r="13" spans="1:6" ht="20.25" customHeight="1">
      <c r="A13" s="3131" t="s">
        <v>1920</v>
      </c>
      <c r="B13" s="3131">
        <f ca="1">IF(C13&lt;B2,"已过期",1120070131)</f>
        <v>1120070131</v>
      </c>
      <c r="C13" s="3133">
        <v>43814</v>
      </c>
      <c r="D13" s="3131" t="s">
        <v>1920</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2570</v>
      </c>
      <c r="B15" s="3131">
        <f ca="1">IF(C15&lt;B2,"已过期",1120070085)</f>
        <v>1120070085</v>
      </c>
      <c r="C15" s="3135">
        <v>43814</v>
      </c>
      <c r="D15" s="3131" t="s">
        <v>2978</v>
      </c>
      <c r="E15" s="3131">
        <f ca="1">IF(F15&lt;B2,"已过期",2004110128)</f>
        <v>2004110128</v>
      </c>
      <c r="F15" s="3137">
        <v>47118</v>
      </c>
    </row>
    <row r="16" spans="1:6" ht="20.25" customHeight="1">
      <c r="A16" s="3131" t="s">
        <v>1921</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48" t="s">
        <v>1924</v>
      </c>
      <c r="B25" s="3248"/>
      <c r="C25" s="3248"/>
      <c r="D25" s="3248"/>
      <c r="E25" s="3248"/>
      <c r="F25" s="3248"/>
      <c r="G25" s="3248"/>
    </row>
    <row r="26" spans="1:7" ht="20.25" customHeight="1">
      <c r="A26" s="3249" t="s">
        <v>1925</v>
      </c>
      <c r="B26" s="3249"/>
      <c r="C26" s="3249"/>
      <c r="D26" s="3249" t="s">
        <v>1926</v>
      </c>
      <c r="E26" s="3249"/>
      <c r="F26" s="3249"/>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43725</v>
      </c>
      <c r="D28" s="3142" t="s">
        <v>1932</v>
      </c>
      <c r="E28" s="3142" t="s">
        <v>1933</v>
      </c>
      <c r="F28" s="3143">
        <v>44377</v>
      </c>
    </row>
    <row r="29" spans="1:7" s="3126" customFormat="1" ht="20.25" customHeight="1">
      <c r="A29" s="3142"/>
      <c r="B29" s="3142"/>
      <c r="C29" s="3144"/>
      <c r="D29" s="3142" t="s">
        <v>1934</v>
      </c>
      <c r="E29" s="3145" t="s">
        <v>2938</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Y26:Z2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2536</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874</v>
      </c>
    </row>
    <row r="4" spans="1:23">
      <c r="A4" s="8" t="s">
        <v>87</v>
      </c>
      <c r="B4" s="8" t="s">
        <v>152</v>
      </c>
      <c r="C4" s="1536" t="s">
        <v>1709</v>
      </c>
      <c r="D4" s="9" t="s">
        <v>1992</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2540</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63" t="s">
        <v>2950</v>
      </c>
      <c r="C18" s="1539"/>
    </row>
    <row r="19" spans="1:3">
      <c r="A19" s="8" t="s">
        <v>120</v>
      </c>
      <c r="B19" s="3063" t="s">
        <v>2958</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50"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c r="D53" s="1751"/>
      <c r="E53" s="1751"/>
    </row>
    <row r="54" spans="1:5">
      <c r="A54" s="3250"/>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0"/>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0"/>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0"/>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收益法案例</vt:lpstr>
      <vt:lpstr>典型户型修正</vt:lpstr>
      <vt:lpstr>存贷款利率</vt:lpstr>
      <vt:lpstr>土地清单</vt:lpstr>
      <vt:lpstr>Sheet1</vt:lpstr>
      <vt:lpstr>Sheet1!Print_Area</vt:lpstr>
      <vt:lpstr>土地清单!Print_Area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2019-05-11T09:11:27Z</cp:lastPrinted>
  <dcterms:created xsi:type="dcterms:W3CDTF">2015-07-13T07:17:23Z</dcterms:created>
  <dcterms:modified xsi:type="dcterms:W3CDTF">2019-05-13T06:40:58Z</dcterms:modified>
</cp:coreProperties>
</file>