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840" windowHeight="12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75" i="9" l="1"/>
  <c r="N19" i="1"/>
  <c r="C6" i="68" l="1"/>
  <c r="I7" i="6"/>
  <c r="N6" i="1" l="1"/>
  <c r="C88" i="9" l="1"/>
  <c r="I91" i="9"/>
  <c r="I33" i="15"/>
  <c r="J52" i="15"/>
  <c r="K21" i="1"/>
  <c r="K22" i="1" l="1"/>
  <c r="AH6" i="1"/>
  <c r="E66" i="40"/>
  <c r="F66" i="40" s="1"/>
  <c r="G66" i="40" s="1"/>
  <c r="H66" i="40" s="1"/>
  <c r="I66" i="40" s="1"/>
  <c r="J66" i="40" s="1"/>
  <c r="K66" i="40" s="1"/>
  <c r="L66" i="40" s="1"/>
  <c r="M66" i="40" s="1"/>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J10" i="43"/>
  <c r="K49" i="9"/>
  <c r="E107" i="9"/>
  <c r="A122" i="9" s="1"/>
  <c r="A8" i="52" s="1"/>
  <c r="B54" i="72" s="1"/>
  <c r="E111" i="9"/>
  <c r="A126" i="9" s="1"/>
  <c r="E109" i="9"/>
  <c r="A124" i="9" s="1"/>
  <c r="A10" i="52" s="1"/>
  <c r="B55" i="72" s="1"/>
  <c r="B44" i="72"/>
  <c r="B42" i="72"/>
  <c r="B69" i="72"/>
  <c r="B68" i="72"/>
  <c r="B63" i="72"/>
  <c r="B62"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B44"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AA36" i="71" s="1"/>
  <c r="O36" i="71"/>
  <c r="Y36" i="71" s="1"/>
  <c r="Z36" i="71" s="1"/>
  <c r="N36" i="71"/>
  <c r="X36" i="71" s="1"/>
  <c r="Q35" i="71"/>
  <c r="P35" i="71"/>
  <c r="O35" i="71"/>
  <c r="N35" i="71"/>
  <c r="Q34" i="71"/>
  <c r="F35" i="71" s="1"/>
  <c r="P34" i="71"/>
  <c r="O34" i="71"/>
  <c r="C35" i="71" s="1"/>
  <c r="D35" i="71" s="1"/>
  <c r="N34" i="71"/>
  <c r="B35" i="71" s="1"/>
  <c r="D34" i="71"/>
  <c r="Q33" i="71"/>
  <c r="P33" i="71"/>
  <c r="O33" i="71"/>
  <c r="N33" i="71"/>
  <c r="Q32" i="71"/>
  <c r="P32" i="71"/>
  <c r="O32" i="71"/>
  <c r="N32" i="71"/>
  <c r="Q31" i="71"/>
  <c r="P31" i="71"/>
  <c r="O31" i="71"/>
  <c r="N31" i="71"/>
  <c r="Q30" i="71"/>
  <c r="F31" i="71" s="1"/>
  <c r="P30" i="71"/>
  <c r="E31" i="71" s="1"/>
  <c r="O30" i="71"/>
  <c r="C31" i="71" s="1"/>
  <c r="D31" i="71" s="1"/>
  <c r="N30" i="71"/>
  <c r="B31" i="71" s="1"/>
  <c r="D30" i="71"/>
  <c r="Q29" i="71"/>
  <c r="P29" i="71"/>
  <c r="O29" i="71"/>
  <c r="N29" i="71"/>
  <c r="Q28" i="71"/>
  <c r="P28" i="71"/>
  <c r="O28" i="71"/>
  <c r="N28" i="71"/>
  <c r="Q27" i="71"/>
  <c r="P27" i="71"/>
  <c r="O27" i="71"/>
  <c r="N27" i="71"/>
  <c r="Q26" i="71"/>
  <c r="F27" i="71" s="1"/>
  <c r="P26" i="71"/>
  <c r="O26" i="71"/>
  <c r="C27" i="71" s="1"/>
  <c r="D27" i="71" s="1"/>
  <c r="N26" i="71"/>
  <c r="B27" i="71" s="1"/>
  <c r="D26" i="71"/>
  <c r="O25" i="71"/>
  <c r="C25" i="71" s="1"/>
  <c r="N25" i="71"/>
  <c r="B25" i="71" s="1"/>
  <c r="S25" i="71" s="1"/>
  <c r="P25" i="71"/>
  <c r="E25" i="71" s="1"/>
  <c r="Q25" i="71"/>
  <c r="C68" i="71"/>
  <c r="C72" i="71"/>
  <c r="D72" i="71" s="1"/>
  <c r="D73" i="71"/>
  <c r="C76" i="71"/>
  <c r="D76" i="71" s="1"/>
  <c r="D77"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75" i="43" s="1"/>
  <c r="C29" i="39"/>
  <c r="H25" i="40"/>
  <c r="AB25" i="40" s="1"/>
  <c r="J25" i="40"/>
  <c r="AC25" i="40" s="1"/>
  <c r="H29" i="39"/>
  <c r="J29" i="39"/>
  <c r="AC29" i="39" s="1"/>
  <c r="J18" i="36"/>
  <c r="AC18" i="36" s="1"/>
  <c r="H18" i="35"/>
  <c r="AB18" i="35" s="1"/>
  <c r="J18" i="35"/>
  <c r="AC18" i="35" s="1"/>
  <c r="H21" i="37"/>
  <c r="F21" i="37"/>
  <c r="H21" i="34"/>
  <c r="AB21" i="34" s="1"/>
  <c r="H21" i="33"/>
  <c r="U21" i="33" s="1"/>
  <c r="F21" i="33"/>
  <c r="AA21" i="33" s="1"/>
  <c r="H1" i="69"/>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M99" i="43"/>
  <c r="M100" i="43" s="1"/>
  <c r="C99" i="43"/>
  <c r="C108"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c r="D76" i="43"/>
  <c r="M75" i="43"/>
  <c r="N75" i="43"/>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c r="D56" i="43"/>
  <c r="M55" i="43"/>
  <c r="N55" i="43" s="1"/>
  <c r="K55" i="43"/>
  <c r="J55" i="43"/>
  <c r="D55" i="43"/>
  <c r="M54" i="43"/>
  <c r="N54" i="43" s="1"/>
  <c r="K54" i="43"/>
  <c r="J54" i="43" s="1"/>
  <c r="D54" i="43"/>
  <c r="M53" i="43"/>
  <c r="N53" i="43"/>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F15" i="4"/>
  <c r="F8" i="1"/>
  <c r="F9" i="1"/>
  <c r="F10" i="1"/>
  <c r="F11" i="1"/>
  <c r="F12" i="1"/>
  <c r="F13" i="1"/>
  <c r="D6" i="1"/>
  <c r="D9" i="1"/>
  <c r="D10" i="1"/>
  <c r="D11" i="1"/>
  <c r="D12" i="1"/>
  <c r="D13" i="1"/>
  <c r="G13" i="1" s="1"/>
  <c r="D7" i="1"/>
  <c r="D8" i="1"/>
  <c r="A7" i="1"/>
  <c r="B7" i="1" s="1"/>
  <c r="E7" i="1" s="1"/>
  <c r="A8" i="1"/>
  <c r="B8" i="1" s="1"/>
  <c r="E8" i="1" s="1"/>
  <c r="A9" i="1"/>
  <c r="A10" i="1"/>
  <c r="K10" i="1" s="1"/>
  <c r="M10" i="1" s="1"/>
  <c r="O10" i="1" s="1"/>
  <c r="P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A191" i="3" s="1"/>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L188" i="3" s="1"/>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A175" i="3" s="1"/>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L172" i="3" s="1"/>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L160" i="3" s="1"/>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A143" i="3" s="1"/>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L140" i="3" s="1"/>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L128" i="3" s="1"/>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A127" i="3" s="1"/>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L124" i="3" s="1"/>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A389" i="3" s="1"/>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A378" i="3" s="1"/>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L376" i="3" s="1"/>
  <c r="BS376" i="3"/>
  <c r="BR376" i="3"/>
  <c r="BQ376" i="3"/>
  <c r="BP376" i="3"/>
  <c r="BO376" i="3"/>
  <c r="BN376" i="3"/>
  <c r="BM376" i="3"/>
  <c r="BK376" i="3"/>
  <c r="BJ376" i="3"/>
  <c r="BI376" i="3"/>
  <c r="BH376" i="3"/>
  <c r="BG376" i="3"/>
  <c r="BA376" i="3" s="1"/>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L373" i="3" s="1"/>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A365" i="3" s="1"/>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L361" i="3" s="1"/>
  <c r="BP361" i="3"/>
  <c r="BO361" i="3"/>
  <c r="BN361" i="3"/>
  <c r="BM361" i="3"/>
  <c r="BK361" i="3"/>
  <c r="BJ361" i="3"/>
  <c r="BI361" i="3"/>
  <c r="BH361" i="3"/>
  <c r="BG361" i="3"/>
  <c r="BF361" i="3"/>
  <c r="BE361" i="3"/>
  <c r="BD361" i="3"/>
  <c r="BA361" i="3" s="1"/>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A356" i="3" s="1"/>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A342" i="3" s="1"/>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A330" i="3" s="1"/>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A328" i="3" s="1"/>
  <c r="BF328" i="3"/>
  <c r="BE328" i="3"/>
  <c r="BD328" i="3"/>
  <c r="BC328" i="3"/>
  <c r="BB328" i="3"/>
  <c r="AX328" i="3"/>
  <c r="AW328" i="3"/>
  <c r="AV328" i="3"/>
  <c r="AC328" i="3"/>
  <c r="H328" i="3"/>
  <c r="BT327" i="3"/>
  <c r="BS327" i="3"/>
  <c r="BL327" i="3" s="1"/>
  <c r="BR327" i="3"/>
  <c r="BQ327" i="3"/>
  <c r="BP327" i="3"/>
  <c r="BO327" i="3"/>
  <c r="BN327" i="3"/>
  <c r="BM327" i="3"/>
  <c r="BK327" i="3"/>
  <c r="BJ327" i="3"/>
  <c r="BI327" i="3"/>
  <c r="BH327" i="3"/>
  <c r="BG327" i="3"/>
  <c r="BF327" i="3"/>
  <c r="BA327" i="3" s="1"/>
  <c r="BE327" i="3"/>
  <c r="BD327" i="3"/>
  <c r="BC327" i="3"/>
  <c r="BB327" i="3"/>
  <c r="AX327" i="3"/>
  <c r="AW327" i="3"/>
  <c r="AV327" i="3"/>
  <c r="AC327" i="3"/>
  <c r="H327" i="3"/>
  <c r="BT326" i="3"/>
  <c r="BS326" i="3"/>
  <c r="BR326" i="3"/>
  <c r="BL326" i="3" s="1"/>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L325" i="3" s="1"/>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L315" i="3" s="1"/>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A314" i="3" s="1"/>
  <c r="BE314" i="3"/>
  <c r="BD314" i="3"/>
  <c r="BC314" i="3"/>
  <c r="BB314" i="3"/>
  <c r="AX314" i="3"/>
  <c r="AW314" i="3"/>
  <c r="AV314" i="3"/>
  <c r="AC314" i="3"/>
  <c r="H314" i="3"/>
  <c r="BT313" i="3"/>
  <c r="BS313" i="3"/>
  <c r="BR313" i="3"/>
  <c r="BL313" i="3" s="1"/>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A312" i="3" s="1"/>
  <c r="BC312" i="3"/>
  <c r="BB312" i="3"/>
  <c r="AX312" i="3"/>
  <c r="AW312" i="3"/>
  <c r="AV312" i="3"/>
  <c r="AC312" i="3"/>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S29" i="31" s="1"/>
  <c r="R30" i="31"/>
  <c r="R31" i="31"/>
  <c r="R32" i="31"/>
  <c r="R33" i="31"/>
  <c r="R34" i="31"/>
  <c r="R35" i="31"/>
  <c r="R36" i="31"/>
  <c r="R37" i="31"/>
  <c r="R38" i="31"/>
  <c r="R39" i="31"/>
  <c r="R40" i="31"/>
  <c r="R41" i="31"/>
  <c r="S41" i="31" s="1"/>
  <c r="R42" i="31"/>
  <c r="R43" i="31"/>
  <c r="R44" i="31"/>
  <c r="R45" i="31"/>
  <c r="R46" i="31"/>
  <c r="R47" i="31"/>
  <c r="R48" i="31"/>
  <c r="R49" i="31"/>
  <c r="R50" i="31"/>
  <c r="R51" i="31"/>
  <c r="R52" i="31"/>
  <c r="R53" i="31"/>
  <c r="S53" i="31" s="1"/>
  <c r="R54" i="31"/>
  <c r="R55" i="31"/>
  <c r="R56" i="31"/>
  <c r="R57" i="31"/>
  <c r="R58" i="31"/>
  <c r="R59" i="31"/>
  <c r="R60" i="31"/>
  <c r="R61" i="31"/>
  <c r="R62" i="31"/>
  <c r="R63" i="31"/>
  <c r="R64" i="31"/>
  <c r="R65" i="31"/>
  <c r="S65" i="31" s="1"/>
  <c r="R66" i="31"/>
  <c r="R67" i="31"/>
  <c r="R68" i="31"/>
  <c r="R69" i="31"/>
  <c r="R70" i="31"/>
  <c r="R71" i="31"/>
  <c r="R72" i="31"/>
  <c r="R73" i="31"/>
  <c r="R74" i="31"/>
  <c r="R75" i="31"/>
  <c r="R76" i="31"/>
  <c r="R77" i="31"/>
  <c r="S77" i="31" s="1"/>
  <c r="R78" i="31"/>
  <c r="R79" i="31"/>
  <c r="R80" i="31"/>
  <c r="R81" i="31"/>
  <c r="R82" i="31"/>
  <c r="R83" i="31"/>
  <c r="R84" i="31"/>
  <c r="R85" i="31"/>
  <c r="R86" i="31"/>
  <c r="R87" i="31"/>
  <c r="R88" i="31"/>
  <c r="R89" i="31"/>
  <c r="S89" i="31" s="1"/>
  <c r="R90" i="31"/>
  <c r="R91" i="31"/>
  <c r="R92" i="31"/>
  <c r="R93" i="31"/>
  <c r="R94" i="31"/>
  <c r="R95" i="31"/>
  <c r="R96" i="31"/>
  <c r="R97" i="31"/>
  <c r="R98" i="31"/>
  <c r="R99" i="31"/>
  <c r="R100" i="31"/>
  <c r="R101" i="31"/>
  <c r="S101" i="31" s="1"/>
  <c r="R102" i="31"/>
  <c r="R103" i="31"/>
  <c r="R104" i="31"/>
  <c r="R105" i="31"/>
  <c r="R106" i="31"/>
  <c r="R107" i="31"/>
  <c r="R108" i="31"/>
  <c r="R109" i="31"/>
  <c r="R110" i="31"/>
  <c r="R111" i="31"/>
  <c r="R112" i="31"/>
  <c r="R113" i="31"/>
  <c r="S113" i="31" s="1"/>
  <c r="R114" i="31"/>
  <c r="R115" i="31"/>
  <c r="R116" i="31"/>
  <c r="R117" i="31"/>
  <c r="R118" i="31"/>
  <c r="R119" i="31"/>
  <c r="R120" i="31"/>
  <c r="R121" i="31"/>
  <c r="R122" i="31"/>
  <c r="R123" i="31"/>
  <c r="R124" i="31"/>
  <c r="R125" i="31"/>
  <c r="S125" i="31" s="1"/>
  <c r="R126" i="31"/>
  <c r="R127" i="31"/>
  <c r="R128" i="31"/>
  <c r="R129" i="31"/>
  <c r="R130" i="31"/>
  <c r="R131" i="31"/>
  <c r="R132" i="31"/>
  <c r="R133" i="31"/>
  <c r="R134" i="31"/>
  <c r="R135" i="31"/>
  <c r="R136" i="31"/>
  <c r="R137" i="31"/>
  <c r="S137" i="31" s="1"/>
  <c r="R138" i="31"/>
  <c r="R139" i="31"/>
  <c r="R140" i="31"/>
  <c r="R141" i="31"/>
  <c r="R142" i="31"/>
  <c r="R143" i="31"/>
  <c r="R144" i="31"/>
  <c r="R145" i="31"/>
  <c r="R146" i="31"/>
  <c r="R147" i="31"/>
  <c r="R148" i="31"/>
  <c r="R149" i="31"/>
  <c r="S149" i="31" s="1"/>
  <c r="R150" i="31"/>
  <c r="R151" i="31"/>
  <c r="R152" i="31"/>
  <c r="R153" i="31"/>
  <c r="R154" i="31"/>
  <c r="R155" i="31"/>
  <c r="R156" i="31"/>
  <c r="R157" i="31"/>
  <c r="R158" i="31"/>
  <c r="R159" i="31"/>
  <c r="R160" i="31"/>
  <c r="R161" i="31"/>
  <c r="S161" i="31" s="1"/>
  <c r="R162" i="31"/>
  <c r="R163" i="31"/>
  <c r="R164" i="31"/>
  <c r="R165" i="31"/>
  <c r="R166" i="31"/>
  <c r="R167" i="31"/>
  <c r="R168" i="31"/>
  <c r="R169" i="31"/>
  <c r="R170" i="31"/>
  <c r="R171" i="31"/>
  <c r="R172" i="31"/>
  <c r="R173" i="31"/>
  <c r="S173" i="31" s="1"/>
  <c r="R174" i="31"/>
  <c r="R175" i="31"/>
  <c r="R176" i="31"/>
  <c r="R177" i="31"/>
  <c r="R178" i="31"/>
  <c r="R179" i="31"/>
  <c r="R180" i="31"/>
  <c r="R181" i="31"/>
  <c r="R182" i="31"/>
  <c r="R183" i="31"/>
  <c r="R184" i="31"/>
  <c r="R185" i="31"/>
  <c r="S185" i="31" s="1"/>
  <c r="R186" i="31"/>
  <c r="R187" i="31"/>
  <c r="R188" i="31"/>
  <c r="R189" i="31"/>
  <c r="R190" i="31"/>
  <c r="R191" i="31"/>
  <c r="R192" i="31"/>
  <c r="R193" i="31"/>
  <c r="R194" i="31"/>
  <c r="R195" i="31"/>
  <c r="R196" i="31"/>
  <c r="R197" i="31"/>
  <c r="S197" i="31" s="1"/>
  <c r="R198" i="31"/>
  <c r="R199" i="31"/>
  <c r="R200" i="31"/>
  <c r="R201" i="31"/>
  <c r="R202" i="31"/>
  <c r="R203" i="31"/>
  <c r="R204" i="31"/>
  <c r="R205" i="31"/>
  <c r="R206" i="31"/>
  <c r="R207" i="31"/>
  <c r="R208" i="31"/>
  <c r="R209" i="31"/>
  <c r="S209" i="31" s="1"/>
  <c r="R210" i="31"/>
  <c r="R211" i="31"/>
  <c r="R212" i="31"/>
  <c r="R213" i="31"/>
  <c r="R214" i="31"/>
  <c r="R215" i="31"/>
  <c r="R216" i="31"/>
  <c r="R217" i="31"/>
  <c r="R218" i="31"/>
  <c r="R219" i="31"/>
  <c r="R220" i="31"/>
  <c r="R221" i="31"/>
  <c r="S221" i="31" s="1"/>
  <c r="R222" i="31"/>
  <c r="R223" i="31"/>
  <c r="R224" i="31"/>
  <c r="R225" i="31"/>
  <c r="R226" i="31"/>
  <c r="R227" i="31"/>
  <c r="R228" i="31"/>
  <c r="R229" i="31"/>
  <c r="R230" i="31"/>
  <c r="R231" i="31"/>
  <c r="R232" i="31"/>
  <c r="R233" i="31"/>
  <c r="S233" i="31" s="1"/>
  <c r="R234" i="31"/>
  <c r="R235" i="31"/>
  <c r="R236" i="31"/>
  <c r="R237" i="31"/>
  <c r="R238" i="31"/>
  <c r="R239" i="31"/>
  <c r="R240" i="31"/>
  <c r="R241" i="31"/>
  <c r="R242" i="31"/>
  <c r="R243" i="31"/>
  <c r="R244" i="31"/>
  <c r="R245" i="31"/>
  <c r="S245" i="31" s="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S455" i="31" s="1"/>
  <c r="R456" i="31"/>
  <c r="R457" i="31"/>
  <c r="R458" i="31"/>
  <c r="R459" i="31"/>
  <c r="R460" i="31"/>
  <c r="R461" i="31"/>
  <c r="R462" i="31"/>
  <c r="R463" i="31"/>
  <c r="R464" i="31"/>
  <c r="R465" i="31"/>
  <c r="R466" i="31"/>
  <c r="R467" i="31"/>
  <c r="S467" i="31" s="1"/>
  <c r="R468" i="31"/>
  <c r="R469" i="31"/>
  <c r="R470" i="31"/>
  <c r="R471" i="31"/>
  <c r="R472" i="31"/>
  <c r="R473" i="31"/>
  <c r="R474" i="31"/>
  <c r="R475" i="31"/>
  <c r="R476" i="31"/>
  <c r="R477" i="31"/>
  <c r="R478" i="31"/>
  <c r="R479" i="31"/>
  <c r="S479" i="31" s="1"/>
  <c r="R480" i="31"/>
  <c r="R481" i="31"/>
  <c r="R482" i="31"/>
  <c r="R483" i="3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S515" i="31" s="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2" i="43" s="1"/>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4" i="31"/>
  <c r="S322" i="31"/>
  <c r="S424" i="31"/>
  <c r="S320" i="31"/>
  <c r="S318" i="31"/>
  <c r="S316" i="31"/>
  <c r="S314" i="31"/>
  <c r="S312" i="31"/>
  <c r="S310" i="31"/>
  <c r="S308" i="31"/>
  <c r="S306"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4" i="31"/>
  <c r="S243" i="31"/>
  <c r="S242" i="31"/>
  <c r="S241" i="31"/>
  <c r="S240" i="31"/>
  <c r="S239" i="31"/>
  <c r="S238" i="31"/>
  <c r="S237" i="31"/>
  <c r="S236" i="31"/>
  <c r="S235" i="31"/>
  <c r="S234" i="31"/>
  <c r="S232" i="31"/>
  <c r="S231" i="31"/>
  <c r="S230" i="31"/>
  <c r="S229" i="31"/>
  <c r="S228" i="31"/>
  <c r="S227" i="31"/>
  <c r="S226" i="31"/>
  <c r="S225" i="31"/>
  <c r="S224" i="31"/>
  <c r="S223" i="31"/>
  <c r="S429" i="31"/>
  <c r="S428" i="31"/>
  <c r="S427" i="31"/>
  <c r="S426" i="31"/>
  <c r="S425" i="31"/>
  <c r="S222" i="31"/>
  <c r="S220" i="31"/>
  <c r="S219" i="31"/>
  <c r="S218" i="31"/>
  <c r="S217" i="31"/>
  <c r="S216" i="31"/>
  <c r="S215" i="31"/>
  <c r="S214" i="31"/>
  <c r="S213" i="31"/>
  <c r="S212" i="31"/>
  <c r="S211" i="31"/>
  <c r="S210" i="31"/>
  <c r="S208" i="31"/>
  <c r="S207" i="31"/>
  <c r="S206" i="31"/>
  <c r="S205" i="31"/>
  <c r="S204" i="31"/>
  <c r="S203" i="31"/>
  <c r="S202" i="31"/>
  <c r="S201" i="31"/>
  <c r="S200" i="31"/>
  <c r="S199" i="31"/>
  <c r="S198" i="31"/>
  <c r="S196" i="31"/>
  <c r="S195" i="31"/>
  <c r="S194" i="31"/>
  <c r="S193" i="31"/>
  <c r="S192" i="31"/>
  <c r="S191" i="31"/>
  <c r="S190" i="31"/>
  <c r="S189" i="31"/>
  <c r="S188" i="31"/>
  <c r="S187" i="31"/>
  <c r="S186" i="31"/>
  <c r="S184" i="31"/>
  <c r="S183" i="31"/>
  <c r="S182" i="31"/>
  <c r="S181" i="31"/>
  <c r="S180" i="31"/>
  <c r="S179" i="31"/>
  <c r="S178" i="31"/>
  <c r="S177" i="31"/>
  <c r="S176" i="31"/>
  <c r="S175" i="31"/>
  <c r="S174" i="31"/>
  <c r="S172" i="31"/>
  <c r="S171" i="31"/>
  <c r="S170" i="31"/>
  <c r="S169" i="31"/>
  <c r="S168" i="31"/>
  <c r="S167" i="31"/>
  <c r="S166" i="31"/>
  <c r="S165" i="31"/>
  <c r="S164" i="31"/>
  <c r="S163" i="31"/>
  <c r="S162" i="31"/>
  <c r="S160" i="31"/>
  <c r="S159" i="31"/>
  <c r="S158" i="31"/>
  <c r="S157" i="31"/>
  <c r="S156" i="31"/>
  <c r="S155" i="31"/>
  <c r="S154" i="31"/>
  <c r="S153" i="31"/>
  <c r="S152" i="31"/>
  <c r="S151" i="31"/>
  <c r="S150" i="31"/>
  <c r="S148" i="31"/>
  <c r="S147" i="31"/>
  <c r="S146" i="31"/>
  <c r="S145" i="31"/>
  <c r="S144" i="31"/>
  <c r="S143" i="31"/>
  <c r="S142" i="31"/>
  <c r="S141" i="31"/>
  <c r="S140" i="31"/>
  <c r="S139" i="31"/>
  <c r="S138" i="31"/>
  <c r="S136" i="31"/>
  <c r="S135" i="31"/>
  <c r="S134" i="31"/>
  <c r="S133" i="31"/>
  <c r="S132" i="31"/>
  <c r="S131" i="31"/>
  <c r="S130" i="31"/>
  <c r="S129" i="31"/>
  <c r="S128" i="31"/>
  <c r="S127" i="31"/>
  <c r="S126" i="31"/>
  <c r="S124" i="31"/>
  <c r="S123" i="31"/>
  <c r="S497" i="31"/>
  <c r="S496" i="31"/>
  <c r="S495" i="31"/>
  <c r="S494" i="31"/>
  <c r="S493" i="31"/>
  <c r="S492" i="31"/>
  <c r="S490" i="31"/>
  <c r="S489" i="31"/>
  <c r="S488" i="31"/>
  <c r="S487" i="31"/>
  <c r="S486" i="31"/>
  <c r="S485" i="31"/>
  <c r="S484" i="31"/>
  <c r="S483" i="31"/>
  <c r="S482" i="31"/>
  <c r="S481" i="31"/>
  <c r="S480"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2" i="31"/>
  <c r="S506" i="31"/>
  <c r="S504" i="31"/>
  <c r="S502" i="31"/>
  <c r="S500" i="31"/>
  <c r="S498" i="31"/>
  <c r="S466" i="31"/>
  <c r="S465" i="31"/>
  <c r="S464" i="31"/>
  <c r="S463" i="31"/>
  <c r="S462" i="31"/>
  <c r="S461" i="31"/>
  <c r="S460" i="31"/>
  <c r="S459" i="31"/>
  <c r="S458" i="31"/>
  <c r="S457" i="31"/>
  <c r="S456" i="31"/>
  <c r="S454" i="31"/>
  <c r="S453" i="31"/>
  <c r="S452" i="31"/>
  <c r="S451" i="31"/>
  <c r="S450" i="31"/>
  <c r="S54" i="31"/>
  <c r="S52" i="31"/>
  <c r="S51" i="31"/>
  <c r="S50" i="31"/>
  <c r="S49" i="31"/>
  <c r="S48" i="31"/>
  <c r="S47" i="31"/>
  <c r="S46" i="31"/>
  <c r="S45" i="31"/>
  <c r="S44" i="31"/>
  <c r="S43" i="31"/>
  <c r="S42" i="31"/>
  <c r="S40" i="31"/>
  <c r="S39" i="31"/>
  <c r="S38" i="31"/>
  <c r="S37" i="31"/>
  <c r="S36" i="31"/>
  <c r="S35" i="31"/>
  <c r="S34" i="31"/>
  <c r="S33" i="31"/>
  <c r="S32" i="31"/>
  <c r="S76" i="31"/>
  <c r="S75" i="31"/>
  <c r="S74" i="31"/>
  <c r="S73" i="31"/>
  <c r="S72" i="31"/>
  <c r="S71" i="31"/>
  <c r="S70" i="31"/>
  <c r="S69" i="31"/>
  <c r="S68" i="31"/>
  <c r="S67" i="31"/>
  <c r="S66" i="31"/>
  <c r="S64" i="31"/>
  <c r="S63" i="31"/>
  <c r="S62" i="31"/>
  <c r="S61" i="31"/>
  <c r="S60" i="31"/>
  <c r="S59" i="31"/>
  <c r="S58" i="31"/>
  <c r="S57" i="31"/>
  <c r="S56" i="31"/>
  <c r="S55" i="31"/>
  <c r="S24" i="31"/>
  <c r="S97" i="31"/>
  <c r="S96" i="31"/>
  <c r="S95" i="31"/>
  <c r="S94" i="31"/>
  <c r="S93" i="31"/>
  <c r="S92" i="31"/>
  <c r="S91" i="31"/>
  <c r="S90" i="31"/>
  <c r="S88" i="31"/>
  <c r="S87" i="31"/>
  <c r="S86" i="31"/>
  <c r="S85" i="31"/>
  <c r="S84" i="31"/>
  <c r="S83" i="31"/>
  <c r="S82" i="31"/>
  <c r="S81" i="31"/>
  <c r="S80" i="31"/>
  <c r="S79" i="31"/>
  <c r="S78" i="31"/>
  <c r="S31" i="31"/>
  <c r="S30" i="31"/>
  <c r="S98" i="31"/>
  <c r="S99" i="31"/>
  <c r="S100"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A498" i="3" s="1"/>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A501" i="3" s="1"/>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L566" i="3" s="1"/>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J31" i="35"/>
  <c r="AC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H39" i="40" s="1"/>
  <c r="U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AC33" i="40" s="1"/>
  <c r="W33" i="40"/>
  <c r="B103" i="40"/>
  <c r="J32" i="40" s="1"/>
  <c r="W32" i="40" s="1"/>
  <c r="B10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D90" i="40"/>
  <c r="E90" i="40" s="1"/>
  <c r="F90" i="40" s="1"/>
  <c r="G90" i="40" s="1"/>
  <c r="D88" i="40"/>
  <c r="E88" i="40" s="1"/>
  <c r="F88" i="40" s="1"/>
  <c r="G88" i="40" s="1"/>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G73" i="37" s="1"/>
  <c r="D71" i="37"/>
  <c r="H15" i="37"/>
  <c r="AB15" i="37" s="1"/>
  <c r="B68" i="37"/>
  <c r="B66" i="37"/>
  <c r="H13" i="37" s="1"/>
  <c r="B64" i="37"/>
  <c r="J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c r="F8" i="37"/>
  <c r="S8" i="37" s="1"/>
  <c r="J31" i="36"/>
  <c r="AC31" i="36" s="1"/>
  <c r="H31" i="36"/>
  <c r="U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c r="AA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B77" i="35"/>
  <c r="B75" i="35"/>
  <c r="B73" i="35"/>
  <c r="B57" i="35"/>
  <c r="B61" i="35"/>
  <c r="B59" i="35"/>
  <c r="F12" i="35" s="1"/>
  <c r="B131" i="34"/>
  <c r="J47" i="34" s="1"/>
  <c r="W47" i="34" s="1"/>
  <c r="B129" i="34"/>
  <c r="B127" i="34"/>
  <c r="H45" i="34" s="1"/>
  <c r="U45" i="34" s="1"/>
  <c r="B99" i="34"/>
  <c r="F32" i="34" s="1"/>
  <c r="AA32" i="34" s="1"/>
  <c r="B97" i="34"/>
  <c r="H31" i="34" s="1"/>
  <c r="AB31" i="34" s="1"/>
  <c r="B95" i="34"/>
  <c r="B93" i="34"/>
  <c r="B75" i="34"/>
  <c r="B73" i="34"/>
  <c r="B71" i="34"/>
  <c r="B130" i="33"/>
  <c r="F46" i="33" s="1"/>
  <c r="AA46" i="33" s="1"/>
  <c r="B128" i="33"/>
  <c r="B126" i="33"/>
  <c r="F44" i="33" s="1"/>
  <c r="AA44" i="33" s="1"/>
  <c r="B98" i="33"/>
  <c r="J31" i="33" s="1"/>
  <c r="B96" i="33"/>
  <c r="J30" i="33" s="1"/>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F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C24" i="20"/>
  <c r="B73" i="43" s="1"/>
  <c r="C21" i="20"/>
  <c r="C20" i="20"/>
  <c r="B77" i="43" s="1"/>
  <c r="C18" i="20"/>
  <c r="C17" i="20"/>
  <c r="B59" i="43" s="1"/>
  <c r="C16" i="20"/>
  <c r="C17" i="39" s="1"/>
  <c r="C15" i="20"/>
  <c r="C15" i="39"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F46" i="21" s="1"/>
  <c r="AA46" i="21" s="1"/>
  <c r="B128" i="21"/>
  <c r="J45" i="21" s="1"/>
  <c r="W45" i="21" s="1"/>
  <c r="B126" i="21"/>
  <c r="H44" i="21" s="1"/>
  <c r="U44" i="21" s="1"/>
  <c r="B98" i="21"/>
  <c r="B96" i="21"/>
  <c r="J30" i="21" s="1"/>
  <c r="B94" i="21"/>
  <c r="B92" i="21"/>
  <c r="J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H586" i="3"/>
  <c r="H587" i="3"/>
  <c r="G587" i="3" s="1"/>
  <c r="F5" i="3"/>
  <c r="F34" i="21"/>
  <c r="H34" i="21"/>
  <c r="AB34" i="21" s="1"/>
  <c r="F43" i="2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AB41" i="21"/>
  <c r="F29" i="36"/>
  <c r="F16" i="36"/>
  <c r="AA16" i="36" s="1"/>
  <c r="W31" i="36"/>
  <c r="H22" i="35"/>
  <c r="AB22" i="35" s="1"/>
  <c r="U31" i="35"/>
  <c r="F36" i="34"/>
  <c r="J35" i="34"/>
  <c r="H39" i="33"/>
  <c r="AB39" i="33" s="1"/>
  <c r="H39" i="37"/>
  <c r="S27" i="35"/>
  <c r="F42" i="39"/>
  <c r="AA42" i="39" s="1"/>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AB17" i="39" s="1"/>
  <c r="F17" i="39"/>
  <c r="AA17" i="39" s="1"/>
  <c r="H42" i="39"/>
  <c r="AB42" i="39" s="1"/>
  <c r="J34" i="39"/>
  <c r="AC34" i="39" s="1"/>
  <c r="J31" i="39"/>
  <c r="AC31" i="39" s="1"/>
  <c r="H27" i="39"/>
  <c r="U27" i="39" s="1"/>
  <c r="J19" i="39"/>
  <c r="AC19" i="39" s="1"/>
  <c r="J17" i="39"/>
  <c r="J27" i="39"/>
  <c r="F27" i="39"/>
  <c r="AA27" i="39" s="1"/>
  <c r="F11" i="21"/>
  <c r="S11" i="21" s="1"/>
  <c r="H11" i="39"/>
  <c r="U11" i="39" s="1"/>
  <c r="S40" i="39"/>
  <c r="H32" i="33"/>
  <c r="AB32" i="33" s="1"/>
  <c r="H11" i="21"/>
  <c r="U11" i="21" s="1"/>
  <c r="J11" i="21"/>
  <c r="W11" i="21" s="1"/>
  <c r="H37" i="40"/>
  <c r="U37" i="40" s="1"/>
  <c r="H36" i="40"/>
  <c r="AB36" i="40" s="1"/>
  <c r="F35" i="40"/>
  <c r="AA35" i="40" s="1"/>
  <c r="H17" i="40"/>
  <c r="U17" i="40" s="1"/>
  <c r="U30" i="36"/>
  <c r="J30" i="35"/>
  <c r="W30" i="35" s="1"/>
  <c r="H30" i="35"/>
  <c r="AB30" i="35"/>
  <c r="F22" i="35"/>
  <c r="AA22" i="35" s="1"/>
  <c r="H10" i="35"/>
  <c r="U10" i="35" s="1"/>
  <c r="W30" i="36"/>
  <c r="H16" i="36"/>
  <c r="AB16" i="36" s="1"/>
  <c r="J29" i="36"/>
  <c r="AC29" i="36" s="1"/>
  <c r="F14" i="35"/>
  <c r="AA14" i="35" s="1"/>
  <c r="J32" i="35"/>
  <c r="AC32" i="35" s="1"/>
  <c r="J16" i="35"/>
  <c r="AC16" i="35" s="1"/>
  <c r="H16" i="35"/>
  <c r="U16" i="35" s="1"/>
  <c r="F16" i="35"/>
  <c r="S16" i="35" s="1"/>
  <c r="H14" i="35"/>
  <c r="AB14" i="35" s="1"/>
  <c r="J29" i="35"/>
  <c r="H33" i="35"/>
  <c r="AB33" i="35" s="1"/>
  <c r="J20" i="35"/>
  <c r="W20" i="35" s="1"/>
  <c r="F35" i="37"/>
  <c r="S35" i="37" s="1"/>
  <c r="J34" i="37"/>
  <c r="AB34" i="37"/>
  <c r="J33" i="37"/>
  <c r="AC33" i="37" s="1"/>
  <c r="U42" i="34"/>
  <c r="H40" i="34"/>
  <c r="U40" i="34" s="1"/>
  <c r="H36" i="34"/>
  <c r="U36" i="34" s="1"/>
  <c r="F37" i="34"/>
  <c r="AA37" i="34" s="1"/>
  <c r="F25" i="34"/>
  <c r="S25" i="34" s="1"/>
  <c r="H23" i="34"/>
  <c r="U23" i="34" s="1"/>
  <c r="J23" i="34"/>
  <c r="AC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F32" i="33"/>
  <c r="AA32" i="33" s="1"/>
  <c r="J19" i="33"/>
  <c r="AC19" i="33" s="1"/>
  <c r="J15" i="33"/>
  <c r="W15" i="33" s="1"/>
  <c r="F11" i="33"/>
  <c r="AA11" i="33" s="1"/>
  <c r="U40" i="33"/>
  <c r="W40" i="33"/>
  <c r="F37" i="40"/>
  <c r="AA37" i="40" s="1"/>
  <c r="F36" i="40"/>
  <c r="AA36" i="40" s="1"/>
  <c r="H28" i="40"/>
  <c r="U28" i="40" s="1"/>
  <c r="F23" i="40"/>
  <c r="S23" i="40" s="1"/>
  <c r="F17" i="40"/>
  <c r="AA17" i="40" s="1"/>
  <c r="J17" i="40"/>
  <c r="W17" i="40" s="1"/>
  <c r="F15" i="40"/>
  <c r="S15" i="40" s="1"/>
  <c r="H15" i="40"/>
  <c r="AB15" i="40" s="1"/>
  <c r="AB30" i="36"/>
  <c r="U30" i="35"/>
  <c r="F29" i="35"/>
  <c r="S29" i="35"/>
  <c r="H29" i="35"/>
  <c r="AB29" i="35" s="1"/>
  <c r="H33" i="37"/>
  <c r="AB33" i="37" s="1"/>
  <c r="F33" i="37"/>
  <c r="AA33" i="37" s="1"/>
  <c r="U34" i="37"/>
  <c r="J43" i="34"/>
  <c r="AC43" i="34" s="1"/>
  <c r="AB42" i="34"/>
  <c r="J40" i="34"/>
  <c r="H38" i="34"/>
  <c r="U38" i="34" s="1"/>
  <c r="J36" i="34"/>
  <c r="H37" i="34"/>
  <c r="U37" i="34" s="1"/>
  <c r="H25" i="34"/>
  <c r="AB25" i="34" s="1"/>
  <c r="J25" i="34"/>
  <c r="AC25" i="34" s="1"/>
  <c r="F23" i="34"/>
  <c r="AA23" i="34" s="1"/>
  <c r="J19" i="34"/>
  <c r="AC19" i="34" s="1"/>
  <c r="F17" i="34"/>
  <c r="AA17" i="34" s="1"/>
  <c r="J17" i="34"/>
  <c r="W17" i="34" s="1"/>
  <c r="H37" i="33"/>
  <c r="AB37" i="33" s="1"/>
  <c r="H15" i="33"/>
  <c r="AB15" i="33" s="1"/>
  <c r="H11" i="33"/>
  <c r="U11" i="33" s="1"/>
  <c r="F28" i="40"/>
  <c r="AA28" i="40" s="1"/>
  <c r="AA29" i="35"/>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W28" i="21"/>
  <c r="H46" i="21"/>
  <c r="H28" i="33"/>
  <c r="U28" i="33" s="1"/>
  <c r="F33" i="35"/>
  <c r="S33" i="35"/>
  <c r="J33" i="35"/>
  <c r="AC33" i="35" s="1"/>
  <c r="F30" i="35"/>
  <c r="S30" i="35" s="1"/>
  <c r="H10" i="36"/>
  <c r="AB10" i="36" s="1"/>
  <c r="J14" i="36"/>
  <c r="H14" i="36"/>
  <c r="U14" i="36" s="1"/>
  <c r="F28" i="36"/>
  <c r="AA28" i="36" s="1"/>
  <c r="H27" i="21"/>
  <c r="AB27" i="21" s="1"/>
  <c r="F27" i="21"/>
  <c r="J13" i="33"/>
  <c r="AC13" i="33" s="1"/>
  <c r="H13" i="33"/>
  <c r="F13" i="33"/>
  <c r="H31" i="33"/>
  <c r="AB31" i="33" s="1"/>
  <c r="F31" i="33"/>
  <c r="H45" i="33"/>
  <c r="AB45" i="33" s="1"/>
  <c r="J45" i="33"/>
  <c r="F45" i="33"/>
  <c r="AA45" i="33" s="1"/>
  <c r="H46" i="34"/>
  <c r="AB46" i="34" s="1"/>
  <c r="F46" i="34"/>
  <c r="S46" i="34" s="1"/>
  <c r="J46" i="34"/>
  <c r="AC46" i="34" s="1"/>
  <c r="H11" i="35"/>
  <c r="AB11" i="35" s="1"/>
  <c r="J11" i="35"/>
  <c r="W11" i="35" s="1"/>
  <c r="F11" i="35"/>
  <c r="J26" i="36"/>
  <c r="W26" i="36" s="1"/>
  <c r="H28" i="36"/>
  <c r="AB28" i="36" s="1"/>
  <c r="U28" i="36"/>
  <c r="H32" i="36"/>
  <c r="AB32" i="36" s="1"/>
  <c r="J32" i="36"/>
  <c r="W32" i="36" s="1"/>
  <c r="J11" i="36"/>
  <c r="J29" i="37"/>
  <c r="W29" i="37" s="1"/>
  <c r="F29" i="37"/>
  <c r="S29" i="37" s="1"/>
  <c r="H36" i="37"/>
  <c r="AB36" i="37" s="1"/>
  <c r="J37" i="37"/>
  <c r="AC37" i="37" s="1"/>
  <c r="H37" i="37"/>
  <c r="U37" i="37" s="1"/>
  <c r="H40" i="37"/>
  <c r="U40" i="37" s="1"/>
  <c r="J40" i="37"/>
  <c r="F40" i="37"/>
  <c r="AA40" i="37" s="1"/>
  <c r="AC12" i="40"/>
  <c r="W12" i="40"/>
  <c r="H14" i="33"/>
  <c r="U14" i="33" s="1"/>
  <c r="F14" i="33"/>
  <c r="AA14" i="33" s="1"/>
  <c r="J14" i="33"/>
  <c r="AC14" i="33" s="1"/>
  <c r="F30" i="33"/>
  <c r="S30" i="33" s="1"/>
  <c r="J44" i="33"/>
  <c r="AC44" i="33" s="1"/>
  <c r="J46" i="33"/>
  <c r="AC46" i="33" s="1"/>
  <c r="H46" i="33"/>
  <c r="AB46" i="33" s="1"/>
  <c r="J31" i="34"/>
  <c r="AC31" i="34" s="1"/>
  <c r="J45" i="34"/>
  <c r="W45" i="34" s="1"/>
  <c r="H47" i="34"/>
  <c r="U47" i="34" s="1"/>
  <c r="J13" i="35"/>
  <c r="AC13" i="35" s="1"/>
  <c r="J25" i="35"/>
  <c r="W25" i="35" s="1"/>
  <c r="J25" i="36"/>
  <c r="W25" i="36" s="1"/>
  <c r="F25" i="36"/>
  <c r="S25" i="36" s="1"/>
  <c r="H25" i="36"/>
  <c r="U25" i="36" s="1"/>
  <c r="AB13" i="37"/>
  <c r="F13" i="37"/>
  <c r="S13" i="37" s="1"/>
  <c r="J13" i="37"/>
  <c r="F28" i="37"/>
  <c r="AA28" i="37" s="1"/>
  <c r="J28" i="37"/>
  <c r="AC28" i="37" s="1"/>
  <c r="H28" i="37"/>
  <c r="U28" i="37" s="1"/>
  <c r="H38" i="37"/>
  <c r="AB38" i="37" s="1"/>
  <c r="F12" i="40"/>
  <c r="H12" i="40"/>
  <c r="U12" i="40" s="1"/>
  <c r="H30" i="40"/>
  <c r="AB30" i="40" s="1"/>
  <c r="J35" i="40"/>
  <c r="AC35" i="40" s="1"/>
  <c r="J37" i="40"/>
  <c r="AC37" i="40" s="1"/>
  <c r="F14" i="37"/>
  <c r="S14" i="37" s="1"/>
  <c r="F27" i="37"/>
  <c r="F13" i="39"/>
  <c r="H13" i="39"/>
  <c r="AB13" i="39" s="1"/>
  <c r="J27" i="37"/>
  <c r="AC27" i="37"/>
  <c r="J36" i="37"/>
  <c r="J10" i="36"/>
  <c r="AC10" i="36" s="1"/>
  <c r="S11" i="36"/>
  <c r="AC28" i="21"/>
  <c r="F17" i="21"/>
  <c r="AA17" i="21" s="1"/>
  <c r="H17" i="21"/>
  <c r="AB17" i="21" s="1"/>
  <c r="F15" i="21"/>
  <c r="S15" i="21" s="1"/>
  <c r="J41" i="39"/>
  <c r="W41" i="39" s="1"/>
  <c r="G518" i="3"/>
  <c r="G510" i="3"/>
  <c r="G508" i="3"/>
  <c r="G500" i="3"/>
  <c r="G576" i="3"/>
  <c r="G550" i="3"/>
  <c r="G533" i="3"/>
  <c r="G529" i="3"/>
  <c r="BA567" i="3"/>
  <c r="G577" i="3"/>
  <c r="G569" i="3"/>
  <c r="G561" i="3"/>
  <c r="AC557" i="3"/>
  <c r="G557" i="3" s="1"/>
  <c r="BQ557" i="3"/>
  <c r="BQ583" i="3"/>
  <c r="BQ581" i="3"/>
  <c r="BQ579" i="3"/>
  <c r="BQ577" i="3"/>
  <c r="BQ575" i="3"/>
  <c r="BQ573" i="3"/>
  <c r="BQ571" i="3"/>
  <c r="BQ569" i="3"/>
  <c r="BQ567" i="3"/>
  <c r="BQ565" i="3"/>
  <c r="BQ563" i="3"/>
  <c r="BQ561" i="3"/>
  <c r="BQ559" i="3"/>
  <c r="G555" i="3"/>
  <c r="G553" i="3"/>
  <c r="G549" i="3"/>
  <c r="G547"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9" i="3"/>
  <c r="G515" i="3"/>
  <c r="G513" i="3"/>
  <c r="BQ519" i="3"/>
  <c r="BQ517" i="3"/>
  <c r="BQ515" i="3"/>
  <c r="BQ513" i="3"/>
  <c r="BQ511"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35" i="34"/>
  <c r="AB35" i="34" s="1"/>
  <c r="F41" i="34"/>
  <c r="S41" i="34" s="1"/>
  <c r="H41" i="34"/>
  <c r="U41" i="34" s="1"/>
  <c r="J41" i="34"/>
  <c r="AC41" i="34" s="1"/>
  <c r="F10" i="35"/>
  <c r="AA10" i="35" s="1"/>
  <c r="H23" i="37"/>
  <c r="AB23" i="37" s="1"/>
  <c r="J32" i="37"/>
  <c r="F36" i="37"/>
  <c r="AA36" i="37" s="1"/>
  <c r="F37" i="37"/>
  <c r="AA37" i="37" s="1"/>
  <c r="F31" i="40"/>
  <c r="AA31" i="40" s="1"/>
  <c r="F32" i="40"/>
  <c r="S32" i="40" s="1"/>
  <c r="H32" i="40"/>
  <c r="U32" i="40" s="1"/>
  <c r="J36" i="40"/>
  <c r="W36" i="40" s="1"/>
  <c r="AA41" i="34"/>
  <c r="H19" i="37"/>
  <c r="AB19" i="37" s="1"/>
  <c r="H42" i="33"/>
  <c r="AB42" i="33" s="1"/>
  <c r="J43" i="33"/>
  <c r="AC43" i="33"/>
  <c r="S28" i="31"/>
  <c r="S27" i="31"/>
  <c r="S26" i="31"/>
  <c r="AA12" i="35"/>
  <c r="AB28" i="37"/>
  <c r="AC8" i="37"/>
  <c r="W44" i="33"/>
  <c r="U19" i="21"/>
  <c r="U26" i="21"/>
  <c r="AB38" i="21"/>
  <c r="F43" i="33"/>
  <c r="AA43" i="33" s="1"/>
  <c r="W15" i="34"/>
  <c r="H37" i="21"/>
  <c r="U37" i="21"/>
  <c r="S42" i="21"/>
  <c r="H19" i="34"/>
  <c r="AB19" i="34" s="1"/>
  <c r="F36" i="35"/>
  <c r="S36" i="35" s="1"/>
  <c r="J9" i="37"/>
  <c r="W9" i="37" s="1"/>
  <c r="H9" i="37"/>
  <c r="AB9" i="37" s="1"/>
  <c r="F9" i="37"/>
  <c r="AA9" i="37" s="1"/>
  <c r="S9" i="37"/>
  <c r="E71" i="37"/>
  <c r="F15" i="37"/>
  <c r="AA15" i="37" s="1"/>
  <c r="E94" i="37"/>
  <c r="F94" i="37" s="1"/>
  <c r="G94" i="37" s="1"/>
  <c r="H94" i="37" s="1"/>
  <c r="I94" i="37" s="1"/>
  <c r="J94" i="37" s="1"/>
  <c r="K94" i="37" s="1"/>
  <c r="L94" i="37" s="1"/>
  <c r="M94" i="37" s="1"/>
  <c r="F31" i="37"/>
  <c r="S31" i="37" s="1"/>
  <c r="J42" i="39"/>
  <c r="AC42" i="39" s="1"/>
  <c r="H21" i="40"/>
  <c r="AB21" i="40" s="1"/>
  <c r="H31" i="37"/>
  <c r="AB31" i="37" s="1"/>
  <c r="F71" i="37"/>
  <c r="G71" i="37" s="1"/>
  <c r="J15" i="37"/>
  <c r="W15" i="37" s="1"/>
  <c r="AT6" i="3"/>
  <c r="U44" i="39"/>
  <c r="H37" i="39"/>
  <c r="AB37" i="39" s="1"/>
  <c r="H25" i="39"/>
  <c r="AB25" i="39" s="1"/>
  <c r="J25" i="39"/>
  <c r="W25" i="39" s="1"/>
  <c r="F25" i="39"/>
  <c r="AA25" i="39" s="1"/>
  <c r="F15" i="39"/>
  <c r="AA15" i="39" s="1"/>
  <c r="H15" i="39"/>
  <c r="U15" i="39" s="1"/>
  <c r="J15" i="39"/>
  <c r="W15" i="39" s="1"/>
  <c r="H41" i="39"/>
  <c r="AB41" i="39" s="1"/>
  <c r="AB34" i="39"/>
  <c r="S42" i="39"/>
  <c r="W9" i="39"/>
  <c r="W8" i="39"/>
  <c r="J50" i="40"/>
  <c r="H103" i="9"/>
  <c r="D8" i="53" s="1"/>
  <c r="B16" i="53"/>
  <c r="B33" i="72" s="1"/>
  <c r="A118" i="9"/>
  <c r="A4" i="52"/>
  <c r="B41" i="72" s="1"/>
  <c r="J11" i="39"/>
  <c r="F11" i="39"/>
  <c r="S11" i="39" s="1"/>
  <c r="A12" i="52"/>
  <c r="B56" i="72" s="1"/>
  <c r="G4" i="4"/>
  <c r="I4" i="4"/>
  <c r="A2" i="9"/>
  <c r="F59" i="43"/>
  <c r="H65" i="43" s="1"/>
  <c r="G524" i="3"/>
  <c r="G303" i="3"/>
  <c r="BL304" i="3"/>
  <c r="BL306" i="3"/>
  <c r="BA308" i="3"/>
  <c r="BA309" i="3"/>
  <c r="G310" i="3"/>
  <c r="BA311" i="3"/>
  <c r="AZ311" i="3" s="1"/>
  <c r="G319" i="3"/>
  <c r="BL320" i="3"/>
  <c r="G321" i="3"/>
  <c r="BL322" i="3"/>
  <c r="BA324" i="3"/>
  <c r="G326" i="3"/>
  <c r="G335" i="3"/>
  <c r="BL336" i="3"/>
  <c r="G337" i="3"/>
  <c r="BL338" i="3"/>
  <c r="BA340" i="3"/>
  <c r="BA341" i="3"/>
  <c r="BL341" i="3"/>
  <c r="BA343" i="3"/>
  <c r="BA345" i="3"/>
  <c r="BL355" i="3"/>
  <c r="G356" i="3"/>
  <c r="BA360" i="3"/>
  <c r="BL360" i="3"/>
  <c r="G361" i="3"/>
  <c r="BA362" i="3"/>
  <c r="G370" i="3"/>
  <c r="BL371" i="3"/>
  <c r="G372" i="3"/>
  <c r="BA375" i="3"/>
  <c r="G377" i="3"/>
  <c r="BL378" i="3"/>
  <c r="G379" i="3"/>
  <c r="BA380" i="3"/>
  <c r="G388" i="3"/>
  <c r="BL389" i="3"/>
  <c r="AZ389" i="3" s="1"/>
  <c r="G390" i="3"/>
  <c r="BL391" i="3"/>
  <c r="BA393" i="3"/>
  <c r="BA394" i="3"/>
  <c r="G113" i="3"/>
  <c r="BA115" i="3"/>
  <c r="BL116" i="3"/>
  <c r="G117" i="3"/>
  <c r="BA119" i="3"/>
  <c r="BL120" i="3"/>
  <c r="G121" i="3"/>
  <c r="BA123" i="3"/>
  <c r="G125" i="3"/>
  <c r="G129" i="3"/>
  <c r="BA131" i="3"/>
  <c r="BL132" i="3"/>
  <c r="G133" i="3"/>
  <c r="BA135" i="3"/>
  <c r="BL136" i="3"/>
  <c r="G137" i="3"/>
  <c r="BA139" i="3"/>
  <c r="G141" i="3"/>
  <c r="BL144" i="3"/>
  <c r="G145" i="3"/>
  <c r="BA147" i="3"/>
  <c r="BL148" i="3"/>
  <c r="G149" i="3"/>
  <c r="BA151" i="3"/>
  <c r="BL152" i="3"/>
  <c r="G153" i="3"/>
  <c r="BA155" i="3"/>
  <c r="BL156" i="3"/>
  <c r="G157" i="3"/>
  <c r="G161" i="3"/>
  <c r="BA163" i="3"/>
  <c r="BL164" i="3"/>
  <c r="G165" i="3"/>
  <c r="BA167" i="3"/>
  <c r="BL168" i="3"/>
  <c r="G169" i="3"/>
  <c r="BA171" i="3"/>
  <c r="G173" i="3"/>
  <c r="G177" i="3"/>
  <c r="BA179" i="3"/>
  <c r="BL180" i="3"/>
  <c r="G181" i="3"/>
  <c r="BA183" i="3"/>
  <c r="BL184" i="3"/>
  <c r="G185" i="3"/>
  <c r="BA187" i="3"/>
  <c r="G189" i="3"/>
  <c r="BL192" i="3"/>
  <c r="G193" i="3"/>
  <c r="BA195" i="3"/>
  <c r="BL196" i="3"/>
  <c r="G197" i="3"/>
  <c r="BA199" i="3"/>
  <c r="BL200" i="3"/>
  <c r="G201" i="3"/>
  <c r="BA203" i="3"/>
  <c r="BL204" i="3"/>
  <c r="G534" i="3"/>
  <c r="G516" i="3"/>
  <c r="G494" i="3"/>
  <c r="G16" i="3"/>
  <c r="G15" i="3"/>
  <c r="BA304" i="3"/>
  <c r="BA305" i="3"/>
  <c r="AZ305" i="3" s="1"/>
  <c r="BL305" i="3"/>
  <c r="G306" i="3"/>
  <c r="G309" i="3"/>
  <c r="BL310" i="3"/>
  <c r="BA313" i="3"/>
  <c r="AZ313" i="3" s="1"/>
  <c r="G314" i="3"/>
  <c r="BL318" i="3"/>
  <c r="BA320" i="3"/>
  <c r="BA321" i="3"/>
  <c r="BL321" i="3"/>
  <c r="G322" i="3"/>
  <c r="G325" i="3"/>
  <c r="BA329" i="3"/>
  <c r="BL329" i="3"/>
  <c r="G333" i="3"/>
  <c r="BL334" i="3"/>
  <c r="BA336" i="3"/>
  <c r="BA337" i="3"/>
  <c r="BL337" i="3"/>
  <c r="G338" i="3"/>
  <c r="G341" i="3"/>
  <c r="BL342" i="3"/>
  <c r="BA344" i="3"/>
  <c r="BL344" i="3"/>
  <c r="BA346" i="3"/>
  <c r="BL347" i="3"/>
  <c r="G350" i="3"/>
  <c r="BA351" i="3"/>
  <c r="BL351" i="3"/>
  <c r="G352" i="3"/>
  <c r="G354" i="3"/>
  <c r="BA355" i="3"/>
  <c r="BL356" i="3"/>
  <c r="G357" i="3"/>
  <c r="G360" i="3"/>
  <c r="BA363" i="3"/>
  <c r="BA364" i="3"/>
  <c r="BL364" i="3"/>
  <c r="G365" i="3"/>
  <c r="G368" i="3"/>
  <c r="BL369" i="3"/>
  <c r="BA371" i="3"/>
  <c r="BL372" i="3"/>
  <c r="G373" i="3"/>
  <c r="G376" i="3"/>
  <c r="BL377" i="3"/>
  <c r="BL379" i="3"/>
  <c r="BA381" i="3"/>
  <c r="BA382" i="3"/>
  <c r="BL382" i="3"/>
  <c r="G383" i="3"/>
  <c r="G386" i="3"/>
  <c r="BL387" i="3"/>
  <c r="BA390" i="3"/>
  <c r="BL390" i="3"/>
  <c r="G394" i="3"/>
  <c r="BA16" i="3"/>
  <c r="BL303" i="3"/>
  <c r="G304" i="3"/>
  <c r="BA306" i="3"/>
  <c r="BL307" i="3"/>
  <c r="G308" i="3"/>
  <c r="BA310" i="3"/>
  <c r="G312" i="3"/>
  <c r="G316" i="3"/>
  <c r="BA318" i="3"/>
  <c r="BL319" i="3"/>
  <c r="G320" i="3"/>
  <c r="BA322" i="3"/>
  <c r="BL323" i="3"/>
  <c r="G324" i="3"/>
  <c r="BA326" i="3"/>
  <c r="G328" i="3"/>
  <c r="BL331" i="3"/>
  <c r="G332" i="3"/>
  <c r="BA334" i="3"/>
  <c r="BL335" i="3"/>
  <c r="G336" i="3"/>
  <c r="BA338" i="3"/>
  <c r="BL339" i="3"/>
  <c r="G340" i="3"/>
  <c r="BL343" i="3"/>
  <c r="G344" i="3"/>
  <c r="G348" i="3"/>
  <c r="G346" i="3"/>
  <c r="BL349" i="3"/>
  <c r="BL352" i="3"/>
  <c r="G353" i="3"/>
  <c r="BA357" i="3"/>
  <c r="BL358" i="3"/>
  <c r="G359" i="3"/>
  <c r="BL362" i="3"/>
  <c r="G363" i="3"/>
  <c r="BL366" i="3"/>
  <c r="G367" i="3"/>
  <c r="BA369" i="3"/>
  <c r="BL370" i="3"/>
  <c r="G371" i="3"/>
  <c r="BA373" i="3"/>
  <c r="BL374" i="3"/>
  <c r="G375" i="3"/>
  <c r="BA377" i="3"/>
  <c r="BA379" i="3"/>
  <c r="BL380" i="3"/>
  <c r="G381" i="3"/>
  <c r="BL384" i="3"/>
  <c r="G385" i="3"/>
  <c r="BA387" i="3"/>
  <c r="BL388" i="3"/>
  <c r="G389" i="3"/>
  <c r="BA391" i="3"/>
  <c r="BL392" i="3"/>
  <c r="G393" i="3"/>
  <c r="G548" i="3"/>
  <c r="BA17" i="3"/>
  <c r="U36" i="40"/>
  <c r="F36" i="43"/>
  <c r="F81" i="43"/>
  <c r="H84" i="43" s="1"/>
  <c r="H113" i="43"/>
  <c r="F48" i="43"/>
  <c r="H53" i="43" s="1"/>
  <c r="F70" i="43"/>
  <c r="H71" i="43" s="1"/>
  <c r="M11" i="43"/>
  <c r="D17" i="43"/>
  <c r="F39" i="43"/>
  <c r="I17" i="43"/>
  <c r="F35" i="43"/>
  <c r="J17" i="43"/>
  <c r="F6" i="1"/>
  <c r="G6" i="1" s="1"/>
  <c r="U17" i="39"/>
  <c r="U43" i="21"/>
  <c r="U10" i="21"/>
  <c r="G8" i="1"/>
  <c r="G9" i="1"/>
  <c r="G10" i="1"/>
  <c r="W44" i="34"/>
  <c r="AC44" i="34"/>
  <c r="U13" i="37"/>
  <c r="J37" i="33"/>
  <c r="W37" i="33" s="1"/>
  <c r="J34" i="33"/>
  <c r="W34" i="33" s="1"/>
  <c r="F33" i="34"/>
  <c r="AA33" i="34" s="1"/>
  <c r="H20" i="36"/>
  <c r="U20" i="36" s="1"/>
  <c r="J20" i="36"/>
  <c r="J27" i="36"/>
  <c r="W27" i="36" s="1"/>
  <c r="H35" i="40"/>
  <c r="AB35" i="40" s="1"/>
  <c r="AC29" i="35"/>
  <c r="W29" i="35"/>
  <c r="H35" i="37"/>
  <c r="H20" i="35"/>
  <c r="U20" i="35" s="1"/>
  <c r="F20" i="35"/>
  <c r="AA20" i="35" s="1"/>
  <c r="AB29" i="36"/>
  <c r="U29" i="36"/>
  <c r="H32" i="37"/>
  <c r="F96" i="37"/>
  <c r="G96" i="37" s="1"/>
  <c r="H96" i="37" s="1"/>
  <c r="I96" i="37" s="1"/>
  <c r="J96" i="37" s="1"/>
  <c r="K96" i="37" s="1"/>
  <c r="L96" i="37" s="1"/>
  <c r="M96" i="37" s="1"/>
  <c r="H27" i="40"/>
  <c r="U27" i="40" s="1"/>
  <c r="J27" i="40"/>
  <c r="F27" i="40"/>
  <c r="AA27" i="40" s="1"/>
  <c r="J30" i="40"/>
  <c r="F30" i="40"/>
  <c r="AA30" i="40" s="1"/>
  <c r="E98" i="40"/>
  <c r="F98" i="40" s="1"/>
  <c r="G98" i="40" s="1"/>
  <c r="H98" i="40" s="1"/>
  <c r="I98" i="40" s="1"/>
  <c r="J98" i="40" s="1"/>
  <c r="K98" i="40" s="1"/>
  <c r="L98" i="40" s="1"/>
  <c r="M98" i="40" s="1"/>
  <c r="F10" i="33"/>
  <c r="S10" i="33" s="1"/>
  <c r="F34" i="33"/>
  <c r="AA34" i="33" s="1"/>
  <c r="H34" i="33"/>
  <c r="U34" i="33" s="1"/>
  <c r="F35" i="33"/>
  <c r="AA35" i="33" s="1"/>
  <c r="F39" i="34"/>
  <c r="S39" i="34" s="1"/>
  <c r="J39" i="34"/>
  <c r="W39" i="34" s="1"/>
  <c r="F40" i="34"/>
  <c r="S40" i="34"/>
  <c r="F43" i="34"/>
  <c r="S43" i="34" s="1"/>
  <c r="H44" i="34"/>
  <c r="F39" i="39"/>
  <c r="S39" i="39" s="1"/>
  <c r="J39" i="39"/>
  <c r="AC39" i="39" s="1"/>
  <c r="E96" i="39"/>
  <c r="F96" i="39" s="1"/>
  <c r="G96" i="39" s="1"/>
  <c r="C40" i="11"/>
  <c r="I20" i="43"/>
  <c r="F23" i="39"/>
  <c r="S23" i="39" s="1"/>
  <c r="H27" i="36"/>
  <c r="AB27" i="36" s="1"/>
  <c r="F27" i="36"/>
  <c r="AA27" i="36" s="1"/>
  <c r="H33" i="34"/>
  <c r="F32" i="37"/>
  <c r="AA32" i="37" s="1"/>
  <c r="F20" i="36"/>
  <c r="S20" i="36" s="1"/>
  <c r="J33" i="34"/>
  <c r="W33" i="34" s="1"/>
  <c r="H23" i="39"/>
  <c r="U23" i="39" s="1"/>
  <c r="H87" i="43"/>
  <c r="K9" i="1"/>
  <c r="M9" i="1" s="1"/>
  <c r="AE9" i="1"/>
  <c r="D93" i="9"/>
  <c r="AC12" i="39"/>
  <c r="W12" i="39"/>
  <c r="W12" i="33"/>
  <c r="AC12" i="33"/>
  <c r="BL14" i="3"/>
  <c r="S19" i="39"/>
  <c r="F12" i="33"/>
  <c r="S12" i="33" s="1"/>
  <c r="H12" i="39"/>
  <c r="F39" i="40"/>
  <c r="AA39" i="40" s="1"/>
  <c r="BA14" i="3"/>
  <c r="S12" i="1"/>
  <c r="AQ12" i="1" s="1"/>
  <c r="R12" i="1"/>
  <c r="B12" i="1"/>
  <c r="E12" i="1" s="1"/>
  <c r="S10" i="1"/>
  <c r="AQ10" i="1" s="1"/>
  <c r="R10" i="1"/>
  <c r="B10" i="1"/>
  <c r="E10" i="1" s="1"/>
  <c r="K12" i="1"/>
  <c r="M12" i="1" s="1"/>
  <c r="S13" i="1"/>
  <c r="AR13" i="1" s="1"/>
  <c r="R13" i="1"/>
  <c r="S11" i="1"/>
  <c r="AQ11" i="1" s="1"/>
  <c r="R11" i="1"/>
  <c r="S9" i="1"/>
  <c r="AR9" i="1" s="1"/>
  <c r="R9" i="1"/>
  <c r="J51" i="67"/>
  <c r="H100" i="43"/>
  <c r="AC34" i="33"/>
  <c r="B41" i="1"/>
  <c r="F53" i="9" s="1"/>
  <c r="J100" i="43"/>
  <c r="S28" i="40"/>
  <c r="U37" i="39"/>
  <c r="F32" i="39"/>
  <c r="AB27" i="39"/>
  <c r="J21" i="39"/>
  <c r="W21" i="39" s="1"/>
  <c r="F21" i="39"/>
  <c r="S21" i="39" s="1"/>
  <c r="H21" i="39"/>
  <c r="AB21" i="39" s="1"/>
  <c r="S17" i="39"/>
  <c r="S9" i="39"/>
  <c r="AA25" i="36"/>
  <c r="U16" i="36"/>
  <c r="U29" i="35"/>
  <c r="U28" i="35"/>
  <c r="AB27" i="35"/>
  <c r="U36" i="35"/>
  <c r="U32" i="35"/>
  <c r="AA33" i="35"/>
  <c r="S32" i="35"/>
  <c r="AB16" i="35"/>
  <c r="AC20" i="35"/>
  <c r="S22" i="35"/>
  <c r="U14" i="35"/>
  <c r="AC10" i="35"/>
  <c r="AC9" i="35"/>
  <c r="W9" i="35"/>
  <c r="AC12" i="35"/>
  <c r="W13" i="35"/>
  <c r="F9" i="35"/>
  <c r="AA9" i="35" s="1"/>
  <c r="H9" i="35"/>
  <c r="U9" i="35" s="1"/>
  <c r="W27" i="37"/>
  <c r="AC29" i="37"/>
  <c r="U29" i="37"/>
  <c r="W30" i="37"/>
  <c r="W39" i="37"/>
  <c r="S30" i="37"/>
  <c r="S37" i="37"/>
  <c r="J17" i="37"/>
  <c r="W17" i="37" s="1"/>
  <c r="F17" i="37"/>
  <c r="S17" i="37" s="1"/>
  <c r="F75" i="37"/>
  <c r="G75" i="37" s="1"/>
  <c r="F19" i="37"/>
  <c r="S19" i="37" s="1"/>
  <c r="F23" i="37"/>
  <c r="U23" i="37"/>
  <c r="U9" i="37"/>
  <c r="H10" i="37"/>
  <c r="AB10" i="37" s="1"/>
  <c r="F63" i="37"/>
  <c r="G63" i="37" s="1"/>
  <c r="H63" i="37" s="1"/>
  <c r="I63" i="37" s="1"/>
  <c r="J63" i="37" s="1"/>
  <c r="K63" i="37" s="1"/>
  <c r="L63" i="37" s="1"/>
  <c r="M63" i="37" s="1"/>
  <c r="F11" i="37"/>
  <c r="S11" i="37" s="1"/>
  <c r="AB8" i="34"/>
  <c r="U39" i="34"/>
  <c r="AA25" i="34"/>
  <c r="S23" i="34"/>
  <c r="U15" i="34"/>
  <c r="H67" i="34"/>
  <c r="I67" i="34" s="1"/>
  <c r="H10" i="34"/>
  <c r="AB10" i="34" s="1"/>
  <c r="F11" i="34"/>
  <c r="AA11" i="34" s="1"/>
  <c r="F70" i="34"/>
  <c r="G70" i="34" s="1"/>
  <c r="H70" i="34" s="1"/>
  <c r="I70" i="34" s="1"/>
  <c r="J70" i="34" s="1"/>
  <c r="K70" i="34" s="1"/>
  <c r="L70" i="34" s="1"/>
  <c r="M70" i="34" s="1"/>
  <c r="S32" i="33"/>
  <c r="W38" i="33"/>
  <c r="H41" i="33"/>
  <c r="AB41" i="33" s="1"/>
  <c r="F121" i="33"/>
  <c r="G121" i="33" s="1"/>
  <c r="H121" i="33" s="1"/>
  <c r="I121" i="33" s="1"/>
  <c r="J121" i="33" s="1"/>
  <c r="K121" i="33" s="1"/>
  <c r="L121" i="33" s="1"/>
  <c r="M121" i="33" s="1"/>
  <c r="S42" i="33"/>
  <c r="F36" i="33"/>
  <c r="S36" i="33" s="1"/>
  <c r="J35" i="33"/>
  <c r="AC35" i="33" s="1"/>
  <c r="J32" i="33"/>
  <c r="W32" i="33" s="1"/>
  <c r="W43" i="33"/>
  <c r="H25" i="33"/>
  <c r="AB25" i="33" s="1"/>
  <c r="F25" i="33"/>
  <c r="S25" i="33" s="1"/>
  <c r="J23" i="33"/>
  <c r="AC23" i="33" s="1"/>
  <c r="F85" i="33"/>
  <c r="G85" i="33" s="1"/>
  <c r="H23" i="33"/>
  <c r="AB23" i="33" s="1"/>
  <c r="F19" i="33"/>
  <c r="AA19" i="33" s="1"/>
  <c r="J17" i="33"/>
  <c r="W17" i="33" s="1"/>
  <c r="I66" i="33"/>
  <c r="J10" i="33"/>
  <c r="W10" i="33" s="1"/>
  <c r="H10" i="33"/>
  <c r="AA10" i="33"/>
  <c r="AB14" i="33"/>
  <c r="S39" i="21"/>
  <c r="AA38" i="21"/>
  <c r="AA36" i="21"/>
  <c r="AC40" i="21"/>
  <c r="J15" i="21"/>
  <c r="AC15" i="21" s="1"/>
  <c r="F23" i="21"/>
  <c r="AB8" i="21"/>
  <c r="S8" i="21"/>
  <c r="M3" i="43"/>
  <c r="M1" i="43"/>
  <c r="N8" i="43"/>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1" i="43"/>
  <c r="C17" i="43"/>
  <c r="F33" i="43"/>
  <c r="K17" i="43"/>
  <c r="F34" i="43"/>
  <c r="N6" i="43"/>
  <c r="N3" i="43"/>
  <c r="F38" i="43"/>
  <c r="F37" i="43"/>
  <c r="M9" i="43"/>
  <c r="N5" i="43"/>
  <c r="M12" i="43"/>
  <c r="B19" i="53"/>
  <c r="B37" i="72" s="1"/>
  <c r="C7" i="39"/>
  <c r="C67" i="39" s="1"/>
  <c r="C7" i="35"/>
  <c r="C48" i="35" s="1"/>
  <c r="D48" i="35" s="1"/>
  <c r="T35" i="4"/>
  <c r="A19" i="51" s="1"/>
  <c r="B14" i="72" s="1"/>
  <c r="A4" i="51"/>
  <c r="B6" i="72" s="1"/>
  <c r="C4" i="12"/>
  <c r="H56" i="43"/>
  <c r="L20" i="6"/>
  <c r="B6" i="1"/>
  <c r="E6" i="1" s="1"/>
  <c r="S8" i="1"/>
  <c r="T8" i="1" s="1"/>
  <c r="K11" i="1"/>
  <c r="M11" i="1" s="1"/>
  <c r="O11" i="1" s="1"/>
  <c r="P11" i="1" s="1"/>
  <c r="AP6" i="1"/>
  <c r="B9" i="1"/>
  <c r="E9" i="1" s="1"/>
  <c r="K7" i="1"/>
  <c r="G1" i="15"/>
  <c r="G1" i="69"/>
  <c r="G1" i="67"/>
  <c r="S37" i="40"/>
  <c r="S36" i="40"/>
  <c r="S31" i="40"/>
  <c r="U8" i="40"/>
  <c r="AC41" i="39"/>
  <c r="U42" i="39"/>
  <c r="AA13" i="39"/>
  <c r="S13" i="39"/>
  <c r="AB11" i="39"/>
  <c r="U38" i="39"/>
  <c r="S8" i="39"/>
  <c r="S28" i="36"/>
  <c r="U32" i="36"/>
  <c r="W22" i="36"/>
  <c r="AA30" i="35"/>
  <c r="W35" i="35"/>
  <c r="AA16" i="35"/>
  <c r="AA35" i="37"/>
  <c r="S28" i="37"/>
  <c r="AA31" i="37"/>
  <c r="AA8" i="37"/>
  <c r="U8" i="37"/>
  <c r="AA40" i="34"/>
  <c r="W19" i="34"/>
  <c r="AB36" i="34"/>
  <c r="W46" i="34"/>
  <c r="S32" i="34"/>
  <c r="AC40" i="34"/>
  <c r="W40" i="34"/>
  <c r="AA36" i="34"/>
  <c r="S36" i="34"/>
  <c r="AA8" i="34"/>
  <c r="S8" i="34"/>
  <c r="W23" i="34"/>
  <c r="AC35" i="34"/>
  <c r="W35" i="34"/>
  <c r="AC37" i="33"/>
  <c r="W46" i="33"/>
  <c r="U38" i="33"/>
  <c r="S33" i="33"/>
  <c r="AC30" i="33"/>
  <c r="W30" i="33"/>
  <c r="S31" i="33"/>
  <c r="AA31" i="33"/>
  <c r="U15" i="33"/>
  <c r="S11" i="33"/>
  <c r="U37" i="33"/>
  <c r="W8" i="33"/>
  <c r="AA11" i="21"/>
  <c r="F33" i="21"/>
  <c r="S33" i="21" s="1"/>
  <c r="J33" i="21"/>
  <c r="AC33" i="21" s="1"/>
  <c r="H33" i="21"/>
  <c r="AB33" i="21" s="1"/>
  <c r="F37" i="21"/>
  <c r="AB14" i="21"/>
  <c r="U40" i="21"/>
  <c r="U13" i="21"/>
  <c r="AB13" i="21"/>
  <c r="AB37" i="21"/>
  <c r="J37" i="21"/>
  <c r="W37" i="21" s="1"/>
  <c r="H15" i="21"/>
  <c r="U15" i="21" s="1"/>
  <c r="J17" i="21"/>
  <c r="W17" i="21" s="1"/>
  <c r="W39" i="21"/>
  <c r="AC14" i="21"/>
  <c r="S46" i="21"/>
  <c r="H45" i="21"/>
  <c r="U45" i="21" s="1"/>
  <c r="F13" i="21"/>
  <c r="S13" i="21" s="1"/>
  <c r="AC38" i="21"/>
  <c r="H32" i="21"/>
  <c r="AB32" i="21" s="1"/>
  <c r="H9" i="21"/>
  <c r="AB9" i="21" s="1"/>
  <c r="J9" i="21"/>
  <c r="AC9" i="21" s="1"/>
  <c r="J32" i="21"/>
  <c r="W32" i="21" s="1"/>
  <c r="F32" i="21"/>
  <c r="S32" i="21" s="1"/>
  <c r="U17" i="21"/>
  <c r="S19" i="21"/>
  <c r="S9" i="21"/>
  <c r="K141" i="21"/>
  <c r="K144" i="21"/>
  <c r="K143" i="21"/>
  <c r="AB44" i="21"/>
  <c r="F10" i="21"/>
  <c r="AA10" i="21" s="1"/>
  <c r="K145" i="21"/>
  <c r="W25" i="21"/>
  <c r="S17" i="21"/>
  <c r="AC27" i="21"/>
  <c r="W10" i="21"/>
  <c r="AB36" i="21"/>
  <c r="C23" i="40"/>
  <c r="C21" i="40"/>
  <c r="B54" i="43"/>
  <c r="B65" i="43"/>
  <c r="B49" i="43"/>
  <c r="B52" i="43"/>
  <c r="B56" i="43"/>
  <c r="B60" i="43"/>
  <c r="B63" i="43"/>
  <c r="B67" i="43"/>
  <c r="D23" i="15"/>
  <c r="D22" i="15"/>
  <c r="E4" i="4"/>
  <c r="B5" i="62" s="1"/>
  <c r="B73" i="72" s="1"/>
  <c r="C4" i="4"/>
  <c r="S7" i="1"/>
  <c r="AQ7" i="1" s="1"/>
  <c r="E7" i="70"/>
  <c r="S39" i="40"/>
  <c r="J32" i="39"/>
  <c r="H32" i="39"/>
  <c r="AB32" i="39" s="1"/>
  <c r="AA32" i="39"/>
  <c r="S32" i="39"/>
  <c r="J19" i="37"/>
  <c r="J23" i="37"/>
  <c r="W23" i="37" s="1"/>
  <c r="J10" i="37"/>
  <c r="W10" i="37" s="1"/>
  <c r="H11" i="37"/>
  <c r="AB11" i="37" s="1"/>
  <c r="H11" i="34"/>
  <c r="AB11" i="34" s="1"/>
  <c r="J10" i="34"/>
  <c r="W10" i="34" s="1"/>
  <c r="J36" i="33"/>
  <c r="W36" i="33" s="1"/>
  <c r="H36" i="33"/>
  <c r="U36" i="33" s="1"/>
  <c r="J27" i="33"/>
  <c r="AC27" i="33" s="1"/>
  <c r="AA25" i="33"/>
  <c r="J25" i="33"/>
  <c r="AC25" i="33" s="1"/>
  <c r="F23" i="33"/>
  <c r="AA23" i="33" s="1"/>
  <c r="H19" i="33"/>
  <c r="AB19" i="33" s="1"/>
  <c r="H17" i="33"/>
  <c r="U17" i="33" s="1"/>
  <c r="F17" i="33"/>
  <c r="AA17" i="33" s="1"/>
  <c r="U10" i="33"/>
  <c r="AB10" i="33"/>
  <c r="J23" i="21"/>
  <c r="W23" i="21" s="1"/>
  <c r="H23" i="21"/>
  <c r="AB23" i="21" s="1"/>
  <c r="AP7" i="1"/>
  <c r="W33" i="21"/>
  <c r="J11" i="37"/>
  <c r="W11" i="37" s="1"/>
  <c r="J11" i="34"/>
  <c r="AC23" i="21"/>
  <c r="R7" i="1"/>
  <c r="F34" i="11"/>
  <c r="F11" i="12"/>
  <c r="F34" i="68"/>
  <c r="R8" i="1"/>
  <c r="AE7" i="1"/>
  <c r="AE8" i="1"/>
  <c r="AG6" i="1"/>
  <c r="H109" i="9"/>
  <c r="D124" i="9" s="1"/>
  <c r="D125" i="9" s="1"/>
  <c r="D11" i="52" s="1"/>
  <c r="AD3" i="71"/>
  <c r="J1" i="73"/>
  <c r="H77" i="43"/>
  <c r="H59" i="43"/>
  <c r="M4" i="43"/>
  <c r="M5" i="43"/>
  <c r="N12" i="43"/>
  <c r="N11" i="43"/>
  <c r="M10" i="43"/>
  <c r="M2" i="43"/>
  <c r="M7"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s="1"/>
  <c r="E16" i="71" s="1"/>
  <c r="E15" i="71" s="1"/>
  <c r="E14" i="71" s="1"/>
  <c r="E13" i="71" s="1"/>
  <c r="G20" i="43"/>
  <c r="F8" i="67"/>
  <c r="E9" i="76"/>
  <c r="D2" i="35"/>
  <c r="AO7" i="1"/>
  <c r="F43" i="67"/>
  <c r="AO12" i="1"/>
  <c r="D2" i="37"/>
  <c r="E12" i="76"/>
  <c r="M27" i="67"/>
  <c r="B7" i="76"/>
  <c r="D2" i="21"/>
  <c r="F26" i="67"/>
  <c r="M29" i="67"/>
  <c r="L48" i="67"/>
  <c r="F7" i="73"/>
  <c r="B12" i="76"/>
  <c r="E10" i="76"/>
  <c r="AO8" i="1"/>
  <c r="B10" i="76"/>
  <c r="F13" i="67"/>
  <c r="M21" i="67"/>
  <c r="AO13" i="1"/>
  <c r="E7" i="76"/>
  <c r="F16" i="67"/>
  <c r="AO11" i="1"/>
  <c r="D2" i="34"/>
  <c r="L47" i="67"/>
  <c r="B11" i="76"/>
  <c r="M6" i="67"/>
  <c r="B13" i="76"/>
  <c r="D2" i="36"/>
  <c r="M23" i="67"/>
  <c r="F9" i="67"/>
  <c r="B9" i="76"/>
  <c r="M24" i="67"/>
  <c r="F4" i="73"/>
  <c r="AO10" i="1"/>
  <c r="E2" i="68"/>
  <c r="B8" i="76"/>
  <c r="AO9" i="1"/>
  <c r="F3" i="73"/>
  <c r="J15" i="67"/>
  <c r="E11" i="76"/>
  <c r="F41" i="67"/>
  <c r="D7" i="73"/>
  <c r="D2" i="33"/>
  <c r="E13" i="76"/>
  <c r="M8" i="67"/>
  <c r="E2" i="69"/>
  <c r="F7" i="67"/>
  <c r="M26" i="15"/>
  <c r="F6" i="73"/>
  <c r="F42" i="67"/>
  <c r="M9" i="67"/>
  <c r="F38" i="67"/>
  <c r="F5" i="73"/>
  <c r="F20" i="31"/>
  <c r="E8" i="76"/>
  <c r="M28" i="67"/>
  <c r="G17" i="3" l="1"/>
  <c r="AA24" i="36"/>
  <c r="S24" i="36"/>
  <c r="W31" i="39"/>
  <c r="S19" i="33"/>
  <c r="AA37" i="33"/>
  <c r="BL519" i="3"/>
  <c r="F47" i="34"/>
  <c r="F9" i="34"/>
  <c r="H9" i="34"/>
  <c r="AB9" i="34" s="1"/>
  <c r="F13" i="35"/>
  <c r="H13" i="35"/>
  <c r="AZ341" i="3"/>
  <c r="BL524" i="3"/>
  <c r="S17" i="33"/>
  <c r="J14" i="34"/>
  <c r="W14" i="34" s="1"/>
  <c r="H14" i="34"/>
  <c r="J24" i="35"/>
  <c r="F24" i="35"/>
  <c r="AA24" i="35" s="1"/>
  <c r="H85" i="43"/>
  <c r="AZ334" i="3"/>
  <c r="J31" i="21"/>
  <c r="W31" i="21" s="1"/>
  <c r="F31" i="21"/>
  <c r="S31" i="21" s="1"/>
  <c r="J29" i="34"/>
  <c r="W29" i="34" s="1"/>
  <c r="F29" i="34"/>
  <c r="H29" i="34"/>
  <c r="AB29" i="34" s="1"/>
  <c r="F25" i="35"/>
  <c r="S25" i="35" s="1"/>
  <c r="H25" i="35"/>
  <c r="AA8" i="36"/>
  <c r="S8" i="36"/>
  <c r="U25" i="34"/>
  <c r="W33" i="35"/>
  <c r="BL577" i="3"/>
  <c r="AZ577" i="3" s="1"/>
  <c r="AC40" i="37"/>
  <c r="W40" i="37"/>
  <c r="AC10" i="34"/>
  <c r="S9" i="36"/>
  <c r="U42" i="33"/>
  <c r="AZ310" i="3"/>
  <c r="U31" i="37"/>
  <c r="H30" i="34"/>
  <c r="F30" i="34"/>
  <c r="J30" i="34"/>
  <c r="AC30" i="34" s="1"/>
  <c r="H34" i="35"/>
  <c r="J34" i="35"/>
  <c r="W34" i="35" s="1"/>
  <c r="AC23" i="39"/>
  <c r="W23" i="39"/>
  <c r="J37" i="39"/>
  <c r="F37" i="39"/>
  <c r="AB40" i="40"/>
  <c r="U40" i="40"/>
  <c r="AC27" i="39"/>
  <c r="W27" i="39"/>
  <c r="F29" i="21"/>
  <c r="J29" i="21"/>
  <c r="S10" i="21"/>
  <c r="U23" i="33"/>
  <c r="H27" i="33"/>
  <c r="U27" i="33" s="1"/>
  <c r="U43" i="34"/>
  <c r="H27" i="34"/>
  <c r="AB27" i="34" s="1"/>
  <c r="BL495" i="3"/>
  <c r="G509" i="3"/>
  <c r="H44" i="33"/>
  <c r="U44" i="33" s="1"/>
  <c r="AB30" i="37"/>
  <c r="U30" i="37"/>
  <c r="J38" i="37"/>
  <c r="AC38" i="37" s="1"/>
  <c r="F38" i="37"/>
  <c r="H31" i="39"/>
  <c r="AB31" i="39" s="1"/>
  <c r="F31" i="39"/>
  <c r="AA31" i="39" s="1"/>
  <c r="H35" i="39"/>
  <c r="AB35" i="39" s="1"/>
  <c r="F35" i="39"/>
  <c r="BL574" i="3"/>
  <c r="BA572" i="3"/>
  <c r="G544" i="3"/>
  <c r="BL511" i="3"/>
  <c r="J13" i="21"/>
  <c r="BL526" i="3"/>
  <c r="S40" i="37"/>
  <c r="W28" i="40"/>
  <c r="F12" i="39"/>
  <c r="S12" i="39" s="1"/>
  <c r="F12" i="21"/>
  <c r="J12" i="21"/>
  <c r="H12" i="21"/>
  <c r="J40" i="40"/>
  <c r="AA15" i="21"/>
  <c r="AC27" i="34"/>
  <c r="F36" i="39"/>
  <c r="S36" i="39" s="1"/>
  <c r="J36" i="39"/>
  <c r="W36" i="39" s="1"/>
  <c r="S14" i="35"/>
  <c r="F27" i="34"/>
  <c r="AC35" i="37"/>
  <c r="S8" i="35"/>
  <c r="U25" i="39"/>
  <c r="AA23" i="39"/>
  <c r="BA543" i="3"/>
  <c r="BL542" i="3"/>
  <c r="BA493" i="3"/>
  <c r="G420" i="3"/>
  <c r="G468" i="3"/>
  <c r="G469" i="3"/>
  <c r="G329" i="3"/>
  <c r="G211" i="3"/>
  <c r="G247" i="3"/>
  <c r="G295" i="3"/>
  <c r="G108" i="3"/>
  <c r="G443" i="3"/>
  <c r="G234" i="3"/>
  <c r="G128" i="3"/>
  <c r="E100" i="43"/>
  <c r="AZ17" i="3"/>
  <c r="G526" i="3"/>
  <c r="G492" i="3"/>
  <c r="G115" i="3"/>
  <c r="G33" i="3"/>
  <c r="BL553" i="3"/>
  <c r="AB31" i="36"/>
  <c r="G403" i="3"/>
  <c r="G416" i="3"/>
  <c r="G397" i="3"/>
  <c r="B36" i="71"/>
  <c r="B37" i="71" s="1"/>
  <c r="S37" i="71" s="1"/>
  <c r="G439" i="3"/>
  <c r="G489" i="3"/>
  <c r="G230" i="3"/>
  <c r="G242" i="3"/>
  <c r="G266" i="3"/>
  <c r="G136" i="3"/>
  <c r="G160" i="3"/>
  <c r="AZ342" i="3"/>
  <c r="BL571" i="3"/>
  <c r="BA584" i="3"/>
  <c r="G580" i="3"/>
  <c r="BL578" i="3"/>
  <c r="BA576" i="3"/>
  <c r="G575" i="3"/>
  <c r="BA574" i="3"/>
  <c r="BL573" i="3"/>
  <c r="BA573" i="3"/>
  <c r="BL572" i="3"/>
  <c r="G572" i="3"/>
  <c r="BL570" i="3"/>
  <c r="AZ570" i="3" s="1"/>
  <c r="BL568" i="3"/>
  <c r="G567" i="3"/>
  <c r="G564" i="3"/>
  <c r="G559" i="3"/>
  <c r="BA554" i="3"/>
  <c r="BA548" i="3"/>
  <c r="BA547" i="3"/>
  <c r="BA546" i="3"/>
  <c r="BA545" i="3"/>
  <c r="G543" i="3"/>
  <c r="BA542" i="3"/>
  <c r="AZ542" i="3" s="1"/>
  <c r="BA536" i="3"/>
  <c r="AZ536" i="3" s="1"/>
  <c r="G535" i="3"/>
  <c r="BL530" i="3"/>
  <c r="BL527" i="3"/>
  <c r="G527" i="3"/>
  <c r="BA525" i="3"/>
  <c r="BA507" i="3"/>
  <c r="BL506" i="3"/>
  <c r="G506" i="3"/>
  <c r="BL498" i="3"/>
  <c r="G498" i="3"/>
  <c r="BA496" i="3"/>
  <c r="G412" i="3"/>
  <c r="G438" i="3"/>
  <c r="G449" i="3"/>
  <c r="G461" i="3"/>
  <c r="G462" i="3"/>
  <c r="BL385" i="3"/>
  <c r="G216" i="3"/>
  <c r="G276" i="3"/>
  <c r="G146" i="3"/>
  <c r="G158" i="3"/>
  <c r="G206" i="3"/>
  <c r="G77" i="3"/>
  <c r="AC15" i="33"/>
  <c r="G226" i="3"/>
  <c r="G298" i="3"/>
  <c r="G120" i="3"/>
  <c r="G144" i="3"/>
  <c r="G470" i="3"/>
  <c r="G98" i="3"/>
  <c r="C7" i="36"/>
  <c r="C46" i="36" s="1"/>
  <c r="D46" i="36" s="1"/>
  <c r="E46" i="36" s="1"/>
  <c r="F46" i="36" s="1"/>
  <c r="G46" i="36" s="1"/>
  <c r="H46" i="36" s="1"/>
  <c r="I46" i="36" s="1"/>
  <c r="G19" i="43"/>
  <c r="O19" i="43" s="1"/>
  <c r="C19" i="43" s="1"/>
  <c r="C42" i="1"/>
  <c r="C36" i="11" s="1"/>
  <c r="C7" i="34"/>
  <c r="C59" i="34" s="1"/>
  <c r="D59" i="34" s="1"/>
  <c r="E59" i="34" s="1"/>
  <c r="F59" i="34" s="1"/>
  <c r="G59" i="34" s="1"/>
  <c r="H59" i="34" s="1"/>
  <c r="I59" i="34" s="1"/>
  <c r="J59" i="34" s="1"/>
  <c r="M47" i="9"/>
  <c r="C7" i="37"/>
  <c r="C52" i="37" s="1"/>
  <c r="D52" i="37" s="1"/>
  <c r="C7" i="40"/>
  <c r="C63" i="40" s="1"/>
  <c r="C7" i="21"/>
  <c r="C58" i="21" s="1"/>
  <c r="B81" i="43"/>
  <c r="C15" i="40"/>
  <c r="AA38" i="33"/>
  <c r="S38" i="33"/>
  <c r="J43" i="39"/>
  <c r="F43" i="39"/>
  <c r="H43" i="39"/>
  <c r="AB43" i="39" s="1"/>
  <c r="BA568" i="3"/>
  <c r="W19" i="37"/>
  <c r="AC19" i="37"/>
  <c r="AA37" i="21"/>
  <c r="S37" i="21"/>
  <c r="W15" i="21"/>
  <c r="U33" i="34"/>
  <c r="AB33" i="34"/>
  <c r="BA579" i="3"/>
  <c r="BA577" i="3"/>
  <c r="AZ572" i="3"/>
  <c r="BA569" i="3"/>
  <c r="BA563" i="3"/>
  <c r="BA553" i="3"/>
  <c r="BL544" i="3"/>
  <c r="BA529" i="3"/>
  <c r="AA29" i="36"/>
  <c r="S29" i="36"/>
  <c r="AC26" i="37"/>
  <c r="W26" i="37"/>
  <c r="H14" i="39"/>
  <c r="J14" i="39"/>
  <c r="AC14" i="39" s="1"/>
  <c r="F14" i="39"/>
  <c r="W38" i="34"/>
  <c r="AC38" i="34"/>
  <c r="U33" i="21"/>
  <c r="AC29" i="33"/>
  <c r="W29" i="33"/>
  <c r="C79" i="35"/>
  <c r="F26" i="35" s="1"/>
  <c r="BL543" i="3"/>
  <c r="AB39" i="37"/>
  <c r="U39" i="37"/>
  <c r="AB26" i="36"/>
  <c r="U26" i="36"/>
  <c r="J26" i="35"/>
  <c r="W26" i="35" s="1"/>
  <c r="U46" i="21"/>
  <c r="AB46" i="21"/>
  <c r="U39" i="21"/>
  <c r="AB39" i="21"/>
  <c r="S43" i="21"/>
  <c r="AA43" i="21"/>
  <c r="AA27" i="37"/>
  <c r="S27" i="37"/>
  <c r="AA19" i="34"/>
  <c r="S19" i="34"/>
  <c r="W34" i="37"/>
  <c r="AC34" i="37"/>
  <c r="AA33" i="36"/>
  <c r="S33" i="36"/>
  <c r="H13" i="40"/>
  <c r="U13" i="40" s="1"/>
  <c r="J13" i="40"/>
  <c r="F13" i="40"/>
  <c r="G583" i="3"/>
  <c r="BL581" i="3"/>
  <c r="BA570" i="3"/>
  <c r="BA566" i="3"/>
  <c r="AZ566" i="3" s="1"/>
  <c r="BL562" i="3"/>
  <c r="BA557" i="3"/>
  <c r="BA555" i="3"/>
  <c r="BL554" i="3"/>
  <c r="AZ554" i="3" s="1"/>
  <c r="BL552" i="3"/>
  <c r="BA552" i="3"/>
  <c r="BL549" i="3"/>
  <c r="AZ549" i="3" s="1"/>
  <c r="BA549" i="3"/>
  <c r="BL546" i="3"/>
  <c r="AZ546" i="3" s="1"/>
  <c r="BA544" i="3"/>
  <c r="BL541" i="3"/>
  <c r="BL538" i="3"/>
  <c r="BA534" i="3"/>
  <c r="BA528" i="3"/>
  <c r="BL522" i="3"/>
  <c r="BA520" i="3"/>
  <c r="BA518" i="3"/>
  <c r="AZ518" i="3" s="1"/>
  <c r="BL514" i="3"/>
  <c r="G514" i="3"/>
  <c r="BA512" i="3"/>
  <c r="BA504" i="3"/>
  <c r="G501" i="3"/>
  <c r="BA499" i="3"/>
  <c r="G493" i="3"/>
  <c r="S26" i="21"/>
  <c r="AA26" i="21"/>
  <c r="AC14" i="36"/>
  <c r="W14" i="36"/>
  <c r="W17" i="39"/>
  <c r="AC17" i="39"/>
  <c r="S26" i="36"/>
  <c r="AA26" i="36"/>
  <c r="AC30" i="40"/>
  <c r="W30" i="40"/>
  <c r="AC32" i="37"/>
  <c r="W32" i="37"/>
  <c r="H13" i="34"/>
  <c r="U13" i="34" s="1"/>
  <c r="J13" i="34"/>
  <c r="W13" i="34" s="1"/>
  <c r="F13" i="34"/>
  <c r="G112" i="3"/>
  <c r="W37" i="34"/>
  <c r="BL501" i="3"/>
  <c r="BL545" i="3"/>
  <c r="F14" i="34"/>
  <c r="S14" i="34" s="1"/>
  <c r="AA34" i="37"/>
  <c r="H12" i="35"/>
  <c r="G414" i="3"/>
  <c r="G440" i="3"/>
  <c r="G351" i="3"/>
  <c r="G222" i="3"/>
  <c r="G270" i="3"/>
  <c r="BA145" i="3"/>
  <c r="G35" i="3"/>
  <c r="BL52" i="3"/>
  <c r="G60" i="3"/>
  <c r="G97" i="3"/>
  <c r="G110" i="3"/>
  <c r="C17" i="40"/>
  <c r="AB44" i="33"/>
  <c r="W34" i="39"/>
  <c r="U22" i="35"/>
  <c r="U10" i="36"/>
  <c r="H61" i="43"/>
  <c r="AA36" i="33"/>
  <c r="S9" i="35"/>
  <c r="AC45" i="21"/>
  <c r="AA29" i="37"/>
  <c r="AB39" i="39"/>
  <c r="S17" i="34"/>
  <c r="W28" i="37"/>
  <c r="AZ344" i="3"/>
  <c r="U26" i="37"/>
  <c r="H24" i="35"/>
  <c r="AB24" i="35" s="1"/>
  <c r="BL503" i="3"/>
  <c r="BL547" i="3"/>
  <c r="BL575" i="3"/>
  <c r="AA14" i="37"/>
  <c r="AB25" i="36"/>
  <c r="H30" i="33"/>
  <c r="F45" i="21"/>
  <c r="S42" i="34"/>
  <c r="U8" i="35"/>
  <c r="AC36" i="39"/>
  <c r="H33" i="36"/>
  <c r="G413" i="3"/>
  <c r="G374" i="3"/>
  <c r="BL214" i="3"/>
  <c r="G245" i="3"/>
  <c r="G257" i="3"/>
  <c r="G293" i="3"/>
  <c r="BA144" i="3"/>
  <c r="AZ144" i="3" s="1"/>
  <c r="G200" i="3"/>
  <c r="G84" i="3"/>
  <c r="BL517" i="3"/>
  <c r="E5" i="6"/>
  <c r="D9" i="68" s="1"/>
  <c r="C9" i="68" s="1"/>
  <c r="G450" i="3"/>
  <c r="G349" i="3"/>
  <c r="G208" i="3"/>
  <c r="G292" i="3"/>
  <c r="G46" i="3"/>
  <c r="G58" i="3"/>
  <c r="G83" i="3"/>
  <c r="L108" i="43"/>
  <c r="W32" i="35"/>
  <c r="BL551" i="3"/>
  <c r="AZ498" i="3"/>
  <c r="H29" i="21"/>
  <c r="U29" i="21" s="1"/>
  <c r="G552" i="3"/>
  <c r="W9" i="21"/>
  <c r="U39" i="33"/>
  <c r="BL559" i="3"/>
  <c r="U34" i="21"/>
  <c r="J21" i="40"/>
  <c r="W21" i="40" s="1"/>
  <c r="J33" i="36"/>
  <c r="J35" i="39"/>
  <c r="AC35" i="39" s="1"/>
  <c r="G585" i="3"/>
  <c r="G70" i="3"/>
  <c r="AZ326" i="3"/>
  <c r="H70" i="43"/>
  <c r="AB45" i="21"/>
  <c r="U36" i="37"/>
  <c r="W41" i="34"/>
  <c r="S32" i="36"/>
  <c r="S33" i="34"/>
  <c r="U35" i="21"/>
  <c r="AZ394" i="3"/>
  <c r="AZ376" i="3"/>
  <c r="AB32" i="40"/>
  <c r="BL533" i="3"/>
  <c r="BL555" i="3"/>
  <c r="H33" i="40"/>
  <c r="U33" i="40" s="1"/>
  <c r="H35" i="35"/>
  <c r="F45" i="34"/>
  <c r="AB11" i="33"/>
  <c r="S40" i="21"/>
  <c r="F21" i="40"/>
  <c r="AA21" i="40" s="1"/>
  <c r="H36" i="39"/>
  <c r="H9" i="36"/>
  <c r="G422" i="3"/>
  <c r="G447" i="3"/>
  <c r="G382" i="3"/>
  <c r="BL386" i="3"/>
  <c r="G395" i="3"/>
  <c r="G217" i="3"/>
  <c r="G135" i="3"/>
  <c r="G172" i="3"/>
  <c r="G30" i="3"/>
  <c r="G68" i="3"/>
  <c r="BL108" i="3"/>
  <c r="AA35" i="71"/>
  <c r="B40" i="71"/>
  <c r="B41" i="71" s="1"/>
  <c r="S41" i="71" s="1"/>
  <c r="E56" i="71"/>
  <c r="E57" i="71" s="1"/>
  <c r="U57" i="71" s="1"/>
  <c r="BL535" i="3"/>
  <c r="BL583" i="3"/>
  <c r="J14" i="40"/>
  <c r="W14" i="40" s="1"/>
  <c r="F33" i="40"/>
  <c r="F35" i="35"/>
  <c r="S8" i="33"/>
  <c r="AB8" i="39"/>
  <c r="BL461" i="3"/>
  <c r="BL348" i="3"/>
  <c r="AZ372" i="3"/>
  <c r="AC26" i="21"/>
  <c r="W36" i="21"/>
  <c r="AC39" i="34"/>
  <c r="AB28" i="40"/>
  <c r="AC11" i="21"/>
  <c r="AZ322" i="3"/>
  <c r="AZ337" i="3"/>
  <c r="AZ306" i="3"/>
  <c r="AA11" i="39"/>
  <c r="U35" i="34"/>
  <c r="BL565" i="3"/>
  <c r="J32" i="34"/>
  <c r="F29" i="33"/>
  <c r="S34" i="40"/>
  <c r="S30" i="36"/>
  <c r="J44" i="39"/>
  <c r="AC44" i="39" s="1"/>
  <c r="J39" i="40"/>
  <c r="BL398" i="3"/>
  <c r="G433" i="3"/>
  <c r="G66" i="3"/>
  <c r="J51" i="15"/>
  <c r="W18" i="36"/>
  <c r="E49" i="71"/>
  <c r="U49" i="71" s="1"/>
  <c r="AZ356" i="3"/>
  <c r="AC36" i="33"/>
  <c r="AA17" i="37"/>
  <c r="AC14" i="35"/>
  <c r="BL539" i="3"/>
  <c r="BL567" i="3"/>
  <c r="AZ567" i="3" s="1"/>
  <c r="F31" i="34"/>
  <c r="H32" i="34"/>
  <c r="H29" i="33"/>
  <c r="U29" i="33" s="1"/>
  <c r="AC16" i="36"/>
  <c r="W8" i="40"/>
  <c r="S41" i="21"/>
  <c r="F26" i="37"/>
  <c r="BL346" i="3"/>
  <c r="AZ346" i="3" s="1"/>
  <c r="W29" i="39"/>
  <c r="E32" i="71"/>
  <c r="E33" i="71" s="1"/>
  <c r="U33" i="71" s="1"/>
  <c r="H66" i="43"/>
  <c r="S10" i="34"/>
  <c r="W25" i="34"/>
  <c r="AC38" i="39"/>
  <c r="AZ336" i="3"/>
  <c r="AZ343" i="3"/>
  <c r="AZ304" i="3"/>
  <c r="U40" i="39"/>
  <c r="BL509" i="3"/>
  <c r="BL569" i="3"/>
  <c r="J46" i="21"/>
  <c r="W46" i="21" s="1"/>
  <c r="S41" i="33"/>
  <c r="BL460" i="3"/>
  <c r="G366" i="3"/>
  <c r="G237" i="3"/>
  <c r="G249" i="3"/>
  <c r="BL276" i="3"/>
  <c r="G297" i="3"/>
  <c r="G192" i="3"/>
  <c r="G38" i="3"/>
  <c r="G76" i="3"/>
  <c r="G88" i="3"/>
  <c r="G100" i="3"/>
  <c r="W21" i="21"/>
  <c r="F32" i="71"/>
  <c r="AC30" i="21"/>
  <c r="W30" i="21"/>
  <c r="W31" i="33"/>
  <c r="AC31" i="33"/>
  <c r="U31" i="39"/>
  <c r="AA27" i="33"/>
  <c r="S27" i="33"/>
  <c r="AA28" i="33"/>
  <c r="S28" i="33"/>
  <c r="AA13" i="35"/>
  <c r="S13" i="35"/>
  <c r="AA31" i="21"/>
  <c r="H78" i="43"/>
  <c r="AA14" i="21"/>
  <c r="S46" i="33"/>
  <c r="S16" i="36"/>
  <c r="W19" i="39"/>
  <c r="AA39" i="34"/>
  <c r="U27" i="36"/>
  <c r="AA43" i="34"/>
  <c r="AA36" i="39"/>
  <c r="U31" i="33"/>
  <c r="U46" i="34"/>
  <c r="U45" i="33"/>
  <c r="H28" i="21"/>
  <c r="S15" i="34"/>
  <c r="H31" i="21"/>
  <c r="W19" i="33"/>
  <c r="AC42" i="34"/>
  <c r="AA13" i="37"/>
  <c r="AB14" i="36"/>
  <c r="AZ380" i="3"/>
  <c r="AZ320" i="3"/>
  <c r="AC47" i="34"/>
  <c r="AB17" i="34"/>
  <c r="AB38" i="34"/>
  <c r="W41" i="21"/>
  <c r="F12" i="37"/>
  <c r="AZ501" i="3"/>
  <c r="W35" i="39"/>
  <c r="BA541" i="3"/>
  <c r="BL540" i="3"/>
  <c r="BA540" i="3"/>
  <c r="BA539" i="3"/>
  <c r="BA538" i="3"/>
  <c r="BA537" i="3"/>
  <c r="BL536" i="3"/>
  <c r="G536" i="3"/>
  <c r="BA535" i="3"/>
  <c r="AA19" i="37"/>
  <c r="AC19" i="21"/>
  <c r="W43" i="34"/>
  <c r="AA11" i="37"/>
  <c r="AC25" i="36"/>
  <c r="U43" i="39"/>
  <c r="S39" i="33"/>
  <c r="C25" i="39"/>
  <c r="U41" i="33"/>
  <c r="AB27" i="40"/>
  <c r="H76" i="43"/>
  <c r="U30" i="40"/>
  <c r="AC17" i="21"/>
  <c r="AB34" i="33"/>
  <c r="S36" i="37"/>
  <c r="AA32" i="40"/>
  <c r="AC33" i="34"/>
  <c r="AZ362" i="3"/>
  <c r="AZ379" i="3"/>
  <c r="AZ378" i="3"/>
  <c r="AZ360" i="3"/>
  <c r="H12" i="37"/>
  <c r="W30" i="34"/>
  <c r="S10" i="37"/>
  <c r="F39" i="37"/>
  <c r="BA587" i="3"/>
  <c r="U33" i="33"/>
  <c r="AB33" i="33"/>
  <c r="AC34" i="21"/>
  <c r="AB25" i="21"/>
  <c r="U11" i="37"/>
  <c r="AB45" i="34"/>
  <c r="U38" i="37"/>
  <c r="S24" i="35"/>
  <c r="AC11" i="33"/>
  <c r="S28" i="35"/>
  <c r="AA25" i="35"/>
  <c r="S27" i="36"/>
  <c r="S35" i="40"/>
  <c r="AZ361" i="3"/>
  <c r="AZ309" i="3"/>
  <c r="S14" i="33"/>
  <c r="U33" i="35"/>
  <c r="W8" i="34"/>
  <c r="S35" i="34"/>
  <c r="W22" i="35"/>
  <c r="U10" i="34"/>
  <c r="AC37" i="21"/>
  <c r="AA13" i="21"/>
  <c r="S37" i="34"/>
  <c r="AB20" i="35"/>
  <c r="S32" i="37"/>
  <c r="S14" i="36"/>
  <c r="S35" i="33"/>
  <c r="AZ391" i="3"/>
  <c r="AZ390" i="3"/>
  <c r="J19" i="40"/>
  <c r="S10" i="35"/>
  <c r="AZ553" i="3"/>
  <c r="AC11" i="35"/>
  <c r="AC27" i="35"/>
  <c r="U9" i="39"/>
  <c r="AZ371" i="3"/>
  <c r="F19" i="40"/>
  <c r="AA19" i="40" s="1"/>
  <c r="J28" i="33"/>
  <c r="F30" i="21"/>
  <c r="W31" i="35"/>
  <c r="AB11" i="21"/>
  <c r="U31" i="34"/>
  <c r="AC30" i="35"/>
  <c r="S21" i="40"/>
  <c r="AB17" i="33"/>
  <c r="U10" i="37"/>
  <c r="C19" i="39"/>
  <c r="W13" i="33"/>
  <c r="AB40" i="34"/>
  <c r="U13" i="39"/>
  <c r="H72" i="43"/>
  <c r="S11" i="34"/>
  <c r="AB41" i="34"/>
  <c r="AB20" i="36"/>
  <c r="AZ373" i="3"/>
  <c r="AZ325" i="3"/>
  <c r="H30" i="21"/>
  <c r="U30" i="21" s="1"/>
  <c r="W33" i="37"/>
  <c r="AC27" i="36"/>
  <c r="AC32" i="33"/>
  <c r="W8" i="21"/>
  <c r="AB28" i="33"/>
  <c r="AC25" i="39"/>
  <c r="AB10" i="35"/>
  <c r="S34" i="33"/>
  <c r="AZ338" i="3"/>
  <c r="AZ387" i="3"/>
  <c r="AZ329" i="3"/>
  <c r="AA41" i="39"/>
  <c r="H19" i="40"/>
  <c r="G407" i="3"/>
  <c r="BL410" i="3"/>
  <c r="G424" i="3"/>
  <c r="G467" i="3"/>
  <c r="BL473" i="3"/>
  <c r="G481" i="3"/>
  <c r="G318" i="3"/>
  <c r="G331" i="3"/>
  <c r="G343" i="3"/>
  <c r="G369" i="3"/>
  <c r="G232" i="3"/>
  <c r="G233" i="3"/>
  <c r="BL235" i="3"/>
  <c r="G246" i="3"/>
  <c r="G287" i="3"/>
  <c r="G288" i="3"/>
  <c r="BL114" i="3"/>
  <c r="G126" i="3"/>
  <c r="G138" i="3"/>
  <c r="G178" i="3"/>
  <c r="G191" i="3"/>
  <c r="G203" i="3"/>
  <c r="BA26" i="3"/>
  <c r="G39" i="3"/>
  <c r="G53" i="3"/>
  <c r="G92" i="3"/>
  <c r="BA96" i="3"/>
  <c r="G103" i="3"/>
  <c r="N65" i="71"/>
  <c r="BA585" i="3"/>
  <c r="J9" i="36"/>
  <c r="BA560" i="3"/>
  <c r="G542" i="3"/>
  <c r="G423" i="3"/>
  <c r="G451" i="3"/>
  <c r="BL454" i="3"/>
  <c r="BA456" i="3"/>
  <c r="G466" i="3"/>
  <c r="G218" i="3"/>
  <c r="G231" i="3"/>
  <c r="BL234" i="3"/>
  <c r="G244" i="3"/>
  <c r="G258" i="3"/>
  <c r="G271" i="3"/>
  <c r="BA279" i="3"/>
  <c r="BL280" i="3"/>
  <c r="G300" i="3"/>
  <c r="G151" i="3"/>
  <c r="G164" i="3"/>
  <c r="BA170" i="3"/>
  <c r="BA23" i="3"/>
  <c r="G37" i="3"/>
  <c r="G51" i="3"/>
  <c r="G65" i="3"/>
  <c r="G78" i="3"/>
  <c r="G90" i="3"/>
  <c r="G102" i="3"/>
  <c r="BL444" i="3"/>
  <c r="BA223" i="3"/>
  <c r="BL268" i="3"/>
  <c r="BL179" i="3"/>
  <c r="AZ179" i="3" s="1"/>
  <c r="BL181" i="3"/>
  <c r="BL54" i="3"/>
  <c r="BA85" i="3"/>
  <c r="AB33" i="71"/>
  <c r="G558" i="3"/>
  <c r="C18" i="9"/>
  <c r="D18" i="9" s="1"/>
  <c r="G404" i="3"/>
  <c r="BA427" i="3"/>
  <c r="BL438" i="3"/>
  <c r="BL439" i="3"/>
  <c r="AZ439" i="3" s="1"/>
  <c r="BL452" i="3"/>
  <c r="BL453" i="3"/>
  <c r="G465" i="3"/>
  <c r="BL486" i="3"/>
  <c r="BL225" i="3"/>
  <c r="BL267" i="3"/>
  <c r="G150" i="3"/>
  <c r="G163" i="3"/>
  <c r="G64" i="3"/>
  <c r="BL66" i="3"/>
  <c r="BL67" i="3"/>
  <c r="G101" i="3"/>
  <c r="B66" i="43"/>
  <c r="AC10" i="43"/>
  <c r="G402" i="3"/>
  <c r="BA414" i="3"/>
  <c r="BA416" i="3"/>
  <c r="G418" i="3"/>
  <c r="BL426" i="3"/>
  <c r="BL441" i="3"/>
  <c r="G448" i="3"/>
  <c r="G460" i="3"/>
  <c r="G464" i="3"/>
  <c r="G477" i="3"/>
  <c r="G491" i="3"/>
  <c r="G327" i="3"/>
  <c r="G339" i="3"/>
  <c r="G283" i="3"/>
  <c r="G296" i="3"/>
  <c r="G148" i="3"/>
  <c r="BA168" i="3"/>
  <c r="AZ168" i="3" s="1"/>
  <c r="G186" i="3"/>
  <c r="G187" i="3"/>
  <c r="BA18" i="3"/>
  <c r="G22" i="3"/>
  <c r="BA28" i="3"/>
  <c r="G34" i="3"/>
  <c r="BL41" i="3"/>
  <c r="G48" i="3"/>
  <c r="G62" i="3"/>
  <c r="G63" i="3"/>
  <c r="BL73" i="3"/>
  <c r="U18" i="35"/>
  <c r="B55" i="43"/>
  <c r="B45" i="71"/>
  <c r="S45" i="71" s="1"/>
  <c r="G401" i="3"/>
  <c r="BL411" i="3"/>
  <c r="BL420" i="3"/>
  <c r="BA438" i="3"/>
  <c r="BA439" i="3"/>
  <c r="G446" i="3"/>
  <c r="G459" i="3"/>
  <c r="G490" i="3"/>
  <c r="G313" i="3"/>
  <c r="G364" i="3"/>
  <c r="G227" i="3"/>
  <c r="BA232" i="3"/>
  <c r="G254" i="3"/>
  <c r="BA259" i="3"/>
  <c r="BA260" i="3"/>
  <c r="G282" i="3"/>
  <c r="G294" i="3"/>
  <c r="BL298" i="3"/>
  <c r="G132" i="3"/>
  <c r="BL135" i="3"/>
  <c r="AZ135" i="3" s="1"/>
  <c r="G198" i="3"/>
  <c r="BL24" i="3"/>
  <c r="G61" i="3"/>
  <c r="BA91" i="3"/>
  <c r="K100" i="43"/>
  <c r="S21" i="33"/>
  <c r="S18" i="35"/>
  <c r="B52" i="71"/>
  <c r="B53" i="71" s="1"/>
  <c r="S53" i="71" s="1"/>
  <c r="BL478" i="3"/>
  <c r="BL269" i="3"/>
  <c r="BA37" i="3"/>
  <c r="BL38" i="3"/>
  <c r="E60" i="71"/>
  <c r="E61" i="71" s="1"/>
  <c r="U61" i="71" s="1"/>
  <c r="BA550" i="3"/>
  <c r="BL419" i="3"/>
  <c r="G430" i="3"/>
  <c r="BL470" i="3"/>
  <c r="BL477" i="3"/>
  <c r="BL330" i="3"/>
  <c r="AZ330" i="3" s="1"/>
  <c r="BL396" i="3"/>
  <c r="BL215" i="3"/>
  <c r="BA217" i="3"/>
  <c r="G265" i="3"/>
  <c r="G281" i="3"/>
  <c r="G59" i="3"/>
  <c r="C64" i="71"/>
  <c r="C63" i="71" s="1"/>
  <c r="X32" i="71"/>
  <c r="F44" i="71"/>
  <c r="F45" i="71" s="1"/>
  <c r="V45" i="71" s="1"/>
  <c r="E52" i="71"/>
  <c r="E53" i="71" s="1"/>
  <c r="U53" i="71" s="1"/>
  <c r="G562" i="3"/>
  <c r="BA419" i="3"/>
  <c r="G428" i="3"/>
  <c r="BL433" i="3"/>
  <c r="BL434" i="3"/>
  <c r="BA435" i="3"/>
  <c r="G456" i="3"/>
  <c r="BL467" i="3"/>
  <c r="BL469" i="3"/>
  <c r="BA474" i="3"/>
  <c r="G485" i="3"/>
  <c r="BL491" i="3"/>
  <c r="BL317" i="3"/>
  <c r="BA384" i="3"/>
  <c r="AZ384" i="3" s="1"/>
  <c r="BA396" i="3"/>
  <c r="AZ396" i="3" s="1"/>
  <c r="G224" i="3"/>
  <c r="G170" i="3"/>
  <c r="BL61" i="3"/>
  <c r="BL74" i="3"/>
  <c r="BA79" i="3"/>
  <c r="BL576" i="3"/>
  <c r="AZ576" i="3" s="1"/>
  <c r="BA398" i="3"/>
  <c r="AZ398" i="3" s="1"/>
  <c r="BA403" i="3"/>
  <c r="BL404" i="3"/>
  <c r="G410" i="3"/>
  <c r="G455" i="3"/>
  <c r="G472" i="3"/>
  <c r="BL490" i="3"/>
  <c r="BA353" i="3"/>
  <c r="BA358" i="3"/>
  <c r="AZ358" i="3" s="1"/>
  <c r="BL363" i="3"/>
  <c r="AZ363" i="3" s="1"/>
  <c r="BL375" i="3"/>
  <c r="AZ375" i="3" s="1"/>
  <c r="G384" i="3"/>
  <c r="G209" i="3"/>
  <c r="G223" i="3"/>
  <c r="BL246" i="3"/>
  <c r="G250" i="3"/>
  <c r="BL131" i="3"/>
  <c r="AZ131" i="3" s="1"/>
  <c r="BL145" i="3"/>
  <c r="BA165" i="3"/>
  <c r="G194" i="3"/>
  <c r="G207" i="3"/>
  <c r="G18" i="3"/>
  <c r="BL20" i="3"/>
  <c r="G42" i="3"/>
  <c r="BL47" i="3"/>
  <c r="G56" i="3"/>
  <c r="BL59" i="3"/>
  <c r="G71" i="3"/>
  <c r="G94" i="3"/>
  <c r="G106" i="3"/>
  <c r="G107" i="3"/>
  <c r="K13" i="1"/>
  <c r="M13" i="1" s="1"/>
  <c r="O13" i="1" s="1"/>
  <c r="M108" i="43"/>
  <c r="BL534" i="3"/>
  <c r="AZ534" i="3" s="1"/>
  <c r="BA533" i="3"/>
  <c r="AZ533" i="3" s="1"/>
  <c r="BL532" i="3"/>
  <c r="BA532" i="3"/>
  <c r="AZ532" i="3" s="1"/>
  <c r="BL531" i="3"/>
  <c r="BA531" i="3"/>
  <c r="BA530" i="3"/>
  <c r="AZ530" i="3" s="1"/>
  <c r="BL529" i="3"/>
  <c r="BL528" i="3"/>
  <c r="AZ528" i="3" s="1"/>
  <c r="G528" i="3"/>
  <c r="BA527" i="3"/>
  <c r="AZ527" i="3" s="1"/>
  <c r="BA526" i="3"/>
  <c r="AZ526" i="3" s="1"/>
  <c r="BA524" i="3"/>
  <c r="AZ524" i="3" s="1"/>
  <c r="BA523" i="3"/>
  <c r="BA522" i="3"/>
  <c r="BA521" i="3"/>
  <c r="BL520" i="3"/>
  <c r="AZ520" i="3" s="1"/>
  <c r="G520" i="3"/>
  <c r="BA519" i="3"/>
  <c r="AZ519" i="3" s="1"/>
  <c r="BL518" i="3"/>
  <c r="BA517" i="3"/>
  <c r="BL516" i="3"/>
  <c r="BA516" i="3"/>
  <c r="AZ516" i="3" s="1"/>
  <c r="BA515" i="3"/>
  <c r="BA514" i="3"/>
  <c r="AZ514" i="3" s="1"/>
  <c r="BA513" i="3"/>
  <c r="BL512" i="3"/>
  <c r="AZ512" i="3" s="1"/>
  <c r="G512" i="3"/>
  <c r="BA511" i="3"/>
  <c r="AZ511" i="3" s="1"/>
  <c r="BL510" i="3"/>
  <c r="BA510" i="3"/>
  <c r="BK5" i="3"/>
  <c r="BL508" i="3"/>
  <c r="BA508" i="3"/>
  <c r="BL507" i="3"/>
  <c r="AZ507" i="3" s="1"/>
  <c r="G507" i="3"/>
  <c r="BA506" i="3"/>
  <c r="AZ506" i="3" s="1"/>
  <c r="BA505" i="3"/>
  <c r="BL504" i="3"/>
  <c r="AZ504" i="3" s="1"/>
  <c r="BA503" i="3"/>
  <c r="AZ503" i="3" s="1"/>
  <c r="BL502" i="3"/>
  <c r="BA502" i="3"/>
  <c r="BL500" i="3"/>
  <c r="BA500" i="3"/>
  <c r="G499" i="3"/>
  <c r="BR5" i="3"/>
  <c r="BD5" i="3"/>
  <c r="BL496" i="3"/>
  <c r="G496" i="3"/>
  <c r="BA495" i="3"/>
  <c r="BL494" i="3"/>
  <c r="BA494" i="3"/>
  <c r="AZ494" i="3" s="1"/>
  <c r="G409" i="3"/>
  <c r="BA423" i="3"/>
  <c r="G426" i="3"/>
  <c r="BA434" i="3"/>
  <c r="AZ434" i="3" s="1"/>
  <c r="G441" i="3"/>
  <c r="G471" i="3"/>
  <c r="BA352" i="3"/>
  <c r="AZ352" i="3" s="1"/>
  <c r="BL228" i="3"/>
  <c r="BL240" i="3"/>
  <c r="BL252" i="3"/>
  <c r="BA254" i="3"/>
  <c r="G261" i="3"/>
  <c r="G274" i="3"/>
  <c r="G277" i="3"/>
  <c r="BA285" i="3"/>
  <c r="BL293" i="3"/>
  <c r="BA294" i="3"/>
  <c r="G127" i="3"/>
  <c r="G140" i="3"/>
  <c r="BA172" i="3"/>
  <c r="AZ172" i="3" s="1"/>
  <c r="BL174" i="3"/>
  <c r="G180" i="3"/>
  <c r="BL183" i="3"/>
  <c r="AZ183" i="3" s="1"/>
  <c r="BA61" i="3"/>
  <c r="AZ61" i="3" s="1"/>
  <c r="G93" i="3"/>
  <c r="G105" i="3"/>
  <c r="C69" i="39"/>
  <c r="D67" i="39"/>
  <c r="D69" i="39" s="1"/>
  <c r="AA28" i="34"/>
  <c r="S28" i="34"/>
  <c r="BF5" i="3"/>
  <c r="H14" i="40"/>
  <c r="W23" i="33"/>
  <c r="U25" i="33"/>
  <c r="AC26" i="35"/>
  <c r="AA12" i="33"/>
  <c r="AB37" i="37"/>
  <c r="W37" i="40"/>
  <c r="BM5" i="3"/>
  <c r="F29" i="6" s="1"/>
  <c r="J24" i="36"/>
  <c r="H24" i="36"/>
  <c r="AC32" i="40"/>
  <c r="H23" i="35"/>
  <c r="J23" i="35"/>
  <c r="AZ541" i="3"/>
  <c r="AB34" i="40"/>
  <c r="U34" i="40"/>
  <c r="AC10" i="33"/>
  <c r="W35" i="33"/>
  <c r="AC29" i="34"/>
  <c r="S20" i="35"/>
  <c r="AC13" i="34"/>
  <c r="AZ347" i="3"/>
  <c r="U43" i="33"/>
  <c r="BL505" i="3"/>
  <c r="AZ574" i="3"/>
  <c r="U19" i="34"/>
  <c r="S27" i="39"/>
  <c r="W42" i="33"/>
  <c r="S30" i="40"/>
  <c r="AC46" i="21"/>
  <c r="H28" i="34"/>
  <c r="BA509" i="3"/>
  <c r="F44" i="21"/>
  <c r="U8" i="36"/>
  <c r="AB8" i="36"/>
  <c r="AC32" i="21"/>
  <c r="U24" i="35"/>
  <c r="U27" i="34"/>
  <c r="BS5" i="3"/>
  <c r="AB42" i="21"/>
  <c r="U41" i="39"/>
  <c r="AB9" i="35"/>
  <c r="S43" i="33"/>
  <c r="AC15" i="37"/>
  <c r="AB33" i="40"/>
  <c r="U33" i="37"/>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BL513" i="3"/>
  <c r="AZ543" i="3"/>
  <c r="B74" i="43"/>
  <c r="C27" i="39"/>
  <c r="H9" i="33"/>
  <c r="AC39" i="33"/>
  <c r="W39" i="33"/>
  <c r="U12" i="35"/>
  <c r="AB12" i="35"/>
  <c r="W25" i="33"/>
  <c r="S28" i="21"/>
  <c r="W42" i="21"/>
  <c r="W14" i="33"/>
  <c r="AA39" i="39"/>
  <c r="W34" i="34"/>
  <c r="AC13" i="39"/>
  <c r="AC36" i="40"/>
  <c r="AC17" i="34"/>
  <c r="AZ318" i="3"/>
  <c r="S19" i="40"/>
  <c r="BL515" i="3"/>
  <c r="AZ515" i="3" s="1"/>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AZ369" i="3"/>
  <c r="AZ357" i="3"/>
  <c r="W16" i="35"/>
  <c r="BL497" i="3"/>
  <c r="BL523" i="3"/>
  <c r="BA497" i="3"/>
  <c r="AA14" i="34"/>
  <c r="J28" i="34"/>
  <c r="S10" i="36"/>
  <c r="BO5" i="3"/>
  <c r="S33" i="37"/>
  <c r="AB36" i="33"/>
  <c r="U9" i="21"/>
  <c r="AA30" i="33"/>
  <c r="AB47" i="34"/>
  <c r="U19" i="37"/>
  <c r="AA45" i="39"/>
  <c r="AB13" i="40"/>
  <c r="C23" i="12"/>
  <c r="AB15" i="21"/>
  <c r="W38" i="37"/>
  <c r="AC26" i="36"/>
  <c r="S15" i="39"/>
  <c r="AZ382" i="3"/>
  <c r="AB37" i="34"/>
  <c r="AC32" i="36"/>
  <c r="U32" i="33"/>
  <c r="BL499" i="3"/>
  <c r="AZ499" i="3" s="1"/>
  <c r="BL525" i="3"/>
  <c r="AZ525" i="3" s="1"/>
  <c r="BL537" i="3"/>
  <c r="H11" i="36"/>
  <c r="U11" i="35"/>
  <c r="AC40" i="39"/>
  <c r="W40" i="39"/>
  <c r="U27" i="21"/>
  <c r="AC45" i="34"/>
  <c r="AB17" i="37"/>
  <c r="U19" i="39"/>
  <c r="W37" i="37"/>
  <c r="AZ364" i="3"/>
  <c r="AZ345" i="3"/>
  <c r="W31" i="34"/>
  <c r="B70" i="43"/>
  <c r="AC41" i="33"/>
  <c r="AB34" i="34"/>
  <c r="U34" i="34"/>
  <c r="AC28" i="35"/>
  <c r="W28" i="35"/>
  <c r="F34" i="35"/>
  <c r="W31" i="37"/>
  <c r="AC31" i="37"/>
  <c r="E84" i="40"/>
  <c r="F84" i="40" s="1"/>
  <c r="G84" i="40" s="1"/>
  <c r="J15" i="40"/>
  <c r="W15" i="40" s="1"/>
  <c r="BL550" i="3"/>
  <c r="AZ550" i="3" s="1"/>
  <c r="BL548" i="3"/>
  <c r="AB39" i="40"/>
  <c r="G582" i="3"/>
  <c r="G566" i="3"/>
  <c r="BL399" i="3"/>
  <c r="BA401" i="3"/>
  <c r="BA402" i="3"/>
  <c r="BA404" i="3"/>
  <c r="G417" i="3"/>
  <c r="G425" i="3"/>
  <c r="BA432" i="3"/>
  <c r="BA433" i="3"/>
  <c r="AZ433" i="3" s="1"/>
  <c r="BL436" i="3"/>
  <c r="BA441" i="3"/>
  <c r="BA447" i="3"/>
  <c r="BL462" i="3"/>
  <c r="G473" i="3"/>
  <c r="G474" i="3"/>
  <c r="BA489" i="3"/>
  <c r="BA339" i="3"/>
  <c r="AZ339" i="3" s="1"/>
  <c r="G210" i="3"/>
  <c r="BL213" i="3"/>
  <c r="BL216" i="3"/>
  <c r="BL229" i="3"/>
  <c r="BA231" i="3"/>
  <c r="BL142" i="3"/>
  <c r="BA24" i="3"/>
  <c r="AZ24" i="3" s="1"/>
  <c r="BA39" i="3"/>
  <c r="C56" i="71"/>
  <c r="D55" i="71"/>
  <c r="BA412" i="3"/>
  <c r="BA436" i="3"/>
  <c r="BL458" i="3"/>
  <c r="BA466" i="3"/>
  <c r="BL466" i="3"/>
  <c r="BA469" i="3"/>
  <c r="AZ469" i="3" s="1"/>
  <c r="BA482" i="3"/>
  <c r="BL354" i="3"/>
  <c r="BA210" i="3"/>
  <c r="BL292" i="3"/>
  <c r="BL400" i="3"/>
  <c r="G408" i="3"/>
  <c r="BA424" i="3"/>
  <c r="BL427" i="3"/>
  <c r="BL429" i="3"/>
  <c r="BL431" i="3"/>
  <c r="BL440" i="3"/>
  <c r="BA462" i="3"/>
  <c r="BA481" i="3"/>
  <c r="BA483" i="3"/>
  <c r="BA348" i="3"/>
  <c r="AZ348" i="3" s="1"/>
  <c r="G358" i="3"/>
  <c r="BA374" i="3"/>
  <c r="AZ374" i="3" s="1"/>
  <c r="BA213" i="3"/>
  <c r="BA258" i="3"/>
  <c r="BL113" i="3"/>
  <c r="BL127" i="3"/>
  <c r="AZ127" i="3" s="1"/>
  <c r="BA137" i="3"/>
  <c r="BA142" i="3"/>
  <c r="BA184" i="3"/>
  <c r="AZ184" i="3" s="1"/>
  <c r="BL195" i="3"/>
  <c r="AZ195" i="3" s="1"/>
  <c r="BA197" i="3"/>
  <c r="BL19" i="3"/>
  <c r="BL34" i="3"/>
  <c r="BA54" i="3"/>
  <c r="AZ54" i="3" s="1"/>
  <c r="BA70" i="3"/>
  <c r="BA95" i="3"/>
  <c r="F40" i="40"/>
  <c r="G556" i="3"/>
  <c r="BA400" i="3"/>
  <c r="BA415" i="3"/>
  <c r="BL425" i="3"/>
  <c r="BL428" i="3"/>
  <c r="BA429" i="3"/>
  <c r="BA431" i="3"/>
  <c r="BA440" i="3"/>
  <c r="BA452" i="3"/>
  <c r="AZ452" i="3" s="1"/>
  <c r="BA458" i="3"/>
  <c r="BA470" i="3"/>
  <c r="BL474" i="3"/>
  <c r="BA477" i="3"/>
  <c r="AZ477" i="3" s="1"/>
  <c r="BL359" i="3"/>
  <c r="AZ359" i="3" s="1"/>
  <c r="BL210" i="3"/>
  <c r="BA212" i="3"/>
  <c r="BL273" i="3"/>
  <c r="BA275" i="3"/>
  <c r="BA291" i="3"/>
  <c r="BA128" i="3"/>
  <c r="AZ128" i="3" s="1"/>
  <c r="BL139" i="3"/>
  <c r="AZ139" i="3" s="1"/>
  <c r="BL141" i="3"/>
  <c r="BA196" i="3"/>
  <c r="AZ196" i="3" s="1"/>
  <c r="BA64" i="3"/>
  <c r="BA66" i="3"/>
  <c r="BA68" i="3"/>
  <c r="BL91" i="3"/>
  <c r="BL93" i="3"/>
  <c r="BL102" i="3"/>
  <c r="BA104" i="3"/>
  <c r="G405" i="3"/>
  <c r="BL416" i="3"/>
  <c r="BA418" i="3"/>
  <c r="BL418" i="3"/>
  <c r="BL424" i="3"/>
  <c r="BA428" i="3"/>
  <c r="G437" i="3"/>
  <c r="BL448" i="3"/>
  <c r="BA451" i="3"/>
  <c r="G458" i="3"/>
  <c r="BA476" i="3"/>
  <c r="G484" i="3"/>
  <c r="BA323" i="3"/>
  <c r="AZ323" i="3" s="1"/>
  <c r="BA333" i="3"/>
  <c r="BA385" i="3"/>
  <c r="AZ385" i="3" s="1"/>
  <c r="BA386" i="3"/>
  <c r="AZ386" i="3" s="1"/>
  <c r="BL223" i="3"/>
  <c r="G251" i="3"/>
  <c r="BA261" i="3"/>
  <c r="BL154" i="3"/>
  <c r="BL205" i="3"/>
  <c r="G570" i="3"/>
  <c r="G551" i="3"/>
  <c r="A15" i="62"/>
  <c r="B61" i="72" s="1"/>
  <c r="BL413" i="3"/>
  <c r="BL414" i="3"/>
  <c r="AZ414" i="3" s="1"/>
  <c r="BL415" i="3"/>
  <c r="BL422" i="3"/>
  <c r="BL423" i="3"/>
  <c r="BA473" i="3"/>
  <c r="AZ473" i="3" s="1"/>
  <c r="BL489" i="3"/>
  <c r="BA239" i="3"/>
  <c r="BL165" i="3"/>
  <c r="AZ165" i="3" s="1"/>
  <c r="BA194" i="3"/>
  <c r="BA102" i="3"/>
  <c r="AZ102" i="3" s="1"/>
  <c r="BL405" i="3"/>
  <c r="BL407" i="3"/>
  <c r="BA409" i="3"/>
  <c r="BL409" i="3"/>
  <c r="BL412" i="3"/>
  <c r="BA426" i="3"/>
  <c r="AZ426" i="3" s="1"/>
  <c r="BA430" i="3"/>
  <c r="G436" i="3"/>
  <c r="BL445" i="3"/>
  <c r="BA448" i="3"/>
  <c r="BL449" i="3"/>
  <c r="BA457" i="3"/>
  <c r="BA490" i="3"/>
  <c r="AZ490" i="3" s="1"/>
  <c r="BA307" i="3"/>
  <c r="AZ307" i="3" s="1"/>
  <c r="BA317" i="3"/>
  <c r="BL265" i="3"/>
  <c r="S40" i="33"/>
  <c r="H12" i="33"/>
  <c r="F44" i="39"/>
  <c r="BA399" i="3"/>
  <c r="BL406" i="3"/>
  <c r="BA407" i="3"/>
  <c r="BA410" i="3"/>
  <c r="AZ410" i="3" s="1"/>
  <c r="BL417" i="3"/>
  <c r="BA420" i="3"/>
  <c r="G435" i="3"/>
  <c r="BL437" i="3"/>
  <c r="BA449" i="3"/>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AZ421" i="3" s="1"/>
  <c r="G431" i="3"/>
  <c r="G454" i="3"/>
  <c r="BL457" i="3"/>
  <c r="BL459" i="3"/>
  <c r="BA460" i="3"/>
  <c r="AZ460" i="3" s="1"/>
  <c r="BA461" i="3"/>
  <c r="BL218" i="3"/>
  <c r="BL233" i="3"/>
  <c r="BA253" i="3"/>
  <c r="BA299" i="3"/>
  <c r="BA136" i="3"/>
  <c r="AZ136" i="3" s="1"/>
  <c r="BL89" i="3"/>
  <c r="BL584" i="3"/>
  <c r="AZ584" i="3" s="1"/>
  <c r="BA583" i="3"/>
  <c r="AZ583" i="3" s="1"/>
  <c r="BA582" i="3"/>
  <c r="BA581" i="3"/>
  <c r="AZ581" i="3" s="1"/>
  <c r="BL580" i="3"/>
  <c r="BA580" i="3"/>
  <c r="BL579" i="3"/>
  <c r="G579" i="3"/>
  <c r="BA578" i="3"/>
  <c r="AZ578" i="3" s="1"/>
  <c r="BA565" i="3"/>
  <c r="BL564" i="3"/>
  <c r="BA564" i="3"/>
  <c r="BL563" i="3"/>
  <c r="AC5" i="3"/>
  <c r="BL560" i="3"/>
  <c r="G560" i="3"/>
  <c r="BL558" i="3"/>
  <c r="BA558" i="3"/>
  <c r="BL557" i="3"/>
  <c r="BL556" i="3"/>
  <c r="BA556" i="3"/>
  <c r="G399" i="3"/>
  <c r="BL403" i="3"/>
  <c r="BA406" i="3"/>
  <c r="BL408" i="3"/>
  <c r="BA413" i="3"/>
  <c r="BA422" i="3"/>
  <c r="BL435" i="3"/>
  <c r="AZ435" i="3" s="1"/>
  <c r="BA443" i="3"/>
  <c r="BA444" i="3"/>
  <c r="AZ444" i="3" s="1"/>
  <c r="BL456" i="3"/>
  <c r="AZ456" i="3" s="1"/>
  <c r="BA465" i="3"/>
  <c r="BL471" i="3"/>
  <c r="BL482" i="3"/>
  <c r="BA486" i="3"/>
  <c r="AZ486" i="3" s="1"/>
  <c r="G362" i="3"/>
  <c r="BL365" i="3"/>
  <c r="AZ365" i="3" s="1"/>
  <c r="G213" i="3"/>
  <c r="BA215" i="3"/>
  <c r="AZ215" i="3" s="1"/>
  <c r="BL217" i="3"/>
  <c r="AZ217" i="3" s="1"/>
  <c r="BA219" i="3"/>
  <c r="G228" i="3"/>
  <c r="G229" i="3"/>
  <c r="BA266" i="3"/>
  <c r="BA277" i="3"/>
  <c r="BL294" i="3"/>
  <c r="AZ294" i="3" s="1"/>
  <c r="BL296" i="3"/>
  <c r="BA116" i="3"/>
  <c r="AZ116" i="3" s="1"/>
  <c r="BA134" i="3"/>
  <c r="G184" i="3"/>
  <c r="G21" i="3"/>
  <c r="BA30" i="3"/>
  <c r="BA58" i="3"/>
  <c r="BL87" i="3"/>
  <c r="BL96" i="3"/>
  <c r="AZ96" i="3" s="1"/>
  <c r="BL110" i="3"/>
  <c r="F3" i="35"/>
  <c r="BA586" i="3"/>
  <c r="G398" i="3"/>
  <c r="BL401" i="3"/>
  <c r="BL402" i="3"/>
  <c r="BA408" i="3"/>
  <c r="BL421" i="3"/>
  <c r="BA425" i="3"/>
  <c r="G427" i="3"/>
  <c r="G429" i="3"/>
  <c r="BL432" i="3"/>
  <c r="BA437" i="3"/>
  <c r="G452" i="3"/>
  <c r="BA475" i="3"/>
  <c r="BL492" i="3"/>
  <c r="BL312" i="3"/>
  <c r="AZ312" i="3" s="1"/>
  <c r="G212" i="3"/>
  <c r="BA218" i="3"/>
  <c r="BA229" i="3"/>
  <c r="AZ229" i="3" s="1"/>
  <c r="BA233" i="3"/>
  <c r="BA241" i="3"/>
  <c r="BA250" i="3"/>
  <c r="BL260" i="3"/>
  <c r="AZ260" i="3" s="1"/>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N100" i="43"/>
  <c r="S21" i="21"/>
  <c r="E72" i="71"/>
  <c r="E71" i="71" s="1"/>
  <c r="U65" i="71"/>
  <c r="C32" i="71"/>
  <c r="F40" i="71"/>
  <c r="F41" i="71" s="1"/>
  <c r="V41" i="71" s="1"/>
  <c r="F60" i="71"/>
  <c r="F61" i="71" s="1"/>
  <c r="V61" i="71" s="1"/>
  <c r="S69" i="71"/>
  <c r="AB10" i="43"/>
  <c r="P74" i="67"/>
  <c r="BL314" i="3"/>
  <c r="AZ314" i="3" s="1"/>
  <c r="BL328" i="3"/>
  <c r="AZ328" i="3" s="1"/>
  <c r="BL367" i="3"/>
  <c r="BA228" i="3"/>
  <c r="AZ228" i="3" s="1"/>
  <c r="BL243" i="3"/>
  <c r="BA247" i="3"/>
  <c r="BA265" i="3"/>
  <c r="BL286" i="3"/>
  <c r="BA129" i="3"/>
  <c r="BL138" i="3"/>
  <c r="BA50" i="3"/>
  <c r="BL63" i="3"/>
  <c r="BA67" i="3"/>
  <c r="AZ67" i="3" s="1"/>
  <c r="BA69" i="3"/>
  <c r="BL86" i="3"/>
  <c r="BL88" i="3"/>
  <c r="BA89" i="3"/>
  <c r="BA107" i="3"/>
  <c r="BA108" i="3"/>
  <c r="AZ108" i="3" s="1"/>
  <c r="BL109" i="3"/>
  <c r="D64" i="71"/>
  <c r="AI10" i="43"/>
  <c r="G442" i="3"/>
  <c r="BA445" i="3"/>
  <c r="BA453" i="3"/>
  <c r="AZ453" i="3" s="1"/>
  <c r="G475" i="3"/>
  <c r="BL481" i="3"/>
  <c r="BA492" i="3"/>
  <c r="G307" i="3"/>
  <c r="BA316" i="3"/>
  <c r="G347" i="3"/>
  <c r="BL393" i="3"/>
  <c r="AZ393" i="3" s="1"/>
  <c r="BA208" i="3"/>
  <c r="G219" i="3"/>
  <c r="BL224" i="3"/>
  <c r="BA227" i="3"/>
  <c r="G238" i="3"/>
  <c r="BA245" i="3"/>
  <c r="G256" i="3"/>
  <c r="BL261" i="3"/>
  <c r="BA269" i="3"/>
  <c r="AZ269" i="3" s="1"/>
  <c r="BL271" i="3"/>
  <c r="G279" i="3"/>
  <c r="BL285" i="3"/>
  <c r="AZ285" i="3" s="1"/>
  <c r="G302" i="3"/>
  <c r="BA302" i="3"/>
  <c r="G154" i="3"/>
  <c r="BL162" i="3"/>
  <c r="G171" i="3"/>
  <c r="BA182" i="3"/>
  <c r="G196" i="3"/>
  <c r="G28" i="3"/>
  <c r="G29" i="3"/>
  <c r="BA40" i="3"/>
  <c r="BL64" i="3"/>
  <c r="G79" i="3"/>
  <c r="G80" i="3"/>
  <c r="BL85" i="3"/>
  <c r="AZ85" i="3" s="1"/>
  <c r="BA88" i="3"/>
  <c r="BA92" i="3"/>
  <c r="G99" i="3"/>
  <c r="BL103" i="3"/>
  <c r="BL104" i="3"/>
  <c r="BA109" i="3"/>
  <c r="O64" i="71"/>
  <c r="E68" i="71"/>
  <c r="E67" i="71" s="1"/>
  <c r="F48" i="71"/>
  <c r="F49" i="71" s="1"/>
  <c r="V49" i="71" s="1"/>
  <c r="S65" i="71"/>
  <c r="AE10" i="43"/>
  <c r="AA30" i="71"/>
  <c r="X33" i="71"/>
  <c r="BA224" i="3"/>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BA48" i="3"/>
  <c r="G54" i="3"/>
  <c r="G55" i="3"/>
  <c r="G73" i="3"/>
  <c r="G74" i="3"/>
  <c r="BA83" i="3"/>
  <c r="BA84" i="3"/>
  <c r="G95" i="3"/>
  <c r="G96" i="3"/>
  <c r="BL100" i="3"/>
  <c r="BL105" i="3"/>
  <c r="AB18" i="36"/>
  <c r="AB32" i="71"/>
  <c r="BA388" i="3"/>
  <c r="AZ388" i="3" s="1"/>
  <c r="BA392" i="3"/>
  <c r="AZ392" i="3" s="1"/>
  <c r="G214" i="3"/>
  <c r="G215" i="3"/>
  <c r="BL219" i="3"/>
  <c r="AZ219" i="3" s="1"/>
  <c r="BA240" i="3"/>
  <c r="AZ240" i="3" s="1"/>
  <c r="BA248" i="3"/>
  <c r="G252" i="3"/>
  <c r="G253" i="3"/>
  <c r="G273" i="3"/>
  <c r="BA282" i="3"/>
  <c r="BL115" i="3"/>
  <c r="AZ115" i="3" s="1"/>
  <c r="BL126" i="3"/>
  <c r="BL130" i="3"/>
  <c r="G142" i="3"/>
  <c r="G143" i="3"/>
  <c r="BL155" i="3"/>
  <c r="AZ155" i="3" s="1"/>
  <c r="BA156" i="3"/>
  <c r="AZ156" i="3" s="1"/>
  <c r="BL173" i="3"/>
  <c r="BA177" i="3"/>
  <c r="BL197" i="3"/>
  <c r="G20" i="3"/>
  <c r="G23" i="3"/>
  <c r="BL29" i="3"/>
  <c r="BA33" i="3"/>
  <c r="BA60" i="3"/>
  <c r="BL60" i="3"/>
  <c r="BL80" i="3"/>
  <c r="BL101" i="3"/>
  <c r="E59" i="43"/>
  <c r="B57" i="43" s="1"/>
  <c r="C84" i="71"/>
  <c r="D65" i="71"/>
  <c r="E44" i="71"/>
  <c r="E45" i="71" s="1"/>
  <c r="U45" i="71" s="1"/>
  <c r="F56" i="71"/>
  <c r="F57" i="71" s="1"/>
  <c r="V57" i="71" s="1"/>
  <c r="BA280" i="3"/>
  <c r="AZ280" i="3" s="1"/>
  <c r="BA289" i="3"/>
  <c r="BA114" i="3"/>
  <c r="AZ114" i="3" s="1"/>
  <c r="BL118" i="3"/>
  <c r="BL125" i="3"/>
  <c r="BL157" i="3"/>
  <c r="BL191" i="3"/>
  <c r="AZ191" i="3" s="1"/>
  <c r="BL198" i="3"/>
  <c r="G19" i="3"/>
  <c r="BL42" i="3"/>
  <c r="G47" i="3"/>
  <c r="G50" i="3"/>
  <c r="BL56" i="3"/>
  <c r="BA63" i="3"/>
  <c r="BA65" i="3"/>
  <c r="G72" i="3"/>
  <c r="BL76" i="3"/>
  <c r="BL78" i="3"/>
  <c r="BL79" i="3"/>
  <c r="AZ79" i="3" s="1"/>
  <c r="BL81" i="3"/>
  <c r="BL83" i="3"/>
  <c r="G91" i="3"/>
  <c r="G111" i="3"/>
  <c r="C80" i="71"/>
  <c r="D80" i="71" s="1"/>
  <c r="O65" i="71"/>
  <c r="U21" i="34"/>
  <c r="B60" i="71"/>
  <c r="B61" i="71" s="1"/>
  <c r="S61" i="71" s="1"/>
  <c r="F72" i="71"/>
  <c r="F71" i="71" s="1"/>
  <c r="B76" i="71"/>
  <c r="B75" i="71" s="1"/>
  <c r="BL253" i="3"/>
  <c r="BL254" i="3"/>
  <c r="AZ254" i="3" s="1"/>
  <c r="BA256" i="3"/>
  <c r="G264" i="3"/>
  <c r="G267" i="3"/>
  <c r="G268" i="3"/>
  <c r="G269" i="3"/>
  <c r="BL274" i="3"/>
  <c r="BA288" i="3"/>
  <c r="G289" i="3"/>
  <c r="BL295" i="3"/>
  <c r="BA296" i="3"/>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E76" i="71"/>
  <c r="E75" i="71" s="1"/>
  <c r="B28" i="71"/>
  <c r="B29" i="71" s="1"/>
  <c r="S29" i="71" s="1"/>
  <c r="F33" i="71"/>
  <c r="V33" i="71" s="1"/>
  <c r="AA32" i="71"/>
  <c r="F52" i="71"/>
  <c r="F53" i="71" s="1"/>
  <c r="V53" i="71" s="1"/>
  <c r="F76" i="71"/>
  <c r="F75" i="71" s="1"/>
  <c r="BA59" i="3"/>
  <c r="BA73" i="3"/>
  <c r="AZ73" i="3" s="1"/>
  <c r="BL75" i="3"/>
  <c r="BA82" i="3"/>
  <c r="BL98" i="3"/>
  <c r="G11" i="1"/>
  <c r="BL455" i="3"/>
  <c r="BA464" i="3"/>
  <c r="BL464" i="3"/>
  <c r="BA468" i="3"/>
  <c r="G482" i="3"/>
  <c r="G483" i="3"/>
  <c r="BL485" i="3"/>
  <c r="G311" i="3"/>
  <c r="BL333" i="3"/>
  <c r="BA368" i="3"/>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BA192" i="3"/>
  <c r="AZ192" i="3" s="1"/>
  <c r="G202" i="3"/>
  <c r="G36" i="3"/>
  <c r="BL68" i="3"/>
  <c r="BA72" i="3"/>
  <c r="BA75" i="3"/>
  <c r="G85" i="3"/>
  <c r="G86" i="3"/>
  <c r="BA98" i="3"/>
  <c r="G104" i="3"/>
  <c r="P27" i="6"/>
  <c r="B48" i="71"/>
  <c r="B49" i="71" s="1"/>
  <c r="S49" i="71" s="1"/>
  <c r="BA13" i="3"/>
  <c r="AZ13" i="3" s="1"/>
  <c r="G19" i="6"/>
  <c r="S8" i="40"/>
  <c r="AA25" i="40"/>
  <c r="U25" i="40"/>
  <c r="W25"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S22" i="31"/>
  <c r="R22" i="31" s="1"/>
  <c r="V17" i="71"/>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R7" i="1"/>
  <c r="S13" i="33"/>
  <c r="AA13" i="33"/>
  <c r="AA27" i="21"/>
  <c r="S27" i="21"/>
  <c r="U19" i="33"/>
  <c r="AC23" i="37"/>
  <c r="W11" i="39"/>
  <c r="AC11" i="39"/>
  <c r="J12" i="36"/>
  <c r="H12" i="36"/>
  <c r="F12" i="36"/>
  <c r="S31" i="36"/>
  <c r="AA31" i="36"/>
  <c r="AA21" i="39"/>
  <c r="O6" i="1"/>
  <c r="P6" i="1" s="1"/>
  <c r="S23" i="21"/>
  <c r="AA23" i="21"/>
  <c r="AA29" i="21"/>
  <c r="S29" i="21"/>
  <c r="BQ5" i="3"/>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13" i="3"/>
  <c r="AZ416" i="3"/>
  <c r="AZ438" i="3"/>
  <c r="BA459" i="3"/>
  <c r="BA472" i="3"/>
  <c r="BA350" i="3"/>
  <c r="BA370" i="3"/>
  <c r="AZ370" i="3" s="1"/>
  <c r="BA211" i="3"/>
  <c r="G220" i="3"/>
  <c r="BL244" i="3"/>
  <c r="BL245" i="3"/>
  <c r="BA249" i="3"/>
  <c r="BA255" i="3"/>
  <c r="AZ255" i="3" s="1"/>
  <c r="BA117" i="3"/>
  <c r="BA471" i="3"/>
  <c r="AZ471" i="3" s="1"/>
  <c r="BA484" i="3"/>
  <c r="AZ484" i="3" s="1"/>
  <c r="BA349" i="3"/>
  <c r="AZ349" i="3" s="1"/>
  <c r="BA354" i="3"/>
  <c r="AZ354" i="3" s="1"/>
  <c r="BA367" i="3"/>
  <c r="BA395" i="3"/>
  <c r="AZ395" i="3" s="1"/>
  <c r="BA397" i="3"/>
  <c r="AZ208" i="3"/>
  <c r="BA226" i="3"/>
  <c r="BA230" i="3"/>
  <c r="BL230" i="3"/>
  <c r="BL249" i="3"/>
  <c r="BA278" i="3"/>
  <c r="BL278" i="3"/>
  <c r="BL316" i="3"/>
  <c r="AZ316" i="3" s="1"/>
  <c r="BA366" i="3"/>
  <c r="AZ366" i="3" s="1"/>
  <c r="BL221" i="3"/>
  <c r="BL222" i="3"/>
  <c r="BA235" i="3"/>
  <c r="AZ235" i="3" s="1"/>
  <c r="BA244" i="3"/>
  <c r="AZ244" i="3" s="1"/>
  <c r="BL446" i="3"/>
  <c r="BA454" i="3"/>
  <c r="AZ454" i="3" s="1"/>
  <c r="BL468" i="3"/>
  <c r="BL475" i="3"/>
  <c r="AZ475" i="3" s="1"/>
  <c r="BL476" i="3"/>
  <c r="AZ476" i="3" s="1"/>
  <c r="BL487" i="3"/>
  <c r="BL488" i="3"/>
  <c r="BA319" i="3"/>
  <c r="AZ319" i="3" s="1"/>
  <c r="BA271" i="3"/>
  <c r="AZ271" i="3" s="1"/>
  <c r="G432" i="3"/>
  <c r="BA446" i="3"/>
  <c r="BL447" i="3"/>
  <c r="AZ447" i="3" s="1"/>
  <c r="BA455" i="3"/>
  <c r="BA315" i="3"/>
  <c r="AZ315" i="3" s="1"/>
  <c r="BL340" i="3"/>
  <c r="AZ340" i="3" s="1"/>
  <c r="G387" i="3"/>
  <c r="BA221" i="3"/>
  <c r="BA222" i="3"/>
  <c r="G235" i="3"/>
  <c r="BL239" i="3"/>
  <c r="BA243" i="3"/>
  <c r="AZ243" i="3" s="1"/>
  <c r="BA290" i="3"/>
  <c r="AZ290" i="3" s="1"/>
  <c r="BL430" i="3"/>
  <c r="AZ430" i="3" s="1"/>
  <c r="BA487" i="3"/>
  <c r="BL308" i="3"/>
  <c r="AZ308" i="3" s="1"/>
  <c r="BL238" i="3"/>
  <c r="BL263" i="3"/>
  <c r="G444" i="3"/>
  <c r="BA467" i="3"/>
  <c r="AZ467" i="3" s="1"/>
  <c r="BA225" i="3"/>
  <c r="AZ225" i="3" s="1"/>
  <c r="BL256" i="3"/>
  <c r="BL479" i="3"/>
  <c r="BL480" i="3"/>
  <c r="G396" i="3"/>
  <c r="BL237" i="3"/>
  <c r="BA238" i="3"/>
  <c r="BL242" i="3"/>
  <c r="BA270" i="3"/>
  <c r="AZ270" i="3" s="1"/>
  <c r="BA463" i="3"/>
  <c r="BL463" i="3"/>
  <c r="BA491" i="3"/>
  <c r="BL332" i="3"/>
  <c r="AZ332" i="3" s="1"/>
  <c r="BL212" i="3"/>
  <c r="AZ212" i="3" s="1"/>
  <c r="BL220" i="3"/>
  <c r="BA257" i="3"/>
  <c r="BL262" i="3"/>
  <c r="BL281" i="3"/>
  <c r="BL442" i="3"/>
  <c r="BL450" i="3"/>
  <c r="BL451" i="3"/>
  <c r="BA480" i="3"/>
  <c r="BA303" i="3"/>
  <c r="AZ303" i="3" s="1"/>
  <c r="BA335" i="3"/>
  <c r="AZ335" i="3" s="1"/>
  <c r="G345" i="3"/>
  <c r="BA220" i="3"/>
  <c r="G225" i="3"/>
  <c r="BL232" i="3"/>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BA297" i="3"/>
  <c r="AZ297" i="3" s="1"/>
  <c r="BL301" i="3"/>
  <c r="AZ301" i="3" s="1"/>
  <c r="BL302" i="3"/>
  <c r="AZ302" i="3" s="1"/>
  <c r="BL133" i="3"/>
  <c r="BL134" i="3"/>
  <c r="G147" i="3"/>
  <c r="BL153" i="3"/>
  <c r="G179" i="3"/>
  <c r="BA193" i="3"/>
  <c r="BL193" i="3"/>
  <c r="BA198" i="3"/>
  <c r="BL26" i="3"/>
  <c r="AZ26" i="3" s="1"/>
  <c r="BL28" i="3"/>
  <c r="AZ28" i="3" s="1"/>
  <c r="BL30" i="3"/>
  <c r="G52" i="3"/>
  <c r="BA62" i="3"/>
  <c r="G75" i="3"/>
  <c r="BL84" i="3"/>
  <c r="BA86" i="3"/>
  <c r="AZ86" i="3" s="1"/>
  <c r="BA105" i="3"/>
  <c r="AZ105" i="3" s="1"/>
  <c r="BA106" i="3"/>
  <c r="BA246" i="3"/>
  <c r="BL247" i="3"/>
  <c r="AZ247" i="3" s="1"/>
  <c r="BA268" i="3"/>
  <c r="AZ268" i="3" s="1"/>
  <c r="G272" i="3"/>
  <c r="BA276" i="3"/>
  <c r="AZ276" i="3" s="1"/>
  <c r="BL277" i="3"/>
  <c r="AZ277" i="3" s="1"/>
  <c r="BL288" i="3"/>
  <c r="BA298" i="3"/>
  <c r="AZ298" i="3" s="1"/>
  <c r="BL299" i="3"/>
  <c r="BL300" i="3"/>
  <c r="BA113" i="3"/>
  <c r="AZ113" i="3" s="1"/>
  <c r="BL117" i="3"/>
  <c r="BL121" i="3"/>
  <c r="BL150" i="3"/>
  <c r="BL151" i="3"/>
  <c r="AZ151" i="3" s="1"/>
  <c r="BA29" i="3"/>
  <c r="AZ29" i="3" s="1"/>
  <c r="BL289" i="3"/>
  <c r="AZ289" i="3" s="1"/>
  <c r="BA300" i="3"/>
  <c r="BL119" i="3"/>
  <c r="AZ119" i="3" s="1"/>
  <c r="BA152" i="3"/>
  <c r="AZ152" i="3" s="1"/>
  <c r="BA190" i="3"/>
  <c r="BL22" i="3"/>
  <c r="BL23" i="3"/>
  <c r="AZ23" i="3" s="1"/>
  <c r="BL25" i="3"/>
  <c r="BA27" i="3"/>
  <c r="BL27" i="3"/>
  <c r="BA32" i="3"/>
  <c r="AZ32" i="3" s="1"/>
  <c r="BL55" i="3"/>
  <c r="AZ55" i="3" s="1"/>
  <c r="BL58" i="3"/>
  <c r="AZ58" i="3" s="1"/>
  <c r="AZ65" i="3"/>
  <c r="BA125" i="3"/>
  <c r="BA141" i="3"/>
  <c r="BA25" i="3"/>
  <c r="U21" i="21"/>
  <c r="AB21" i="21"/>
  <c r="BL279" i="3"/>
  <c r="BL291" i="3"/>
  <c r="AZ291" i="3" s="1"/>
  <c r="BA118" i="3"/>
  <c r="BA120" i="3"/>
  <c r="AZ120" i="3" s="1"/>
  <c r="BA122" i="3"/>
  <c r="BA130" i="3"/>
  <c r="BA133" i="3"/>
  <c r="BL178" i="3"/>
  <c r="BA181" i="3"/>
  <c r="AZ181" i="3" s="1"/>
  <c r="BA188" i="3"/>
  <c r="AZ188" i="3" s="1"/>
  <c r="BL207" i="3"/>
  <c r="BL18" i="3"/>
  <c r="BL21" i="3"/>
  <c r="BA56" i="3"/>
  <c r="BA80" i="3"/>
  <c r="BA81" i="3"/>
  <c r="BL99" i="3"/>
  <c r="Y33" i="71"/>
  <c r="Z33" i="71" s="1"/>
  <c r="Y28" i="71"/>
  <c r="Z28" i="71" s="1"/>
  <c r="Y34" i="71"/>
  <c r="Z34" i="71" s="1"/>
  <c r="Y35" i="71"/>
  <c r="Z35" i="71" s="1"/>
  <c r="Y32" i="71"/>
  <c r="Z32" i="71" s="1"/>
  <c r="Y24" i="71"/>
  <c r="Z24" i="71" s="1"/>
  <c r="BA242" i="3"/>
  <c r="BA262" i="3"/>
  <c r="AZ262" i="3" s="1"/>
  <c r="G285" i="3"/>
  <c r="BA132" i="3"/>
  <c r="AZ132" i="3" s="1"/>
  <c r="BA138" i="3"/>
  <c r="BL146" i="3"/>
  <c r="BL177" i="3"/>
  <c r="AZ177" i="3" s="1"/>
  <c r="BA180" i="3"/>
  <c r="AZ180" i="3" s="1"/>
  <c r="BL202" i="3"/>
  <c r="BA19" i="3"/>
  <c r="AZ19" i="3" s="1"/>
  <c r="BA21" i="3"/>
  <c r="BL45" i="3"/>
  <c r="BL46" i="3"/>
  <c r="BL48" i="3"/>
  <c r="BL50" i="3"/>
  <c r="BL53" i="3"/>
  <c r="BA57" i="3"/>
  <c r="BL70" i="3"/>
  <c r="BL71" i="3"/>
  <c r="BL95" i="3"/>
  <c r="BA99" i="3"/>
  <c r="BA103" i="3"/>
  <c r="AZ103" i="3" s="1"/>
  <c r="G109" i="3"/>
  <c r="BA236" i="3"/>
  <c r="BA263" i="3"/>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BL282" i="3"/>
  <c r="G286" i="3"/>
  <c r="BA292" i="3"/>
  <c r="G114" i="3"/>
  <c r="BA148" i="3"/>
  <c r="AZ148" i="3" s="1"/>
  <c r="G155" i="3"/>
  <c r="BL166" i="3"/>
  <c r="BL167" i="3"/>
  <c r="AZ167" i="3" s="1"/>
  <c r="BL170" i="3"/>
  <c r="AZ170" i="3" s="1"/>
  <c r="BA174" i="3"/>
  <c r="AZ174" i="3" s="1"/>
  <c r="BA176" i="3"/>
  <c r="AZ176" i="3" s="1"/>
  <c r="BA202" i="3"/>
  <c r="BA206" i="3"/>
  <c r="BA45" i="3"/>
  <c r="BA49" i="3"/>
  <c r="BL49" i="3"/>
  <c r="BL94" i="3"/>
  <c r="AB27" i="71"/>
  <c r="AB26" i="71"/>
  <c r="BA273" i="3"/>
  <c r="AZ273" i="3" s="1"/>
  <c r="BL283" i="3"/>
  <c r="BA293" i="3"/>
  <c r="AZ293" i="3" s="1"/>
  <c r="G301" i="3"/>
  <c r="BL159" i="3"/>
  <c r="AZ159" i="3" s="1"/>
  <c r="BA169" i="3"/>
  <c r="AZ169" i="3" s="1"/>
  <c r="BA173" i="3"/>
  <c r="AZ173" i="3" s="1"/>
  <c r="BA205" i="3"/>
  <c r="BA207" i="3"/>
  <c r="G26" i="3"/>
  <c r="BL37" i="3"/>
  <c r="AZ37" i="3" s="1"/>
  <c r="BL39" i="3"/>
  <c r="BA43" i="3"/>
  <c r="BA44" i="3"/>
  <c r="BL44" i="3"/>
  <c r="BA47" i="3"/>
  <c r="BA71" i="3"/>
  <c r="BL90" i="3"/>
  <c r="BA94" i="3"/>
  <c r="BL111" i="3"/>
  <c r="BL112" i="3"/>
  <c r="BA274" i="3"/>
  <c r="BL284" i="3"/>
  <c r="AZ284" i="3" s="1"/>
  <c r="G116" i="3"/>
  <c r="G122" i="3"/>
  <c r="G124" i="3"/>
  <c r="BA161" i="3"/>
  <c r="BL163" i="3"/>
  <c r="AZ163" i="3" s="1"/>
  <c r="G182" i="3"/>
  <c r="G188" i="3"/>
  <c r="BA200" i="3"/>
  <c r="AZ200" i="3" s="1"/>
  <c r="G25" i="3"/>
  <c r="BL35" i="3"/>
  <c r="AZ35" i="3" s="1"/>
  <c r="BA90" i="3"/>
  <c r="BL107" i="3"/>
  <c r="AZ107" i="3" s="1"/>
  <c r="BA112" i="3"/>
  <c r="AB23" i="71"/>
  <c r="G255" i="3"/>
  <c r="G290" i="3"/>
  <c r="G123" i="3"/>
  <c r="G131" i="3"/>
  <c r="BL158" i="3"/>
  <c r="BA160" i="3"/>
  <c r="AZ160" i="3" s="1"/>
  <c r="BA162" i="3"/>
  <c r="BA166" i="3"/>
  <c r="BL194" i="3"/>
  <c r="AZ194" i="3" s="1"/>
  <c r="BA201" i="3"/>
  <c r="BL31" i="3"/>
  <c r="BL36" i="3"/>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J20" i="67"/>
  <c r="B12" i="70"/>
  <c r="J53" i="67"/>
  <c r="J57" i="67"/>
  <c r="J55" i="67" s="1"/>
  <c r="J58" i="67" s="1"/>
  <c r="Q50" i="67" s="1"/>
  <c r="L56" i="67"/>
  <c r="I54" i="67"/>
  <c r="B7" i="70"/>
  <c r="F69" i="67"/>
  <c r="F66" i="67"/>
  <c r="B11" i="70"/>
  <c r="B8" i="70"/>
  <c r="F70" i="67"/>
  <c r="C27" i="67"/>
  <c r="F71" i="67"/>
  <c r="B9" i="70"/>
  <c r="N59" i="67"/>
  <c r="L59" i="67"/>
  <c r="L58" i="67"/>
  <c r="M59" i="67"/>
  <c r="B13" i="70"/>
  <c r="M7" i="67"/>
  <c r="J6" i="67" s="1"/>
  <c r="F50" i="67"/>
  <c r="F37" i="67"/>
  <c r="F40" i="67"/>
  <c r="C17" i="67"/>
  <c r="D5" i="73"/>
  <c r="F6" i="15"/>
  <c r="M9" i="15"/>
  <c r="M24" i="15"/>
  <c r="C14" i="67"/>
  <c r="M22" i="67"/>
  <c r="F42" i="15"/>
  <c r="F9" i="15"/>
  <c r="D3" i="73"/>
  <c r="M26" i="67"/>
  <c r="F13" i="15"/>
  <c r="F36" i="15"/>
  <c r="F26" i="15"/>
  <c r="M8" i="15"/>
  <c r="F37" i="15"/>
  <c r="D4" i="73"/>
  <c r="F38" i="15"/>
  <c r="M22" i="15"/>
  <c r="F8" i="15"/>
  <c r="M6" i="15"/>
  <c r="M27" i="15"/>
  <c r="D6" i="73"/>
  <c r="F35" i="67"/>
  <c r="C76" i="67"/>
  <c r="C76" i="15"/>
  <c r="F36" i="67"/>
  <c r="M23" i="15"/>
  <c r="L47" i="15"/>
  <c r="F40" i="15"/>
  <c r="M28" i="15"/>
  <c r="F6" i="67"/>
  <c r="L48" i="15"/>
  <c r="J15" i="15"/>
  <c r="F16" i="15"/>
  <c r="C16" i="67"/>
  <c r="AZ141" i="3" l="1"/>
  <c r="AZ69" i="3"/>
  <c r="AZ427" i="3"/>
  <c r="AB29" i="33"/>
  <c r="AB12" i="21"/>
  <c r="U12" i="21"/>
  <c r="AC37" i="39"/>
  <c r="W37" i="39"/>
  <c r="U13" i="35"/>
  <c r="AB13" i="35"/>
  <c r="AZ288" i="3"/>
  <c r="AZ491" i="3"/>
  <c r="AZ296" i="3"/>
  <c r="AZ76" i="3"/>
  <c r="AZ402" i="3"/>
  <c r="AZ563" i="3"/>
  <c r="AZ423" i="3"/>
  <c r="AZ223" i="3"/>
  <c r="AZ470" i="3"/>
  <c r="AZ404" i="3"/>
  <c r="AZ552" i="3"/>
  <c r="AC12" i="21"/>
  <c r="W12" i="21"/>
  <c r="S12" i="21"/>
  <c r="AA12" i="21"/>
  <c r="AZ502" i="3"/>
  <c r="AZ531" i="3"/>
  <c r="AA9" i="34"/>
  <c r="S9" i="34"/>
  <c r="AC31" i="21"/>
  <c r="S47" i="34"/>
  <c r="AA47" i="34"/>
  <c r="AZ92" i="3"/>
  <c r="AZ138" i="3"/>
  <c r="AZ295" i="3"/>
  <c r="AZ455" i="3"/>
  <c r="AZ245" i="3"/>
  <c r="AZ586" i="3"/>
  <c r="AZ522" i="3"/>
  <c r="AA27" i="34"/>
  <c r="S27" i="34"/>
  <c r="S38" i="37"/>
  <c r="AA38" i="37"/>
  <c r="AC29" i="21"/>
  <c r="W29" i="21"/>
  <c r="F28" i="6"/>
  <c r="E28" i="6" s="1"/>
  <c r="AZ437" i="3"/>
  <c r="AZ266" i="3"/>
  <c r="AZ465" i="3"/>
  <c r="AZ420" i="3"/>
  <c r="S31" i="39"/>
  <c r="AC24" i="35"/>
  <c r="W24" i="35"/>
  <c r="AZ33" i="3"/>
  <c r="AZ292" i="3"/>
  <c r="AZ50" i="3"/>
  <c r="AZ121" i="3"/>
  <c r="AZ246" i="3"/>
  <c r="AZ265" i="3"/>
  <c r="U35" i="39"/>
  <c r="U30" i="34"/>
  <c r="AB30" i="34"/>
  <c r="U14" i="34"/>
  <c r="AB14" i="34"/>
  <c r="AZ130" i="3"/>
  <c r="AZ249" i="3"/>
  <c r="AZ45" i="3"/>
  <c r="AZ48" i="3"/>
  <c r="AZ279" i="3"/>
  <c r="AZ211" i="3"/>
  <c r="AZ461" i="3"/>
  <c r="AZ496" i="3"/>
  <c r="AC13" i="21"/>
  <c r="W13" i="21"/>
  <c r="AB25" i="35"/>
  <c r="U25" i="35"/>
  <c r="AZ263" i="3"/>
  <c r="AZ18" i="3"/>
  <c r="AZ232" i="3"/>
  <c r="U9" i="34"/>
  <c r="AZ540" i="3"/>
  <c r="AZ70" i="3"/>
  <c r="AZ162" i="3"/>
  <c r="AZ47" i="3"/>
  <c r="AZ153" i="3"/>
  <c r="AA12" i="39"/>
  <c r="AZ59" i="3"/>
  <c r="AZ466" i="3"/>
  <c r="AZ216" i="3"/>
  <c r="AZ190" i="3"/>
  <c r="AZ299" i="3"/>
  <c r="AZ66" i="3"/>
  <c r="AZ509" i="3"/>
  <c r="AZ145" i="3"/>
  <c r="AZ569" i="3"/>
  <c r="AA37" i="39"/>
  <c r="S37" i="39"/>
  <c r="S29" i="34"/>
  <c r="AA29" i="34"/>
  <c r="C24" i="12"/>
  <c r="C13" i="12"/>
  <c r="C6" i="67"/>
  <c r="C32" i="67" s="1"/>
  <c r="F65" i="67"/>
  <c r="F64" i="67"/>
  <c r="AA26" i="35"/>
  <c r="S26" i="35"/>
  <c r="AZ424" i="3"/>
  <c r="AZ202" i="3"/>
  <c r="AZ236" i="3"/>
  <c r="AZ479" i="3"/>
  <c r="AZ224" i="3"/>
  <c r="AZ564" i="3"/>
  <c r="AZ458" i="3"/>
  <c r="AZ213" i="3"/>
  <c r="AZ521" i="3"/>
  <c r="AZ474" i="3"/>
  <c r="W44" i="39"/>
  <c r="AZ535" i="3"/>
  <c r="AB36" i="39"/>
  <c r="U36" i="39"/>
  <c r="AB9" i="36"/>
  <c r="U9" i="36"/>
  <c r="AZ220" i="3"/>
  <c r="AZ488" i="3"/>
  <c r="AZ403" i="3"/>
  <c r="AA45" i="21"/>
  <c r="S45" i="21"/>
  <c r="AZ544" i="3"/>
  <c r="AZ44" i="3"/>
  <c r="AZ75" i="3"/>
  <c r="AZ565" i="3"/>
  <c r="AZ317" i="3"/>
  <c r="W33" i="36"/>
  <c r="AC33" i="36"/>
  <c r="AB30" i="33"/>
  <c r="U30" i="33"/>
  <c r="AZ100" i="3"/>
  <c r="AZ42" i="3"/>
  <c r="AZ431" i="3"/>
  <c r="U32" i="34"/>
  <c r="AB32" i="34"/>
  <c r="AA13" i="40"/>
  <c r="S13" i="40"/>
  <c r="S14" i="39"/>
  <c r="AA14" i="39"/>
  <c r="AZ31" i="3"/>
  <c r="J7" i="37"/>
  <c r="W7" i="37" s="1"/>
  <c r="AZ95" i="3"/>
  <c r="AZ104" i="3"/>
  <c r="AZ483" i="3"/>
  <c r="AZ538" i="3"/>
  <c r="S31" i="34"/>
  <c r="AA31" i="34"/>
  <c r="AA35" i="35"/>
  <c r="S35" i="35"/>
  <c r="S45" i="34"/>
  <c r="AA45" i="34"/>
  <c r="W13" i="40"/>
  <c r="AC13" i="40"/>
  <c r="W39" i="40"/>
  <c r="AC39" i="40"/>
  <c r="AA33" i="40"/>
  <c r="S33" i="40"/>
  <c r="H26" i="35"/>
  <c r="U14" i="39"/>
  <c r="AB14" i="39"/>
  <c r="AA43" i="39"/>
  <c r="S43" i="39"/>
  <c r="AZ230" i="3"/>
  <c r="AC43" i="39"/>
  <c r="W43" i="39"/>
  <c r="AZ57" i="3"/>
  <c r="AZ226" i="3"/>
  <c r="AZ448" i="3"/>
  <c r="AZ91" i="3"/>
  <c r="AZ508" i="3"/>
  <c r="AZ517" i="3"/>
  <c r="AZ432" i="3"/>
  <c r="AZ500" i="3"/>
  <c r="AA13" i="34"/>
  <c r="S13" i="34"/>
  <c r="AZ560" i="3"/>
  <c r="S29" i="33"/>
  <c r="AA29" i="33"/>
  <c r="AZ78" i="3"/>
  <c r="AZ218" i="3"/>
  <c r="AZ428" i="3"/>
  <c r="AA26" i="37"/>
  <c r="S26" i="37"/>
  <c r="W32" i="34"/>
  <c r="AC32" i="34"/>
  <c r="F63" i="67"/>
  <c r="C62" i="67" s="1"/>
  <c r="C34" i="67"/>
  <c r="Q71" i="67"/>
  <c r="AZ480" i="3"/>
  <c r="AZ463" i="3"/>
  <c r="AZ182" i="3"/>
  <c r="AZ110" i="3"/>
  <c r="AZ408" i="3"/>
  <c r="AZ122" i="3"/>
  <c r="AZ258" i="3"/>
  <c r="U12" i="37"/>
  <c r="AB12" i="37"/>
  <c r="C79" i="71"/>
  <c r="D79" i="71" s="1"/>
  <c r="AZ117" i="3"/>
  <c r="AZ60" i="3"/>
  <c r="AZ419" i="3"/>
  <c r="AA12" i="37"/>
  <c r="S12" i="37"/>
  <c r="AZ158" i="3"/>
  <c r="AZ80" i="3"/>
  <c r="AZ118" i="3"/>
  <c r="AZ150" i="3"/>
  <c r="AZ468" i="3"/>
  <c r="W23" i="40"/>
  <c r="AZ449" i="3"/>
  <c r="AZ489" i="3"/>
  <c r="U31" i="21"/>
  <c r="AB31" i="21"/>
  <c r="AZ333" i="3"/>
  <c r="AZ510" i="3"/>
  <c r="AZ71" i="3"/>
  <c r="AZ46" i="3"/>
  <c r="AZ513" i="3"/>
  <c r="AB28" i="21"/>
  <c r="U28" i="21"/>
  <c r="AC9" i="36"/>
  <c r="W9" i="36"/>
  <c r="AZ281" i="3"/>
  <c r="B20" i="31"/>
  <c r="B21" i="31" s="1"/>
  <c r="AZ397" i="3"/>
  <c r="AZ368" i="3"/>
  <c r="AZ457" i="3"/>
  <c r="AZ523" i="3"/>
  <c r="AZ36" i="3"/>
  <c r="G27" i="6"/>
  <c r="K23" i="1"/>
  <c r="AZ482" i="3"/>
  <c r="AZ441" i="3"/>
  <c r="AZ497" i="3"/>
  <c r="AC19" i="40"/>
  <c r="W19" i="40"/>
  <c r="AZ112" i="3"/>
  <c r="AZ99" i="3"/>
  <c r="AZ134" i="3"/>
  <c r="AZ367" i="3"/>
  <c r="AZ210" i="3"/>
  <c r="AZ415" i="3"/>
  <c r="AZ142" i="3"/>
  <c r="AZ440" i="3"/>
  <c r="AZ231" i="3"/>
  <c r="AZ436" i="3"/>
  <c r="AZ505" i="3"/>
  <c r="S30" i="21"/>
  <c r="AA30" i="21"/>
  <c r="S39" i="37"/>
  <c r="AA39" i="37"/>
  <c r="AZ201" i="3"/>
  <c r="AZ39" i="3"/>
  <c r="AZ125" i="3"/>
  <c r="AZ189" i="3"/>
  <c r="AZ109" i="3"/>
  <c r="AZ492" i="3"/>
  <c r="AZ233" i="3"/>
  <c r="AZ425" i="3"/>
  <c r="AZ239" i="3"/>
  <c r="W28" i="33"/>
  <c r="AC28" i="33"/>
  <c r="F65" i="15"/>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C7" i="36" s="1"/>
  <c r="V36" i="36" s="1"/>
  <c r="I36" i="36" s="1"/>
  <c r="AZ49" i="3"/>
  <c r="AZ146" i="3"/>
  <c r="AZ81" i="3"/>
  <c r="E19" i="6"/>
  <c r="K6" i="1" s="1"/>
  <c r="Q16" i="1" s="1"/>
  <c r="F27" i="11" s="1"/>
  <c r="C29" i="11" s="1"/>
  <c r="D27" i="11" s="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B20" i="71"/>
  <c r="B19" i="71" s="1"/>
  <c r="B18" i="71" s="1"/>
  <c r="B17" i="71" s="1"/>
  <c r="S21" i="71"/>
  <c r="C37" i="71"/>
  <c r="D36" i="71"/>
  <c r="C53" i="71"/>
  <c r="D52" i="71"/>
  <c r="AZ77" i="3"/>
  <c r="AA25" i="37"/>
  <c r="S25" i="37"/>
  <c r="AA38" i="40"/>
  <c r="S38" i="40"/>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F7" i="33"/>
  <c r="E58" i="21"/>
  <c r="F7" i="37"/>
  <c r="M17" i="67"/>
  <c r="M17" i="15"/>
  <c r="F59" i="15"/>
  <c r="P24" i="43"/>
  <c r="B66" i="40" s="1"/>
  <c r="P21" i="43"/>
  <c r="C49" i="67"/>
  <c r="P25" i="43"/>
  <c r="P23" i="43"/>
  <c r="B70" i="39" s="1"/>
  <c r="C15" i="67"/>
  <c r="C18" i="67"/>
  <c r="Q60" i="67"/>
  <c r="Q73" i="67"/>
  <c r="M28" i="43"/>
  <c r="N28" i="43"/>
  <c r="O28" i="43"/>
  <c r="P28" i="43"/>
  <c r="M11" i="67"/>
  <c r="J10" i="67" s="1"/>
  <c r="J5" i="67" s="1"/>
  <c r="F11" i="15"/>
  <c r="M11" i="15"/>
  <c r="F11" i="67"/>
  <c r="J18" i="67"/>
  <c r="F1" i="67"/>
  <c r="Q52" i="67"/>
  <c r="Q61" i="67"/>
  <c r="Q74" i="67"/>
  <c r="M29" i="15"/>
  <c r="G1" i="73"/>
  <c r="F7" i="15"/>
  <c r="F43" i="15"/>
  <c r="F30" i="6" l="1"/>
  <c r="AC7" i="37"/>
  <c r="V42" i="37" s="1"/>
  <c r="I42" i="37" s="1"/>
  <c r="F31" i="6"/>
  <c r="W7" i="36"/>
  <c r="AB26" i="35"/>
  <c r="U26" i="35"/>
  <c r="K24" i="1"/>
  <c r="L24" i="1"/>
  <c r="F50" i="15"/>
  <c r="C49" i="15" s="1"/>
  <c r="M7" i="15"/>
  <c r="J6" i="15" s="1"/>
  <c r="J18" i="15" s="1"/>
  <c r="C6" i="15"/>
  <c r="C32" i="15" s="1"/>
  <c r="F71" i="15"/>
  <c r="D57" i="71"/>
  <c r="T57" i="71"/>
  <c r="T33" i="71"/>
  <c r="D33" i="71"/>
  <c r="G30" i="6"/>
  <c r="G31" i="6" s="1"/>
  <c r="H16" i="1"/>
  <c r="G16" i="1"/>
  <c r="U7" i="34"/>
  <c r="C47" i="11"/>
  <c r="D45" i="11" s="1"/>
  <c r="P62" i="71"/>
  <c r="P63" i="71"/>
  <c r="AC7" i="34"/>
  <c r="V49" i="34" s="1"/>
  <c r="I49" i="34" s="1"/>
  <c r="I53" i="34" s="1"/>
  <c r="J53"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R50" i="34" s="1"/>
  <c r="U7" i="36"/>
  <c r="U7" i="37"/>
  <c r="AA7" i="36"/>
  <c r="R36" i="36" s="1"/>
  <c r="E36" i="36"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E49" i="34" l="1"/>
  <c r="G54" i="34"/>
  <c r="H54" i="34" s="1"/>
  <c r="R37" i="36"/>
  <c r="E3" i="6"/>
  <c r="L19" i="1" s="1"/>
  <c r="C10" i="15"/>
  <c r="C5" i="15" s="1"/>
  <c r="C38"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D3" i="37"/>
  <c r="M18" i="9"/>
  <c r="B118" i="9" s="1"/>
  <c r="B14" i="74" s="1"/>
  <c r="B1" i="74" s="1"/>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66" i="67"/>
  <c r="C60" i="67"/>
  <c r="C23" i="67"/>
  <c r="C29" i="67" s="1"/>
  <c r="E6" i="76"/>
  <c r="B6" i="76"/>
  <c r="C14" i="15"/>
  <c r="F41" i="15"/>
  <c r="L18" i="9" l="1"/>
  <c r="D14" i="12"/>
  <c r="D17" i="12" s="1"/>
  <c r="C17" i="12" s="1"/>
  <c r="D37" i="11"/>
  <c r="C37" i="11" s="1"/>
  <c r="D3" i="21"/>
  <c r="C17" i="4"/>
  <c r="B4" i="52" s="1"/>
  <c r="B43" i="72" s="1"/>
  <c r="D3" i="33"/>
  <c r="D3" i="34"/>
  <c r="B2" i="34" s="1"/>
  <c r="B3" i="34" s="1"/>
  <c r="C60" i="15"/>
  <c r="J26" i="15"/>
  <c r="J29" i="15" s="1"/>
  <c r="AC10" i="39"/>
  <c r="W10" i="39"/>
  <c r="U10" i="40"/>
  <c r="AB10" i="40"/>
  <c r="W10" i="40"/>
  <c r="AC10" i="40"/>
  <c r="U10" i="39"/>
  <c r="AB10" i="39"/>
  <c r="S10" i="39"/>
  <c r="AA10" i="39"/>
  <c r="S10" i="40"/>
  <c r="AA10" i="40"/>
  <c r="F69" i="15"/>
  <c r="C15" i="15"/>
  <c r="C18" i="15"/>
  <c r="E6" i="3"/>
  <c r="B8" i="71"/>
  <c r="B7" i="71" s="1"/>
  <c r="B6" i="71" s="1"/>
  <c r="B5" i="71" s="1"/>
  <c r="S9" i="71"/>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2" l="1"/>
  <c r="C19" i="15"/>
  <c r="C20" i="15" s="1"/>
  <c r="C26" i="15" s="1"/>
  <c r="H27" i="6"/>
  <c r="D30" i="6"/>
  <c r="D16" i="6"/>
  <c r="P14" i="1"/>
  <c r="P16" i="1" s="1"/>
  <c r="C11" i="12" s="1"/>
  <c r="C15" i="12" s="1"/>
  <c r="R22" i="6"/>
  <c r="R21" i="6"/>
  <c r="R23" i="6"/>
  <c r="R20" i="6"/>
  <c r="R24" i="6"/>
  <c r="R26" i="6"/>
  <c r="R25" i="6"/>
  <c r="C28" i="11"/>
  <c r="C27" i="11" s="1"/>
  <c r="C31" i="11" s="1"/>
  <c r="N16" i="1"/>
  <c r="L16" i="1"/>
  <c r="C34" i="11"/>
  <c r="C34" i="68"/>
  <c r="D7"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J7" i="35" l="1"/>
  <c r="AC7" i="35" s="1"/>
  <c r="V38" i="35" s="1"/>
  <c r="I38" i="35" s="1"/>
  <c r="C57" i="15"/>
  <c r="C61" i="15" s="1"/>
  <c r="J59" i="15"/>
  <c r="J60" i="15" s="1"/>
  <c r="Q48" i="15" s="1"/>
  <c r="Q49" i="15"/>
  <c r="C13" i="15"/>
  <c r="C56" i="15" s="1"/>
  <c r="C65" i="15" s="1"/>
  <c r="J19" i="15"/>
  <c r="J14" i="15"/>
  <c r="J22" i="15" s="1"/>
  <c r="C36" i="15"/>
  <c r="F11" i="40"/>
  <c r="H11" i="40"/>
  <c r="J11" i="40"/>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7" i="35" l="1"/>
  <c r="C64" i="15"/>
  <c r="J17" i="15"/>
  <c r="C37" i="15"/>
  <c r="C30" i="15" s="1"/>
  <c r="C39" i="15" s="1"/>
  <c r="C75" i="15"/>
  <c r="Q70" i="15"/>
  <c r="J13" i="15"/>
  <c r="J23" i="15" s="1"/>
  <c r="W11" i="40"/>
  <c r="AC11" i="40"/>
  <c r="AB11" i="40"/>
  <c r="U11" i="40"/>
  <c r="C59" i="15"/>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16" i="15"/>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AO6" i="1"/>
  <c r="D19" i="9"/>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D35" i="9"/>
  <c r="C20" i="9"/>
  <c r="D34" i="9"/>
  <c r="I19" i="9" l="1"/>
  <c r="G21" i="9"/>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55" i="9"/>
  <c r="M53" i="9" s="1"/>
  <c r="H107" i="9"/>
  <c r="H108" i="9" s="1"/>
  <c r="D15" i="53" s="1"/>
  <c r="B31" i="72" s="1"/>
  <c r="C78" i="9"/>
  <c r="C73" i="9" s="1"/>
  <c r="C79" i="9" s="1"/>
  <c r="F14" i="74"/>
  <c r="B5" i="74"/>
  <c r="D5" i="74" s="1"/>
  <c r="E118" i="9"/>
  <c r="E4" i="52" s="1"/>
  <c r="B48" i="72" s="1"/>
  <c r="I4" i="52"/>
  <c r="C105" i="9"/>
  <c r="D48" i="9" l="1"/>
  <c r="M52" i="9" s="1"/>
  <c r="C95" i="9"/>
  <c r="C96" i="9" s="1"/>
  <c r="E96" i="9" s="1"/>
  <c r="E97" i="9" s="1"/>
  <c r="D59" i="9"/>
  <c r="M55" i="9" s="1"/>
  <c r="D122" i="9"/>
  <c r="G14" i="74" s="1"/>
  <c r="B6" i="74" s="1"/>
  <c r="D13" i="53"/>
  <c r="B30" i="72" s="1"/>
  <c r="C5" i="74"/>
  <c r="M49" i="9"/>
  <c r="L63" i="9" s="1"/>
  <c r="M63" i="9" s="1"/>
  <c r="B20" i="72"/>
  <c r="C80" i="9"/>
  <c r="E80" i="9" s="1"/>
  <c r="E81" i="9" s="1"/>
  <c r="C97" i="9" l="1"/>
  <c r="D123" i="9"/>
  <c r="D9" i="52" s="1"/>
  <c r="D8" i="52"/>
  <c r="L68" i="9"/>
  <c r="M68" i="9" s="1"/>
  <c r="D14" i="53"/>
  <c r="B32" i="72" s="1"/>
  <c r="L67" i="9"/>
  <c r="M67" i="9" s="1"/>
  <c r="L65" i="9"/>
  <c r="M65" i="9" s="1"/>
  <c r="L64" i="9"/>
  <c r="M64" i="9" s="1"/>
  <c r="L66" i="9"/>
  <c r="M66" i="9" s="1"/>
  <c r="D6" i="74"/>
  <c r="C6" i="74"/>
  <c r="C81" i="9"/>
  <c r="D58" i="9" l="1"/>
  <c r="D56" i="9" s="1"/>
  <c r="M54" i="9" s="1"/>
  <c r="N57" i="9" s="1"/>
  <c r="P57" i="9" s="1"/>
  <c r="M69" i="9"/>
  <c r="N69" i="9" s="1"/>
  <c r="N59" i="9" l="1"/>
  <c r="H111" i="9" s="1"/>
  <c r="N58" i="9"/>
  <c r="N61" i="9"/>
  <c r="H112" i="9" s="1"/>
  <c r="D21" i="53" s="1"/>
  <c r="B39" i="72" s="1"/>
  <c r="N60" i="9" l="1"/>
  <c r="D126" i="9"/>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<sst xmlns="http://schemas.openxmlformats.org/spreadsheetml/2006/main" count="7614" uniqueCount="3297">
  <si>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</si>
  <si>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</si>
  <si>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</si>
  <si>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</si>
  <si>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</si>
  <si>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</si>
  <si>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</si>
  <si>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</si>
  <si>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</si>
  <si>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</si>
  <si>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</si>
  <si>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</si>
  <si>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</si>
  <si>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</si>
  <si>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</si>
  <si>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</si>
  <si>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</si>
  <si>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</si>
  <si>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</si>
  <si>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</si>
  <si>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</si>
  <si>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</si>
  <si>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</si>
  <si>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</si>
  <si>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</si>
  <si>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</si>
  <si>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</si>
  <si>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</si>
  <si>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</si>
  <si>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</si>
  <si>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</si>
  <si>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</si>
  <si>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</si>
  <si>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</si>
  <si>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</si>
  <si>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</si>
  <si>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</si>
  <si>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</si>
  <si>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</si>
  <si>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</si>
  <si>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</si>
  <si>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</si>
  <si>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</si>
  <si>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</si>
  <si>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</si>
  <si>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</si>
  <si>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</si>
  <si>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</si>
  <si>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</si>
  <si>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</si>
  <si>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</si>
  <si>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</si>
  <si>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</si>
  <si>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</si>
  <si>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</si>
  <si>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</si>
  <si>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</si>
  <si>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</si>
  <si>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</si>
  <si>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</si>
  <si>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</si>
  <si>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</si>
  <si>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</si>
  <si>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</si>
  <si>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</si>
  <si>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</si>
  <si>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</si>
  <si>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</si>
  <si>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</si>
  <si>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</si>
  <si>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</si>
  <si>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</si>
  <si>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</si>
  <si>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</si>
  <si>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</si>
  <si>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</si>
  <si>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</si>
  <si>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</si>
  <si>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</si>
  <si>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</si>
  <si>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</si>
  <si>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</si>
  <si>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</si>
  <si>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</si>
  <si>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</si>
  <si>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</si>
  <si>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</si>
  <si>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</si>
  <si>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</si>
  <si>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</si>
  <si>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</si>
  <si>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</si>
  <si>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</si>
  <si>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</si>
  <si>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</si>
  <si>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</si>
  <si>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</si>
  <si>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</si>
  <si>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</si>
  <si>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</si>
  <si>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</si>
  <si>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</si>
  <si>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</si>
  <si>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</si>
  <si>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</si>
  <si>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</si>
  <si>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</si>
  <si>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</si>
  <si>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</si>
  <si>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</si>
  <si>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</si>
  <si>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</si>
  <si>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</si>
  <si>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</si>
  <si>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</si>
  <si>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</si>
  <si>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</si>
  <si>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</si>
  <si>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</si>
  <si>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</si>
  <si>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</si>
  <si>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</si>
  <si>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</si>
  <si>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</si>
  <si>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</si>
  <si>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</si>
  <si>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</si>
  <si>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</si>
  <si>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</si>
  <si>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</si>
  <si>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</si>
  <si>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</si>
  <si>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</si>
  <si>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</si>
  <si>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</si>
  <si>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</si>
  <si>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</si>
  <si>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</si>
  <si>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</si>
  <si>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</si>
  <si>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</si>
  <si>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</si>
  <si>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</si>
  <si>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</si>
  <si>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</si>
  <si>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</si>
  <si>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</si>
  <si>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</si>
  <si>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</si>
  <si>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</si>
  <si>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</si>
  <si>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</si>
  <si>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</si>
  <si>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</si>
  <si>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</si>
  <si>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</si>
  <si>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</si>
  <si>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</si>
  <si>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</si>
  <si>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</si>
  <si>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</si>
  <si>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</si>
  <si>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</si>
  <si>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</si>
  <si>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</si>
  <si>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</si>
  <si>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</si>
  <si>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</si>
  <si>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</si>
  <si>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</si>
  <si>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</si>
  <si>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</si>
  <si>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</si>
  <si>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</si>
  <si>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</si>
  <si>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</si>
  <si>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</si>
  <si>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</si>
  <si>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</si>
  <si>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</si>
  <si>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</si>
  <si>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</si>
  <si>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</si>
  <si>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</si>
  <si>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</si>
  <si>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</si>
  <si>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</si>
  <si>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</si>
  <si>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</si>
  <si>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</si>
  <si>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</si>
  <si>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</si>
  <si>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</si>
  <si>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</si>
  <si>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</si>
  <si>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</si>
  <si>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</si>
  <si>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</si>
  <si>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</si>
  <si>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</si>
  <si>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</si>
  <si>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</si>
  <si>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</si>
  <si>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</si>
  <si>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</si>
  <si>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</si>
  <si>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</si>
  <si>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</si>
  <si>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</si>
  <si>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</si>
  <si>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</si>
  <si>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</si>
  <si>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</si>
  <si>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</si>
  <si>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</si>
  <si>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</si>
  <si>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</si>
  <si>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</si>
  <si>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</si>
  <si>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</si>
  <si>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</si>
  <si>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</si>
  <si>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</si>
  <si>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</si>
  <si>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</si>
  <si>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</si>
  <si>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</si>
  <si>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</si>
  <si>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</si>
  <si>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</si>
  <si>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</si>
  <si>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</si>
  <si>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</si>
  <si>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</si>
  <si>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</si>
  <si>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</si>
  <si>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</si>
  <si>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</si>
  <si>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</si>
  <si>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</si>
  <si>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</si>
  <si>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</si>
  <si>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</si>
  <si>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</si>
  <si>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</si>
  <si>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</si>
  <si>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</si>
  <si>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</si>
  <si>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</si>
  <si>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</si>
  <si>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</si>
  <si>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</si>
  <si>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</si>
  <si>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</si>
  <si>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</si>
  <si>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</si>
  <si>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</si>
  <si>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</si>
  <si>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</si>
  <si>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</si>
  <si>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</si>
  <si>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</si>
  <si>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</si>
  <si>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</si>
  <si>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</si>
  <si>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</si>
  <si>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</si>
  <si>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</si>
  <si>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</si>
  <si>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</si>
  <si>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</si>
  <si>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</si>
  <si>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</si>
  <si>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</si>
  <si>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</si>
  <si>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</si>
  <si>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</si>
  <si>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</si>
  <si>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</si>
  <si>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</si>
  <si>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</si>
  <si>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</si>
  <si>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</si>
  <si>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</si>
  <si>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</si>
  <si>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</si>
  <si>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</si>
  <si>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</si>
  <si>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</si>
  <si>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</si>
  <si>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</si>
  <si>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</si>
  <si>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</si>
  <si>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</si>
  <si>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</si>
  <si>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</si>
  <si>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</si>
  <si>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</si>
  <si>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</si>
  <si>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</si>
  <si>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</si>
  <si>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</si>
  <si>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</si>
  <si>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</si>
  <si>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</si>
  <si>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</si>
  <si>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</si>
  <si>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</si>
  <si>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</si>
  <si>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</si>
  <si>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</si>
  <si>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</si>
  <si>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</si>
  <si>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</si>
  <si>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</si>
  <si>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</si>
  <si>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</si>
  <si>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</si>
  <si>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</si>
  <si>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</si>
  <si>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</si>
  <si>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</si>
  <si>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</si>
  <si>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</si>
  <si>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</si>
  <si>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</si>
  <si>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</si>
  <si>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</si>
  <si>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</si>
  <si>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</si>
  <si>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</si>
  <si>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</si>
  <si>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</si>
  <si>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</si>
  <si>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</si>
  <si>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</si>
  <si>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</si>
  <si>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</si>
  <si>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</si>
  <si>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</si>
  <si>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</si>
  <si>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</si>
  <si>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</si>
  <si>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</si>
  <si>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</si>
  <si>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</si>
  <si>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</si>
  <si>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</si>
  <si>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</si>
  <si>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</si>
  <si>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</si>
  <si>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</si>
  <si>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</si>
  <si>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</si>
  <si>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</si>
  <si>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</si>
  <si>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</si>
  <si>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</si>
  <si>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</si>
  <si>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</si>
  <si>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</si>
  <si>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</si>
  <si>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</si>
  <si>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</si>
  <si>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</si>
  <si>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</si>
  <si>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</si>
  <si>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</si>
  <si>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</si>
  <si>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</si>
  <si>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</si>
  <si>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</si>
  <si>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</si>
  <si>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</si>
  <si>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</si>
  <si>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</si>
  <si>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</si>
  <si>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</si>
  <si>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</si>
  <si>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</si>
  <si>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</si>
  <si>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</si>
  <si>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</si>
  <si>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</si>
  <si>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</si>
  <si>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</si>
  <si>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</si>
  <si>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</si>
  <si>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</si>
  <si>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</si>
  <si>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</si>
  <si>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</si>
  <si>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</si>
  <si>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</si>
  <si>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</si>
  <si>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</si>
  <si>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</si>
  <si>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</si>
  <si>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</si>
  <si>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</si>
  <si>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</si>
  <si>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</si>
  <si>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</si>
  <si>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</si>
  <si>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</si>
  <si>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</si>
  <si>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</si>
  <si>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</si>
  <si>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</si>
  <si>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</si>
  <si>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</si>
  <si>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</si>
  <si>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</si>
  <si>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</si>
  <si>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</si>
  <si>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</si>
  <si>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</si>
  <si>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</si>
  <si>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</si>
  <si>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</si>
  <si>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</si>
  <si>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</si>
  <si>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</si>
  <si>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</si>
  <si>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</si>
  <si>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</si>
  <si>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</si>
  <si>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</si>
  <si>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</si>
  <si>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</si>
  <si>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</si>
  <si>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</si>
  <si>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</si>
  <si>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</si>
  <si>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</si>
  <si>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</si>
  <si>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</si>
  <si>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</si>
  <si>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</si>
  <si>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</si>
  <si>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</si>
  <si>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</si>
  <si>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</si>
  <si>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</si>
  <si>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</si>
  <si>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</si>
  <si>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</si>
  <si>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</si>
  <si>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</si>
  <si>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</si>
  <si>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</si>
  <si>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</si>
  <si>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</si>
  <si>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</si>
  <si>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</si>
  <si>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</si>
  <si>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</si>
  <si>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</si>
  <si>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</si>
  <si>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</si>
  <si>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</si>
  <si>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</si>
  <si>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</si>
  <si>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</si>
  <si>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</si>
  <si>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</si>
  <si>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</si>
  <si>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</si>
  <si>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</si>
  <si>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</si>
  <si>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</si>
  <si>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</si>
  <si>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</si>
  <si>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</si>
  <si>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</si>
  <si>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</si>
  <si>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</si>
  <si>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</si>
  <si>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</si>
  <si>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</si>
  <si>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</si>
  <si>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</si>
  <si>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</si>
  <si>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</si>
  <si>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</si>
  <si>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</si>
  <si>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</si>
  <si>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</si>
  <si>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</si>
  <si>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</si>
  <si>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</si>
  <si>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</si>
  <si>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</si>
  <si>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</si>
  <si>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</si>
  <si>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</si>
  <si>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</si>
  <si>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</si>
  <si>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</si>
  <si>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</si>
  <si>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</si>
  <si>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</si>
  <si>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</si>
  <si>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</si>
  <si>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</si>
  <si>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</si>
  <si>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</si>
  <si>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</si>
  <si>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</si>
  <si>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</si>
  <si>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</si>
  <si>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</si>
  <si>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</si>
  <si>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</si>
  <si>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</si>
  <si>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</si>
  <si>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</si>
  <si>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</si>
  <si>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</si>
  <si>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</si>
  <si>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</si>
  <si>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</si>
  <si>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</si>
  <si>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</si>
  <si>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</si>
  <si>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</si>
  <si>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</si>
  <si>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</si>
  <si>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</si>
  <si>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</si>
  <si>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</si>
  <si>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</si>
  <si>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</si>
  <si>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</si>
  <si>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</si>
  <si>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</si>
  <si>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</si>
  <si>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</si>
  <si>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</si>
  <si>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</si>
  <si>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</si>
  <si>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</si>
  <si>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</si>
  <si>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</si>
  <si>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</si>
  <si>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</si>
  <si>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</si>
  <si>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</si>
  <si>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</si>
  <si>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</si>
  <si>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</si>
  <si>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</si>
  <si>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</si>
  <si>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</si>
  <si>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</si>
  <si>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</si>
  <si>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</si>
  <si>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</si>
  <si>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</si>
  <si>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</si>
  <si>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</si>
  <si>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</si>
  <si>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</si>
  <si>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</si>
  <si>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</si>
  <si>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</si>
  <si>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</si>
  <si>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</si>
  <si>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</si>
  <si>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</si>
  <si>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</si>
  <si>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</si>
  <si>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</si>
  <si>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</si>
  <si>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</si>
  <si>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</si>
  <si>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</si>
  <si>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</si>
  <si>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</si>
  <si>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</si>
  <si>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</si>
  <si>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</si>
  <si>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</si>
  <si>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</si>
  <si>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</si>
  <si>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</si>
  <si>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</si>
  <si>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</si>
  <si>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</si>
  <si>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</si>
  <si>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</si>
  <si>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</si>
  <si>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</si>
  <si>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</si>
  <si>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</si>
  <si>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</si>
  <si>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</si>
  <si>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</si>
  <si>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</si>
  <si>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</si>
  <si>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</si>
  <si>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</si>
  <si>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</si>
  <si>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</si>
  <si>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</si>
  <si>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</si>
  <si>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</si>
  <si>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</si>
  <si>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</si>
  <si>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</si>
  <si>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</si>
  <si>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</si>
  <si>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</si>
  <si>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</si>
  <si>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</si>
  <si>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</si>
  <si>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</si>
  <si>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</si>
  <si>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</si>
  <si>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</si>
  <si>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</si>
  <si>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</si>
  <si>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</si>
  <si>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</si>
  <si>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</si>
  <si>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</si>
  <si>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</si>
  <si>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</si>
  <si>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</si>
  <si>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</si>
  <si>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</si>
  <si>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</si>
  <si>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</si>
  <si>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</si>
  <si>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</si>
  <si>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</si>
  <si>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</si>
  <si>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</si>
  <si>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</si>
  <si>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</si>
  <si>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</si>
  <si>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</si>
  <si>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</si>
  <si>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</si>
  <si>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</si>
  <si>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</si>
  <si>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</si>
  <si>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</si>
  <si>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</si>
  <si>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</si>
  <si>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</si>
  <si>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</si>
  <si>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</si>
  <si>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</si>
  <si>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</si>
  <si>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</si>
  <si>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</si>
  <si>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</si>
  <si>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</si>
  <si>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</si>
  <si>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</si>
  <si>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</si>
  <si>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</si>
  <si>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</si>
  <si>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</si>
  <si>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</si>
  <si>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</si>
  <si>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</si>
  <si>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</si>
  <si>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</si>
  <si>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</si>
  <si>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</si>
  <si>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</si>
  <si>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</si>
  <si>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</si>
  <si>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</si>
  <si>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</si>
  <si>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</si>
  <si>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</si>
  <si>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</si>
  <si>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</si>
  <si>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</si>
  <si>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</si>
  <si>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</si>
  <si>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</si>
  <si>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</si>
  <si>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</si>
  <si>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</si>
  <si>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</si>
  <si>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</si>
  <si>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</si>
  <si>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</si>
  <si>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</si>
  <si>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</si>
  <si>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</si>
  <si>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</si>
  <si>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</si>
  <si>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</si>
  <si>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</si>
  <si>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</si>
  <si>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</si>
  <si>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</si>
  <si>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</si>
  <si>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</si>
  <si>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</si>
  <si>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</si>
  <si>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</si>
  <si>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</si>
  <si>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</si>
  <si>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</si>
  <si>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</si>
  <si>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</si>
  <si>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</si>
  <si>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</si>
  <si>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</si>
  <si>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</si>
  <si>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</si>
  <si>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</si>
  <si>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</si>
  <si>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</si>
  <si>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</si>
  <si>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</si>
  <si>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</si>
  <si>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</si>
  <si>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</si>
  <si>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</si>
  <si>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</si>
  <si>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</si>
  <si>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</si>
  <si>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</si>
  <si>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</si>
  <si>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</si>
  <si>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</si>
  <si>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</si>
  <si>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</si>
  <si>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</si>
  <si>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</si>
  <si>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</si>
  <si>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</si>
  <si>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</si>
  <si>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</si>
  <si>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</si>
  <si>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</si>
  <si>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</si>
  <si>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</si>
  <si>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</si>
  <si>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</si>
  <si>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</si>
  <si>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</si>
  <si>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</si>
  <si>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</si>
  <si>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</si>
  <si>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</si>
  <si>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</si>
  <si>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</si>
  <si>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</si>
  <si>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</si>
  <si>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</si>
  <si>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</si>
  <si>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</si>
  <si>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</si>
  <si>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</si>
  <si>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</si>
  <si>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</si>
  <si>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</si>
  <si>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</si>
  <si>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</si>
  <si>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</si>
  <si>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</si>
  <si>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</si>
  <si>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</si>
  <si>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</si>
  <si>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</si>
  <si>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</si>
  <si>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</si>
  <si>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</si>
  <si>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</si>
  <si>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</si>
  <si>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</si>
  <si>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</si>
  <si>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</si>
  <si>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</si>
  <si>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</si>
  <si>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</si>
  <si>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</si>
  <si>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</si>
  <si>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</si>
  <si>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</si>
  <si>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</si>
  <si>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</si>
  <si>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</si>
  <si>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</si>
  <si>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</si>
  <si>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</si>
  <si>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</si>
  <si>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</si>
  <si>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</si>
  <si>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</si>
  <si>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</si>
  <si>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</si>
  <si>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</si>
  <si>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</si>
  <si>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</si>
  <si>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</si>
  <si>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</si>
  <si>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</si>
  <si>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</si>
  <si>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</si>
  <si>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</si>
  <si>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</si>
  <si>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</si>
  <si>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</si>
  <si>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</si>
  <si>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</si>
  <si>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</si>
  <si>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</si>
  <si>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</si>
  <si>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</si>
  <si>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</si>
  <si>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</si>
  <si>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</si>
  <si>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</si>
  <si>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</si>
  <si>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</si>
  <si>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</si>
  <si>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</si>
  <si>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</si>
  <si>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</si>
  <si>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</si>
  <si>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</si>
  <si>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</si>
  <si>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</si>
  <si>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</si>
  <si>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</si>
  <si>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</si>
  <si>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</si>
  <si>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</si>
  <si>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</si>
  <si>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</si>
  <si>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</si>
  <si>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</si>
  <si>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</si>
  <si>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</si>
  <si>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</si>
  <si>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</si>
  <si>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</si>
  <si>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</si>
  <si>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</si>
  <si>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</si>
  <si>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</si>
  <si>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</si>
  <si>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</si>
  <si>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</si>
  <si>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</si>
  <si>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</si>
  <si>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</si>
  <si>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</si>
  <si>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</si>
  <si>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</si>
  <si>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</si>
  <si>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</si>
  <si>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</si>
  <si>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</si>
  <si>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</si>
  <si>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</si>
  <si>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</si>
  <si>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</si>
  <si>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</si>
  <si>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</si>
  <si>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</si>
  <si>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</si>
  <si>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</si>
  <si>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</si>
  <si>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</si>
  <si>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</si>
  <si>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</si>
  <si>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</si>
  <si>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</si>
  <si>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</si>
  <si>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</si>
  <si>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</si>
  <si>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</si>
  <si>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</si>
  <si>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</si>
  <si>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</si>
  <si>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</si>
  <si>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</si>
  <si>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</si>
  <si>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</si>
  <si>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</si>
  <si>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</si>
  <si>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</si>
  <si>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</si>
  <si>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</si>
  <si>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</si>
  <si>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</si>
  <si>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</si>
  <si>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</si>
  <si>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</si>
  <si>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</si>
  <si>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</si>
  <si>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</si>
  <si>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</si>
  <si>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</si>
  <si>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</si>
  <si>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</si>
  <si>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</si>
  <si>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</si>
  <si>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</si>
  <si>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</si>
  <si>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</si>
  <si>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</si>
  <si>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</si>
  <si>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</si>
  <si>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</si>
  <si>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</si>
  <si>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</si>
  <si>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</si>
  <si>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</si>
  <si>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</si>
  <si>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</si>
  <si>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</si>
  <si>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</si>
  <si>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</si>
  <si>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</si>
  <si>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</si>
  <si>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</si>
  <si>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</si>
  <si>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</si>
  <si>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</si>
  <si>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</si>
  <si>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</si>
  <si>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</si>
  <si>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</si>
  <si>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</si>
  <si>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</si>
  <si>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</si>
  <si>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</si>
  <si>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</si>
  <si>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</si>
  <si>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</si>
  <si>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</si>
  <si>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</si>
  <si>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</si>
  <si>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</si>
  <si>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</si>
  <si>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</si>
  <si>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</si>
  <si>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</si>
  <si>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</si>
  <si>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</si>
  <si>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</si>
  <si>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</si>
  <si>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</si>
  <si>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</si>
  <si>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</si>
  <si>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</si>
  <si>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</si>
  <si>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</si>
  <si>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</si>
  <si>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</si>
  <si>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</si>
  <si>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</si>
  <si>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</si>
  <si>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</si>
  <si>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</si>
  <si>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</si>
  <si>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</si>
  <si>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</si>
  <si>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</si>
  <si>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</si>
  <si>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</si>
  <si>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</si>
  <si>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</si>
  <si>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</si>
  <si>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</si>
  <si>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</si>
  <si>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</si>
  <si>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</si>
  <si>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</si>
  <si>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</si>
  <si>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</si>
  <si>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</si>
  <si>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</si>
  <si>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</si>
  <si>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</si>
  <si>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</si>
  <si>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</si>
  <si>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</si>
  <si>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</si>
  <si>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</si>
  <si>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</si>
  <si>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</si>
  <si>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</si>
  <si>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</si>
  <si>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</si>
  <si>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</si>
  <si>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</si>
  <si>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</si>
  <si>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</si>
  <si>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</si>
  <si>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</si>
  <si>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</si>
  <si>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</si>
  <si>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</si>
  <si>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</si>
  <si>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</si>
  <si>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</si>
  <si>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</si>
  <si>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</si>
  <si>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</si>
  <si>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</si>
  <si>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</si>
  <si>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</si>
  <si>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</si>
  <si>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</si>
  <si>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</si>
  <si>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</si>
  <si>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</si>
  <si>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</si>
  <si>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</si>
  <si>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</si>
  <si>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</si>
  <si>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</si>
  <si>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</si>
  <si>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</si>
  <si>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</si>
  <si>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</si>
  <si>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</si>
  <si>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</si>
  <si>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</si>
  <si>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</si>
  <si>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</si>
  <si>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</si>
  <si>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</si>
  <si>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</si>
  <si>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</si>
  <si>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</si>
  <si>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</si>
  <si>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</si>
  <si>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</si>
  <si>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</si>
  <si>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</si>
  <si>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</si>
  <si>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</si>
  <si>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</si>
  <si>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</si>
  <si>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</si>
  <si>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</si>
  <si>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</si>
  <si>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</si>
  <si>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</si>
  <si>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</si>
  <si>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</si>
  <si>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</si>
  <si>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</si>
  <si>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</si>
  <si>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</si>
  <si>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</si>
  <si>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</si>
  <si>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</si>
  <si>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</si>
  <si>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</si>
  <si>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</si>
  <si>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</si>
  <si>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</si>
  <si>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</si>
  <si>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</si>
  <si>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</si>
  <si>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</si>
  <si>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</si>
  <si>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</si>
  <si>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</si>
  <si>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</si>
  <si>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</si>
  <si>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</si>
  <si>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</si>
  <si>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</si>
  <si>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</si>
  <si>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</si>
  <si>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</si>
  <si>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</si>
  <si>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</si>
  <si>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</si>
  <si>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</si>
  <si>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</si>
  <si>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</si>
  <si>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</si>
  <si>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</si>
  <si>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</si>
  <si>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</si>
  <si>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</si>
  <si>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</si>
  <si>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</si>
  <si>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</si>
  <si>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</si>
  <si>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</si>
  <si>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</si>
  <si>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</si>
  <si>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</si>
  <si>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</si>
  <si>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</si>
  <si>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</si>
  <si>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</si>
  <si>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</si>
  <si>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</si>
  <si>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</si>
  <si>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</si>
  <si>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</si>
  <si>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</si>
  <si>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</si>
  <si>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</si>
  <si>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</si>
  <si>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</si>
  <si>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</si>
  <si>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</si>
  <si>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</si>
  <si>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</si>
  <si>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</si>
  <si>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</si>
  <si>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</si>
  <si>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</si>
  <si>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</si>
  <si>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</si>
  <si>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</si>
  <si>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</si>
  <si>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</si>
  <si>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</si>
  <si>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</si>
  <si>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</si>
  <si>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</si>
  <si>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</si>
  <si>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</si>
  <si>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</si>
  <si>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</si>
  <si>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</si>
  <si>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</si>
  <si>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</si>
  <si>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</si>
  <si>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</si>
  <si>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</si>
  <si>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</si>
  <si>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</si>
  <si>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</si>
  <si>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</si>
  <si>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</si>
  <si>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</si>
  <si>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</si>
  <si>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</si>
  <si>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</si>
  <si>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</si>
  <si>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</si>
  <si>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</si>
  <si>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</si>
  <si>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</si>
  <si>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</si>
  <si>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</si>
  <si>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</si>
  <si>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</si>
  <si>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</si>
  <si>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</si>
  <si>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</si>
  <si>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</si>
  <si>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</si>
  <si>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</si>
  <si>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</si>
  <si>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</si>
  <si>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</si>
  <si>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</si>
  <si>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</si>
  <si>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</si>
  <si>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</si>
  <si>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</si>
  <si>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</si>
  <si>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</si>
  <si>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</si>
  <si>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</si>
  <si>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</si>
  <si>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</si>
  <si>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</si>
  <si>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</si>
  <si>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</si>
  <si>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</si>
  <si>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</si>
  <si>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</si>
  <si>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</si>
  <si>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</si>
  <si>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</si>
  <si>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</si>
  <si>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</si>
  <si>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</si>
  <si>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</si>
  <si>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</si>
  <si>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</si>
  <si>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</si>
  <si>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</si>
  <si>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</si>
  <si>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</si>
  <si>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</si>
  <si>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</si>
  <si>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</si>
  <si>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</si>
  <si>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</si>
  <si>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</si>
  <si>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</si>
  <si>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</si>
  <si>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</si>
  <si>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</si>
  <si>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</si>
  <si>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</si>
  <si>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</si>
  <si>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</si>
  <si>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</si>
  <si>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</si>
  <si>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</si>
  <si>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</si>
  <si>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</si>
  <si>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</si>
  <si>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</si>
  <si>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</si>
  <si>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</si>
  <si>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</si>
  <si>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</si>
  <si>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</si>
  <si>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</si>
  <si>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</si>
  <si>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</si>
  <si>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</si>
  <si>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</si>
  <si>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</si>
  <si>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</si>
  <si>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</si>
  <si>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</si>
  <si>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</si>
  <si>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</si>
  <si>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</si>
  <si>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</si>
  <si>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</si>
  <si>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</si>
  <si>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</si>
  <si>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</si>
  <si>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</si>
  <si>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</si>
  <si>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</si>
  <si>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</si>
  <si>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</si>
  <si>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</si>
  <si>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</si>
  <si>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</si>
  <si>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</si>
  <si>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</si>
  <si>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</si>
  <si>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</si>
  <si>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</si>
  <si>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</si>
  <si>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</si>
  <si>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</si>
  <si>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</si>
  <si>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</si>
  <si>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</si>
  <si>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</si>
  <si>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</si>
  <si>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</si>
  <si>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</si>
  <si>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</si>
  <si>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</si>
  <si>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</si>
  <si>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</si>
  <si>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</si>
  <si>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</si>
  <si>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</si>
  <si>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</si>
  <si>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</si>
  <si>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</si>
  <si>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</si>
  <si>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</si>
  <si>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</si>
  <si>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</si>
  <si>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</si>
  <si>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</si>
  <si>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</si>
  <si>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</si>
  <si>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</si>
  <si>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</si>
  <si>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</si>
  <si>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</si>
  <si>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</si>
  <si>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</si>
  <si>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</si>
  <si>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</si>
  <si>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</si>
  <si>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</si>
  <si>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</si>
  <si>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</si>
  <si>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</si>
  <si>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</si>
  <si>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</si>
  <si>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</si>
  <si>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</si>
  <si>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</si>
  <si>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</si>
  <si>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</si>
  <si>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</si>
  <si>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</si>
  <si>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</si>
  <si>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</si>
  <si>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</si>
  <si>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</si>
  <si>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</si>
  <si>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</si>
  <si>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</si>
  <si>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</si>
  <si>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</si>
  <si>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</si>
  <si>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</si>
  <si>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</si>
  <si>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</si>
  <si>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</si>
  <si>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</si>
  <si>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</si>
  <si>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</si>
  <si>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</si>
  <si>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</si>
  <si>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</si>
  <si>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</si>
  <si>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</si>
  <si>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</si>
  <si>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</si>
  <si>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</si>
  <si>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</si>
  <si>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</si>
  <si>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</si>
  <si>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</si>
  <si>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</si>
  <si>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</si>
  <si>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</si>
  <si>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</si>
  <si>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</si>
  <si>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</si>
  <si>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</si>
  <si>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</si>
  <si>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</si>
  <si>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</si>
  <si>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</si>
  <si>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</si>
  <si>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</si>
  <si>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</si>
  <si>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</si>
  <si>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</si>
  <si>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</si>
  <si>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</si>
  <si>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</si>
  <si>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</si>
  <si>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</si>
  <si>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</si>
  <si>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</si>
  <si>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</si>
  <si>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</si>
  <si>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</si>
  <si>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</si>
  <si>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</si>
  <si>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</si>
  <si>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</si>
  <si>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</si>
  <si>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</si>
  <si>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</si>
  <si>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</si>
  <si>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</si>
  <si>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</si>
  <si>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</si>
  <si>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</si>
  <si>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</si>
  <si>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</si>
  <si>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</si>
  <si>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</si>
  <si>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</si>
  <si>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</si>
  <si>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</si>
  <si>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</si>
  <si>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</si>
  <si>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</si>
  <si>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</si>
  <si>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</si>
  <si>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</si>
  <si>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</si>
  <si>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</si>
  <si>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</si>
  <si>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</si>
  <si>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</si>
  <si>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</si>
  <si>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</si>
  <si>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</si>
  <si>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</si>
  <si>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</si>
  <si>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</si>
  <si>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</si>
  <si>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</si>
  <si>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</si>
  <si>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</si>
  <si>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</si>
  <si>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</si>
  <si>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</si>
  <si>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</si>
  <si>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</si>
  <si>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</si>
  <si>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</si>
  <si>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</si>
  <si>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</si>
  <si>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</si>
  <si>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</si>
  <si>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</si>
  <si>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</si>
  <si>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</si>
  <si>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</si>
  <si>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</si>
  <si>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</si>
  <si>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</si>
  <si>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</si>
  <si>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</si>
  <si>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</si>
  <si>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</si>
  <si>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</si>
  <si>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</si>
  <si>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</si>
  <si>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</si>
  <si>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</si>
  <si>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</si>
  <si>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</si>
  <si>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</si>
  <si>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</si>
  <si>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</si>
  <si>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</si>
  <si>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</si>
  <si>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</si>
  <si>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</si>
  <si>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</si>
  <si>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</si>
  <si>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</si>
  <si>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</si>
  <si>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</si>
  <si>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</si>
  <si>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</si>
  <si>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</si>
  <si>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</si>
  <si>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</si>
  <si>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</si>
  <si>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</si>
  <si>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</si>
  <si>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</si>
  <si>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</si>
  <si>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</si>
  <si>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</si>
  <si>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</si>
  <si>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</si>
  <si>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</si>
  <si>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</si>
  <si>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</si>
  <si>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</si>
  <si>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</si>
  <si>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</si>
  <si>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</si>
  <si>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</si>
  <si>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</si>
  <si>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</si>
  <si>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</si>
  <si>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</si>
  <si>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</si>
  <si>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</si>
  <si>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</si>
  <si>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</si>
  <si>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</si>
  <si>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</si>
  <si>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</si>
  <si>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</si>
  <si>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</si>
  <si>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</si>
  <si>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</si>
  <si>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</si>
  <si>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</si>
  <si>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</si>
  <si>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</si>
  <si>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</si>
  <si>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</si>
  <si>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</si>
  <si>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</si>
  <si>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</si>
  <si>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</si>
  <si>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</si>
  <si>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</si>
  <si>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</si>
  <si>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</si>
  <si>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</si>
  <si>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</si>
  <si>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</si>
  <si>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</si>
  <si>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</si>
  <si>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</si>
  <si>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</si>
  <si>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</si>
  <si>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</si>
  <si>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</si>
  <si>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</si>
  <si>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</si>
  <si>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</si>
  <si>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</si>
  <si>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</si>
  <si>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</si>
  <si>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</si>
  <si>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</si>
  <si>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</si>
  <si>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</si>
  <si>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</si>
  <si>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</si>
  <si>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</si>
  <si>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</si>
  <si>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</si>
  <si>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</si>
  <si>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</si>
  <si>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</si>
  <si>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</si>
  <si>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</si>
  <si>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</si>
  <si>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</si>
  <si>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</si>
  <si>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</si>
  <si>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</si>
  <si>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</si>
  <si>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</si>
  <si>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</si>
  <si>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</si>
  <si>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</si>
  <si>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</si>
  <si>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</si>
  <si>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</si>
  <si>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</si>
  <si>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</si>
  <si>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</si>
  <si>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</si>
  <si>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</si>
  <si>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</si>
  <si>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</si>
  <si>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</si>
  <si>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</si>
  <si>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</si>
  <si>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</si>
  <si>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</si>
  <si>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</si>
  <si>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</si>
  <si>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</si>
  <si>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</si>
  <si>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</si>
  <si>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</si>
  <si>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</si>
  <si>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</si>
  <si>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</si>
  <si>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</si>
  <si>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</si>
  <si>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</si>
  <si>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</si>
  <si>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</si>
  <si>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</si>
  <si>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</si>
  <si>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</si>
  <si>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</si>
  <si>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</si>
  <si>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</si>
  <si>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</si>
  <si>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</si>
  <si>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</si>
  <si>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</si>
  <si>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</si>
  <si>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</si>
  <si>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</si>
  <si>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</si>
  <si>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</si>
  <si>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</si>
  <si>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</si>
  <si>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</si>
  <si>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</si>
  <si>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</si>
  <si>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</si>
  <si>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</si>
  <si>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</si>
  <si>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</si>
  <si>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</si>
  <si>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</si>
  <si>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</si>
  <si>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</si>
  <si>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</si>
  <si>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</si>
  <si>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</si>
  <si>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</si>
  <si>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</si>
  <si>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</si>
  <si>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</si>
  <si>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</si>
  <si>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</si>
  <si>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</si>
  <si>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</si>
  <si>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</si>
  <si>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</si>
  <si>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</si>
  <si>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</si>
  <si>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</si>
  <si>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</si>
  <si>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</si>
  <si>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</si>
  <si>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</si>
  <si>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</si>
  <si>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</si>
  <si>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</si>
  <si>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</si>
  <si>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</si>
  <si>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</si>
  <si>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</si>
  <si>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</si>
  <si>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</si>
  <si>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</si>
  <si>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</si>
  <si>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</si>
  <si>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</si>
  <si>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</si>
  <si>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</si>
  <si>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</si>
  <si>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</si>
  <si>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</si>
  <si>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</si>
  <si>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</si>
  <si>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</si>
  <si>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</si>
  <si>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</si>
  <si>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</si>
  <si>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</si>
  <si>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</si>
  <si>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</si>
  <si>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</si>
  <si>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</si>
  <si>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</si>
  <si>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</si>
  <si>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</si>
  <si>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</si>
  <si>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</si>
  <si>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</si>
  <si>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</si>
  <si>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</si>
  <si>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</si>
  <si>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</si>
  <si>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</si>
  <si>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</si>
  <si>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</si>
  <si>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</si>
  <si>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</si>
  <si>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</si>
  <si>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</si>
  <si>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</si>
  <si>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</si>
  <si>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</si>
  <si>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</si>
  <si>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</si>
  <si>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</si>
  <si>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</si>
  <si>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</si>
  <si>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</si>
  <si>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</si>
  <si>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</si>
  <si>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</si>
  <si>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</si>
  <si>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</si>
  <si>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</si>
  <si>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</si>
  <si>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</si>
  <si>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</si>
  <si>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</si>
  <si>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</si>
  <si>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</si>
  <si>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</si>
  <si>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</si>
  <si>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</si>
  <si>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</si>
  <si>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</si>
  <si>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</si>
  <si>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</si>
  <si>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</si>
  <si>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</si>
  <si>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</si>
  <si>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</si>
  <si>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</si>
  <si>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</si>
  <si>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</si>
  <si>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</si>
  <si>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</si>
  <si>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</si>
  <si>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</si>
  <si>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</si>
  <si>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</si>
  <si>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</si>
  <si>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</si>
  <si>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</si>
  <si>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</si>
  <si>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</si>
  <si>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</si>
  <si>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</si>
  <si>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</si>
  <si>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</si>
  <si>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</si>
  <si>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</si>
  <si>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</si>
  <si>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</si>
  <si>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</si>
  <si>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</si>
  <si>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</si>
  <si>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</si>
  <si>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</si>
  <si>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</si>
  <si>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</si>
  <si>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</si>
  <si>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</si>
  <si>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</si>
  <si>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</si>
  <si>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</si>
  <si>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</si>
  <si>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</si>
  <si>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</si>
  <si>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</si>
  <si>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</si>
  <si>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</si>
  <si>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</si>
  <si>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</si>
  <si>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</si>
  <si>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</si>
  <si>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</si>
  <si>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</si>
  <si>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</si>
  <si>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</si>
  <si>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</si>
  <si>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</si>
  <si>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</si>
  <si>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</si>
  <si>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</si>
  <si>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</si>
  <si>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</si>
  <si>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</si>
  <si>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</si>
  <si>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</si>
  <si>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</si>
  <si>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</si>
  <si>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</si>
  <si>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</si>
  <si>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</si>
  <si>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</si>
  <si>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</si>
  <si>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</si>
  <si>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</si>
  <si>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</si>
  <si>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</si>
  <si>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</si>
  <si>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</si>
  <si>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</si>
  <si>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</si>
  <si>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</si>
  <si>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</si>
  <si>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</si>
  <si>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</si>
  <si>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</si>
  <si>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</si>
  <si>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</si>
  <si>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</si>
  <si>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</si>
  <si>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</si>
  <si>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</si>
  <si>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</si>
  <si>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</si>
  <si>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</si>
  <si>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</si>
  <si>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</si>
  <si>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</si>
  <si>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</si>
  <si>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</si>
  <si>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</si>
  <si>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</si>
  <si>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</si>
  <si>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</si>
  <si>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</si>
  <si>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</si>
  <si>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</si>
  <si>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</si>
  <si>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</si>
  <si>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</si>
  <si>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</si>
  <si>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</si>
  <si>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</si>
  <si>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</si>
  <si>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</si>
  <si>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</si>
  <si>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</si>
  <si>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</si>
  <si>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</si>
  <si>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</si>
  <si>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</si>
  <si>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</si>
  <si>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</si>
  <si>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</si>
  <si>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</si>
  <si>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</si>
  <si>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</si>
  <si>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</si>
  <si>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</si>
  <si>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</si>
  <si>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</si>
  <si>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</si>
  <si>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</si>
  <si>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</si>
  <si>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</si>
  <si>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</si>
  <si>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</si>
  <si>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</si>
  <si>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</si>
  <si>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</si>
  <si>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</si>
  <si>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</si>
  <si>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</si>
  <si>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</si>
  <si>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</si>
  <si>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</si>
  <si>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</si>
  <si>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</si>
  <si>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</si>
  <si>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</si>
  <si>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</si>
  <si>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</si>
  <si>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</si>
  <si>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</si>
  <si>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</si>
  <si>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</si>
  <si>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</si>
  <si>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</si>
  <si>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</si>
  <si>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</si>
  <si>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</si>
  <si>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</si>
  <si>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</si>
  <si>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</si>
  <si>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</si>
  <si>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</si>
  <si>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</si>
  <si>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</si>
  <si>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</si>
  <si>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</si>
  <si>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</si>
  <si>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</si>
  <si>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</si>
  <si>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</si>
  <si>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</si>
  <si>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</si>
  <si>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</si>
  <si>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</si>
  <si>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</si>
  <si>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</si>
  <si>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</si>
  <si>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</si>
  <si>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</si>
  <si>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</si>
  <si>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</si>
  <si>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</si>
  <si>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</si>
  <si>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</si>
  <si>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</si>
  <si>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</si>
  <si>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</si>
  <si>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</si>
  <si>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</si>
  <si>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</si>
  <si>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</si>
  <si>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</si>
  <si>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</si>
  <si>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</si>
  <si>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</si>
  <si>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</si>
  <si>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</si>
  <si>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</si>
  <si>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</si>
  <si>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</si>
  <si>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</si>
  <si>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</si>
  <si>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</si>
  <si>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</si>
  <si>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</si>
  <si>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</si>
  <si>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</si>
  <si>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</si>
  <si>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</si>
  <si>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</si>
  <si>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</si>
  <si>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</si>
  <si>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</si>
  <si>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</si>
  <si>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</si>
  <si>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</si>
  <si>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</si>
  <si>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</si>
  <si>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</si>
  <si>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</si>
  <si>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</si>
  <si>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</si>
  <si>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</si>
  <si>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</si>
  <si>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</si>
  <si>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</si>
  <si>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</si>
  <si>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</si>
  <si>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</si>
  <si>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</si>
  <si>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</si>
  <si>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</si>
  <si>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</si>
  <si>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</si>
  <si>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</si>
  <si>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</si>
  <si>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</si>
  <si>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</si>
  <si>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</si>
  <si>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</si>
  <si>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</si>
  <si>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</si>
  <si>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</si>
  <si>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</si>
  <si>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</si>
  <si>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</si>
  <si>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</si>
  <si>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</si>
  <si>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</si>
  <si>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</si>
  <si>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</si>
  <si>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</si>
  <si>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</si>
  <si>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</si>
  <si>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</si>
  <si>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</si>
  <si>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</si>
  <si>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</si>
  <si>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</si>
  <si>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</si>
  <si>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</si>
  <si>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</si>
  <si>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</si>
  <si>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</si>
  <si>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</si>
  <si>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</si>
  <si>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</si>
  <si>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</si>
  <si>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</si>
  <si>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</si>
  <si>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</si>
  <si>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</si>
  <si>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</si>
  <si>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</si>
  <si>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</si>
  <si>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</si>
  <si>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</si>
  <si>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</si>
  <si>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</si>
  <si>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</si>
  <si>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</si>
  <si>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</si>
  <si>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</si>
  <si>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</si>
  <si>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</si>
  <si>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</si>
  <si>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</si>
  <si>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</si>
  <si>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</si>
  <si>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</si>
  <si>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</si>
  <si>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</si>
  <si>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</si>
  <si>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</si>
  <si>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</si>
  <si>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</si>
  <si>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</si>
  <si>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</si>
  <si>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</si>
  <si>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</si>
  <si>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</si>
  <si>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</si>
  <si>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</si>
  <si>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</si>
  <si>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</si>
  <si>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</si>
  <si>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</si>
  <si>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</si>
  <si>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</si>
  <si>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</si>
  <si>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</si>
  <si>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</si>
  <si>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</si>
  <si>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</si>
  <si>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</si>
  <si>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</si>
  <si>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</si>
  <si>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</si>
  <si>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</si>
  <si>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</si>
  <si>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</si>
  <si>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</si>
  <si>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</si>
  <si>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</si>
  <si>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</si>
  <si>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</si>
  <si>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</si>
  <si>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</si>
  <si>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</si>
  <si>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</si>
  <si>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</si>
  <si>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</si>
  <si>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</si>
  <si>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</si>
  <si>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</si>
  <si>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</si>
  <si>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</si>
  <si>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</si>
  <si>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</si>
  <si>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</si>
  <si>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</si>
  <si>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</si>
  <si>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</si>
  <si>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</si>
  <si>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</si>
  <si>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</si>
  <si>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</si>
  <si>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</si>
  <si>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</si>
  <si>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</si>
  <si>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</si>
  <si>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</si>
  <si>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</si>
  <si>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</si>
  <si>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</si>
  <si>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</si>
  <si>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</si>
  <si>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</si>
  <si>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</si>
  <si>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</si>
  <si>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</si>
  <si>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</si>
  <si>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</si>
  <si>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</si>
  <si>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</si>
  <si>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</si>
  <si>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</si>
  <si>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</si>
  <si>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</si>
  <si>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</si>
  <si>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</si>
  <si>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</si>
  <si>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</si>
  <si>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</si>
  <si>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</si>
  <si>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</si>
  <si>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</si>
  <si>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</si>
  <si>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</si>
  <si>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</si>
  <si>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</si>
  <si>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</si>
  <si>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</si>
  <si>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</si>
  <si>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</si>
  <si>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</si>
  <si>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</si>
  <si>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</si>
  <si>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</si>
  <si>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</si>
  <si>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</si>
  <si>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</si>
  <si>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</si>
  <si>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</si>
  <si>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</si>
  <si>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</si>
  <si>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</si>
  <si>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</si>
  <si>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</si>
  <si>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</si>
  <si>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</si>
  <si>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</si>
  <si>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</si>
  <si>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</si>
  <si>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</si>
  <si>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</si>
  <si>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</si>
  <si>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</si>
  <si>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</si>
  <si>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</si>
  <si>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</si>
  <si>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</si>
  <si>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</si>
  <si>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</si>
  <si>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</si>
  <si>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</si>
  <si>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</si>
  <si>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</si>
  <si>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</si>
  <si>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</si>
  <si>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</si>
  <si>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</si>
  <si>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</si>
  <si>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</si>
  <si>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</si>
  <si>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</si>
  <si>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</si>
  <si>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</si>
  <si>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</si>
  <si>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</si>
  <si>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</si>
  <si>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</si>
  <si>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</si>
  <si>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</si>
  <si>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</si>
  <si>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</si>
  <si>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</si>
  <si>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</si>
  <si>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</si>
  <si>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</si>
  <si>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</si>
  <si>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</si>
  <si>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</si>
  <si>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</si>
  <si>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</si>
  <si>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</si>
  <si>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</si>
  <si>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</si>
  <si>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</si>
  <si>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</si>
  <si>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</si>
  <si>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</si>
  <si>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</si>
  <si>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</si>
  <si>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</si>
  <si>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</si>
  <si>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</si>
  <si>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</si>
  <si>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</si>
  <si>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</si>
  <si>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</si>
  <si>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</si>
  <si>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</si>
  <si>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</si>
  <si>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</si>
  <si>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</si>
  <si>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</si>
  <si>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</si>
  <si>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</si>
  <si>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</si>
  <si>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</si>
  <si>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</si>
  <si>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</si>
  <si>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</si>
  <si>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</si>
  <si>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</si>
  <si>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</si>
  <si>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</si>
  <si>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</si>
  <si>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</si>
  <si>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</si>
  <si>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</si>
  <si>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</si>
  <si>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</si>
  <si>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</si>
  <si>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</si>
  <si>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</si>
  <si>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</si>
  <si>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</si>
  <si>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</si>
  <si>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</si>
  <si>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</si>
  <si>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</si>
  <si>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</si>
  <si>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</si>
  <si>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</si>
  <si>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</si>
  <si>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</si>
  <si>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</si>
  <si>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</si>
  <si>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</si>
  <si>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</si>
  <si>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</si>
  <si>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</si>
  <si>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</si>
  <si>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</si>
  <si>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</si>
  <si>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</si>
  <si>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</si>
  <si>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</si>
  <si>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</si>
  <si>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</si>
  <si>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</si>
  <si>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</si>
  <si>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</si>
  <si>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</si>
  <si>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</si>
  <si>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</si>
  <si>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</si>
  <si>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</si>
  <si>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</si>
  <si>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</si>
  <si>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</si>
  <si>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</si>
  <si>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</si>
  <si>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</si>
  <si>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</si>
  <si>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</si>
  <si>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</si>
  <si>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</si>
  <si>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</si>
  <si>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</si>
  <si>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</si>
  <si>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</si>
  <si>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</si>
  <si>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</si>
  <si>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</si>
  <si>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</si>
  <si>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</si>
  <si>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</si>
  <si>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</si>
  <si>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</si>
  <si>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</si>
  <si>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</si>
  <si>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</si>
  <si>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</si>
  <si>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</si>
  <si>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</si>
  <si>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</si>
  <si>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</si>
  <si>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</si>
  <si>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</si>
  <si>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</si>
  <si>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</si>
  <si>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</si>
  <si>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</si>
  <si>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</si>
  <si>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</si>
  <si>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</si>
  <si>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</si>
  <si>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</si>
  <si>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</si>
  <si>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</si>
  <si>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</si>
  <si>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</si>
  <si>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</si>
  <si>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</si>
  <si>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</si>
  <si>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</si>
  <si>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</si>
  <si>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</si>
  <si>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</si>
  <si>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</si>
  <si>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</si>
  <si>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</si>
  <si>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</si>
  <si>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</si>
  <si>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</si>
  <si>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</si>
  <si>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</si>
  <si>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</si>
  <si>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</si>
  <si>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</si>
  <si>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</si>
  <si>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</si>
  <si>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</si>
  <si>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</si>
  <si>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</si>
  <si>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</si>
  <si>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</si>
  <si>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</si>
  <si>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</si>
  <si>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</si>
  <si>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</si>
  <si>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</si>
  <si>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</si>
  <si>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</si>
  <si>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</si>
  <si>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</si>
  <si>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</si>
  <si>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</si>
  <si>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</si>
  <si>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</si>
  <si>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</si>
  <si>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</si>
  <si>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</si>
  <si>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</si>
  <si>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</si>
  <si>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</si>
  <si>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</si>
  <si>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</si>
  <si>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</si>
  <si>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</si>
  <si>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</si>
  <si>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</si>
  <si>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</si>
  <si>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</si>
  <si>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</si>
  <si>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</si>
  <si>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</si>
  <si>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</si>
  <si>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</si>
  <si>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</si>
  <si>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</si>
  <si>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</si>
  <si>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</si>
  <si>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</si>
  <si>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</si>
  <si>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</si>
  <si>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</si>
  <si>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</si>
  <si>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</si>
  <si>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</si>
  <si>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</si>
  <si>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</si>
  <si>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</si>
  <si>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</si>
  <si>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</si>
  <si>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</si>
  <si>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</si>
  <si>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</si>
  <si>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</si>
  <si>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</si>
  <si>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</si>
  <si>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</si>
  <si>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</si>
  <si>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</si>
  <si>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</si>
  <si>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</si>
  <si>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</si>
  <si>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</si>
  <si>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</si>
  <si>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</si>
  <si>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</si>
  <si>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</si>
  <si>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</si>
  <si>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</si>
  <si>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</si>
  <si>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</si>
  <si>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</si>
  <si>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</si>
  <si>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</si>
  <si>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</si>
  <si>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</si>
  <si>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</si>
  <si>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</si>
  <si>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</si>
  <si>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</si>
  <si>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</si>
  <si>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</si>
  <si>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</si>
  <si>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</si>
  <si>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</si>
  <si>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</si>
  <si>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</si>
  <si>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</si>
  <si>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</si>
  <si>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</si>
  <si>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</si>
  <si>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</si>
  <si>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</si>
  <si>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</si>
  <si>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</si>
  <si>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</si>
  <si>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</si>
  <si>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</si>
  <si>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</si>
  <si>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</si>
  <si>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</si>
  <si>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</si>
  <si>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</si>
  <si>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</si>
  <si>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</si>
  <si>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</si>
  <si>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</si>
  <si>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</si>
  <si>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</si>
  <si>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</si>
  <si>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</si>
  <si>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</si>
  <si>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</si>
  <si>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</si>
  <si>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</si>
  <si>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</si>
  <si>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</si>
  <si>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</si>
  <si>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</si>
  <si>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</si>
  <si>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</si>
  <si>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</si>
  <si>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</si>
  <si>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</si>
  <si>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</si>
  <si>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</si>
  <si>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</si>
  <si>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</si>
  <si>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</si>
  <si>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</si>
  <si>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</si>
  <si>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</si>
  <si>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</si>
  <si>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</si>
  <si>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</si>
  <si>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</si>
  <si>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</si>
  <si>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</si>
  <si>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</si>
  <si>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</si>
  <si>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</si>
  <si>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</si>
  <si>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</si>
  <si>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</si>
  <si>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</si>
  <si>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</si>
  <si>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</si>
  <si>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</si>
  <si>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</si>
  <si>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</si>
  <si>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</si>
  <si>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</si>
  <si>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</si>
  <si>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</si>
  <si>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</si>
  <si>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</si>
  <si>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</si>
  <si>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</si>
  <si>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</si>
  <si>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</si>
  <si>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</si>
  <si>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</si>
  <si>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</si>
  <si>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</si>
  <si>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</si>
  <si>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</si>
  <si>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</si>
  <si>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</si>
  <si>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</si>
  <si>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</si>
  <si>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</si>
  <si>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</si>
  <si>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</si>
  <si>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</si>
  <si>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</si>
  <si>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</si>
  <si>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</si>
  <si>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</si>
  <si>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</si>
  <si>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</si>
  <si>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</si>
  <si>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</si>
  <si>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</si>
  <si>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</si>
  <si>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</si>
  <si>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</si>
  <si>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</si>
  <si>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</si>
  <si>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</si>
  <si>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</si>
  <si>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</si>
  <si>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</si>
  <si>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</si>
  <si>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</si>
  <si>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</si>
  <si>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</si>
  <si>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</si>
  <si>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</si>
  <si>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</si>
  <si>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</si>
  <si>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</si>
  <si>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</si>
  <si>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</si>
  <si>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</si>
  <si>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</si>
  <si>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</si>
  <si>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</si>
  <si>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</si>
  <si>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</si>
  <si>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</si>
  <si>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</si>
  <si>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</si>
  <si>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</si>
  <si>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</si>
  <si>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</si>
  <si>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</si>
  <si>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</si>
  <si>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</si>
  <si>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</si>
  <si>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</si>
  <si>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</si>
  <si>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</si>
  <si>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</si>
  <si>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</si>
  <si>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</si>
  <si>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</si>
  <si>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</si>
  <si>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</si>
  <si>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</si>
  <si>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</si>
  <si>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</si>
  <si>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</si>
  <si>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</si>
  <si>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</si>
  <si>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</si>
  <si>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</si>
  <si>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</si>
  <si>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</si>
  <si>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</si>
  <si>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</si>
  <si>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</si>
  <si>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</si>
  <si>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</si>
  <si>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</si>
  <si>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</si>
  <si>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</si>
  <si>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</si>
  <si>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</si>
  <si>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</si>
  <si>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</si>
  <si>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</si>
  <si>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</si>
  <si>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</si>
  <si>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</si>
  <si>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</si>
  <si>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</si>
  <si>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</si>
  <si>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</si>
  <si>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</si>
  <si>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</si>
  <si>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</si>
  <si>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</si>
  <si>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</si>
  <si>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</si>
  <si>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</si>
  <si>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</si>
  <si>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</si>
  <si>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</si>
  <si>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</si>
  <si>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</si>
  <si>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</si>
  <si>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</si>
  <si>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</si>
  <si>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</si>
  <si>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</si>
  <si>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</si>
  <si>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</si>
  <si>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</si>
  <si>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</si>
  <si>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</si>
  <si>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</si>
  <si>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</si>
  <si>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</si>
  <si>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</si>
  <si>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</si>
  <si>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</si>
  <si>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</si>
  <si>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</si>
  <si>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</si>
  <si>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</si>
  <si>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</si>
  <si>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</si>
  <si>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</si>
  <si>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</si>
  <si>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</si>
  <si>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</si>
  <si>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</si>
  <si>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</si>
  <si>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</si>
  <si>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</si>
  <si>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</si>
  <si>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</si>
  <si>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</si>
  <si>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</si>
  <si>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</si>
  <si>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</si>
  <si>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</si>
  <si>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</si>
  <si>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</si>
  <si>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</si>
  <si>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</si>
  <si>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</si>
  <si>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</si>
  <si>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</si>
  <si>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</si>
  <si>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</si>
  <si>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</si>
  <si>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</si>
  <si>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</si>
  <si>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</si>
  <si>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</si>
  <si>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</si>
  <si>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</si>
  <si>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</si>
  <si>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</si>
  <si>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</si>
  <si>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</si>
  <si>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</si>
  <si>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</si>
  <si>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</si>
  <si>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</si>
  <si>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</si>
  <si>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</si>
  <si>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</si>
  <si>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</si>
  <si>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</si>
  <si>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</si>
  <si>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</si>
  <si>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</si>
  <si>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</si>
  <si>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</si>
  <si>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</si>
  <si>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</si>
  <si>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</si>
  <si>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</si>
  <si>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</si>
  <si>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</si>
  <si>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</si>
  <si>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</si>
  <si>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</si>
  <si>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</si>
  <si>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</si>
  <si>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</si>
  <si>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</si>
  <si>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</si>
  <si>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</si>
  <si>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</si>
  <si>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</si>
  <si>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</si>
  <si>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</si>
  <si>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</si>
  <si>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</si>
  <si>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</si>
  <si>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</si>
  <si>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</si>
  <si>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</si>
  <si>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</si>
  <si>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</si>
  <si>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</si>
  <si>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</si>
  <si>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</si>
  <si>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</si>
  <si>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</si>
  <si>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</si>
  <si>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</si>
  <si>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</si>
  <si>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</si>
  <si>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</si>
  <si>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</si>
  <si>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</si>
  <si>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</si>
  <si>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</si>
  <si>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</si>
  <si>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</si>
  <si>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</si>
  <si>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</si>
  <si>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</si>
  <si>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</si>
  <si>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</si>
  <si>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</si>
  <si>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</si>
  <si>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</si>
  <si>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</si>
  <si>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</si>
  <si>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</si>
  <si>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</si>
  <si>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</si>
  <si>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</si>
  <si>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</si>
  <si>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</si>
  <si>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</si>
  <si>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</si>
  <si>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</si>
  <si>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</si>
  <si>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</si>
  <si>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</si>
  <si>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</si>
  <si>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</si>
  <si>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</si>
  <si>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</si>
  <si>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</si>
  <si>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</si>
  <si>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</si>
  <si>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</si>
  <si>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</si>
  <si>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</si>
  <si>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</si>
  <si>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</si>
  <si>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</si>
  <si>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</si>
  <si>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</si>
  <si>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</si>
  <si>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</si>
  <si>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</si>
  <si>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</si>
  <si>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</si>
  <si>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</si>
  <si>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</si>
  <si>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</si>
  <si>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</si>
  <si>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</si>
  <si>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</si>
  <si>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</si>
  <si>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</si>
  <si>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</si>
  <si>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</si>
  <si>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</si>
  <si>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</si>
  <si>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</si>
  <si>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</si>
  <si>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</si>
  <si>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</si>
  <si>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</si>
  <si>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</si>
  <si>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</si>
  <si>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</si>
  <si>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</si>
  <si>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</si>
  <si>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</si>
  <si>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</si>
  <si>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</si>
  <si>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</si>
  <si>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</si>
  <si>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</si>
  <si>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</si>
  <si>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</si>
  <si>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</si>
  <si>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</si>
  <si>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</si>
  <si>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</si>
  <si>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</si>
  <si>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</si>
  <si>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</si>
  <si>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</si>
  <si>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</si>
  <si>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</si>
  <si>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</si>
  <si>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</si>
  <si>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</si>
  <si>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</si>
  <si>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</si>
  <si>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</si>
  <si>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</si>
  <si>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</si>
  <si>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</si>
  <si>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</si>
  <si>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</si>
  <si>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</si>
  <si>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</si>
  <si>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</si>
  <si>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</si>
  <si>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</si>
  <si>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</si>
  <si>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</si>
  <si>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</si>
  <si>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</si>
  <si>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</si>
  <si>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</si>
  <si>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</si>
  <si>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</si>
  <si>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</si>
  <si>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</si>
  <si>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</si>
  <si>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</si>
  <si>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</si>
  <si>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</si>
  <si>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</si>
  <si>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</si>
  <si>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</si>
  <si>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</si>
  <si>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</si>
  <si>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</si>
  <si>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</si>
  <si>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</si>
  <si>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</si>
  <si>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</si>
  <si>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</si>
  <si>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</si>
  <si>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</si>
  <si>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</si>
  <si>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</si>
  <si>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</si>
  <si>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</si>
  <si>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</si>
  <si>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</si>
  <si>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</si>
  <si>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</si>
  <si>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</si>
  <si>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</si>
  <si>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</si>
  <si>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</si>
  <si>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</si>
  <si>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</si>
  <si>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</si>
  <si>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</si>
  <si>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</si>
  <si>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</si>
  <si>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</si>
  <si>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</si>
  <si>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</si>
  <si>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</si>
  <si>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</si>
  <si>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</si>
  <si>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</si>
  <si>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</si>
  <si>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</si>
  <si>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</si>
  <si>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</si>
  <si>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</si>
  <si>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</si>
  <si>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</si>
  <si>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</si>
  <si>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</si>
  <si>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</si>
  <si>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</si>
  <si>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</si>
  <si>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</si>
  <si>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</si>
  <si>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</si>
  <si>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</si>
  <si>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</si>
  <si>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</si>
  <si>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</si>
  <si>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</si>
  <si>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</si>
  <si>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</si>
  <si>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</si>
  <si>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</si>
  <si>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</si>
  <si>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</si>
  <si>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</si>
  <si>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</si>
  <si>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</si>
  <si>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</si>
  <si>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</si>
  <si>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</si>
  <si>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</si>
  <si>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</si>
  <si>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</si>
  <si>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</si>
  <si>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</si>
  <si>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</si>
  <si>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</si>
  <si>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</si>
  <si>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</si>
  <si>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</si>
  <si>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</si>
  <si>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</si>
  <si>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</si>
  <si>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</si>
  <si>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</si>
  <si>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</si>
  <si>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</si>
  <si>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</si>
  <si>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</si>
  <si>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</si>
  <si>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</si>
  <si>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</si>
  <si>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</si>
  <si>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</si>
  <si>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</si>
  <si>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</si>
  <si>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</si>
  <si>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</si>
  <si>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</si>
  <si>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</si>
  <si>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</si>
  <si>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</si>
  <si>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</si>
  <si>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</si>
  <si>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</si>
  <si>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</si>
  <si>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</si>
  <si>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</si>
  <si>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</si>
  <si>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</si>
  <si>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</si>
  <si>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</si>
  <si>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</si>
  <si>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</si>
  <si>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</si>
  <si>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</si>
  <si>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</si>
  <si>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</si>
  <si>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</si>
  <si>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</si>
  <si>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</si>
  <si>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</si>
  <si>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</si>
  <si>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</si>
  <si>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</si>
  <si>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</si>
  <si>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</si>
  <si>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</si>
  <si>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</si>
  <si>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</si>
  <si>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</si>
  <si>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</si>
  <si>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</si>
  <si>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</si>
  <si>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</si>
  <si>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</si>
  <si>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</si>
  <si>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</si>
  <si>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</si>
  <si>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</si>
  <si>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</si>
  <si>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</si>
  <si>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</si>
  <si>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</si>
  <si>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</si>
  <si>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</si>
  <si>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</si>
  <si>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</si>
  <si>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</si>
  <si>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</si>
  <si>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</si>
  <si>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</si>
  <si>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</si>
  <si>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</si>
  <si>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</si>
  <si>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</si>
  <si>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</si>
  <si>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</si>
  <si>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</si>
  <si>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</si>
  <si>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</si>
  <si>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</si>
  <si>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</si>
  <si>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</si>
  <si>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</si>
  <si>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</si>
  <si>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</si>
  <si>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</si>
  <si>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</si>
  <si>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</si>
  <si>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</si>
  <si>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</si>
  <si>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</si>
  <si>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</si>
  <si>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</si>
  <si>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</si>
  <si>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</si>
  <si>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</si>
  <si>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</si>
  <si>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</si>
  <si>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</si>
  <si>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</si>
  <si>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</si>
  <si>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</si>
  <si>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</si>
  <si>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</si>
  <si>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</si>
  <si>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</si>
  <si>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</si>
  <si>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</si>
  <si>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</si>
  <si>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</si>
  <si>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</si>
  <si>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</si>
  <si>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</si>
  <si>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</si>
  <si>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</si>
  <si>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</si>
  <si>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</si>
  <si>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</si>
  <si>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</si>
  <si>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</si>
  <si>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</si>
  <si>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</si>
  <si>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</si>
  <si>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</si>
  <si>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</si>
  <si>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</si>
  <si>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</si>
  <si>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</si>
  <si>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</si>
  <si>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</si>
  <si>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</si>
  <si>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</si>
  <si>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</si>
  <si>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</si>
  <si>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</si>
  <si>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</si>
  <si>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</si>
  <si>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</si>
  <si>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</si>
  <si>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</si>
  <si>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</si>
  <si>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</si>
  <si>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</si>
  <si>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</si>
  <si>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</si>
  <si>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</si>
  <si>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</si>
  <si>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</si>
  <si>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</si>
  <si>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</si>
  <si>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</si>
  <si>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</si>
  <si>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</si>
  <si>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</si>
  <si>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</si>
  <si>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</si>
  <si>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</si>
  <si>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</si>
  <si>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</si>
  <si>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</si>
  <si>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</si>
  <si>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</si>
  <si>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</si>
  <si>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</si>
  <si>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</si>
  <si>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</si>
  <si>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</si>
  <si>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</si>
  <si>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</si>
  <si>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</si>
  <si>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</si>
  <si>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</si>
  <si>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</si>
  <si>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</si>
  <si>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</si>
  <si>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</si>
  <si>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</si>
  <si>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</si>
  <si>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</si>
  <si>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</si>
  <si>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</si>
  <si>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</si>
  <si>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</si>
  <si>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</si>
  <si>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</si>
  <si>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</si>
  <si>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</si>
  <si>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</si>
  <si>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</si>
  <si>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</si>
  <si>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</si>
  <si>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</si>
  <si>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</si>
  <si>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</si>
  <si>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</si>
  <si>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</si>
  <si>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</si>
  <si>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</si>
  <si>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</si>
  <si>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</si>
  <si>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</si>
  <si>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</si>
  <si>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</si>
  <si>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</si>
  <si>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</si>
  <si>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</si>
  <si>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</si>
  <si>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</si>
  <si>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</si>
  <si>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</si>
  <si>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</si>
  <si>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</si>
  <si>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</si>
  <si>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</si>
  <si>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</si>
  <si>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</si>
  <si>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</si>
  <si>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</si>
  <si>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</si>
  <si>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</si>
  <si>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</si>
  <si>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</si>
  <si>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</si>
  <si>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</si>
  <si>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</si>
  <si>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</si>
  <si>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</si>
  <si>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</si>
  <si>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</si>
  <si>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</si>
  <si>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</si>
  <si>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</si>
  <si>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</si>
  <si>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</si>
  <si>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</si>
  <si>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</si>
  <si>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</si>
  <si>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</si>
  <si>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</si>
  <si>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</si>
  <si>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</si>
  <si>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</si>
  <si>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</si>
  <si>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</si>
  <si>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</si>
  <si>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</si>
  <si>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</si>
  <si>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</si>
  <si>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</si>
  <si>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</si>
  <si>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</si>
  <si>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</si>
  <si>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</si>
  <si>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</si>
  <si>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</si>
  <si>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</si>
  <si>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</si>
  <si>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</si>
  <si>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</si>
  <si>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</si>
  <si>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</si>
  <si>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</si>
  <si>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</si>
  <si>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</si>
  <si>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</si>
  <si>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</si>
  <si>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</si>
  <si>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</si>
  <si>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</si>
  <si>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</si>
  <si>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</si>
  <si>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</si>
  <si>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</si>
  <si>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</si>
  <si>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</si>
  <si>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</si>
  <si>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</si>
  <si>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</si>
  <si>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</si>
  <si>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</si>
  <si>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</si>
  <si>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</si>
  <si>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</si>
  <si>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</si>
  <si>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</si>
  <si>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</si>
  <si>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</si>
  <si>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</si>
  <si>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</si>
  <si>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</si>
  <si>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</si>
  <si>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</si>
  <si>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</si>
  <si>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</si>
  <si>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</si>
  <si>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</si>
  <si>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</si>
  <si>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</si>
  <si>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</si>
  <si>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</si>
  <si>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</si>
  <si>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</si>
  <si>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</si>
  <si>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</si>
  <si>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</si>
  <si>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</si>
  <si>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</si>
  <si>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</si>
  <si>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</si>
  <si>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</si>
  <si>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</si>
  <si>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</si>
  <si>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</si>
  <si>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</si>
  <si>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</si>
  <si>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</si>
  <si>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</si>
  <si>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</si>
  <si>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</si>
  <si>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</si>
  <si>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</si>
  <si>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</si>
  <si>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</si>
  <si>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</si>
  <si>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</si>
  <si>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</si>
  <si>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</si>
  <si>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</si>
  <si>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</si>
  <si>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</si>
  <si>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</si>
  <si>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</si>
  <si>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</si>
  <si>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</si>
  <si>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</si>
  <si>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</si>
  <si>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</si>
  <si>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</si>
  <si>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</si>
  <si>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</si>
  <si>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</si>
  <si>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</si>
  <si>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</si>
  <si>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</si>
  <si>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</si>
  <si>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</si>
  <si>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</si>
  <si>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</si>
  <si>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</si>
  <si>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</si>
  <si>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</si>
  <si>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</si>
  <si>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</si>
  <si>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</si>
  <si>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</si>
  <si>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</si>
  <si>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</si>
  <si>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</si>
  <si>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</si>
  <si>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</si>
  <si>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</si>
  <si>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</si>
  <si>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</si>
  <si>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</si>
  <si>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</si>
  <si>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</si>
  <si>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</si>
  <si>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</si>
  <si>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</si>
  <si>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</si>
  <si>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</si>
  <si>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</si>
  <si>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</si>
  <si>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</si>
  <si>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</si>
  <si>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</si>
  <si>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</si>
  <si>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</si>
  <si>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</si>
  <si>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</si>
  <si>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</si>
  <si>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</si>
  <si>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</si>
  <si>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</si>
  <si>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</si>
  <si>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</si>
  <si>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</si>
  <si>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</si>
  <si>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</si>
  <si>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</si>
  <si>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</si>
  <si>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</si>
  <si>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</si>
  <si>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</si>
  <si>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</si>
  <si>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</si>
  <si>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</si>
  <si>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</si>
  <si>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</si>
  <si>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</si>
  <si>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</si>
  <si>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</si>
  <si>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</si>
  <si>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</si>
  <si>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</si>
  <si>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</si>
  <si>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</si>
  <si>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</si>
  <si>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</si>
  <si>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</si>
  <si>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</si>
  <si>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</si>
  <si>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</si>
  <si>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</si>
  <si>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</si>
  <si>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</si>
  <si>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</si>
  <si>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</si>
  <si>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</si>
  <si>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</si>
  <si>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</si>
  <si>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</si>
  <si>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</si>
  <si>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</si>
  <si>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</si>
  <si>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</si>
  <si>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</si>
  <si>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</si>
  <si>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</si>
  <si>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</si>
  <si>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</si>
  <si>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</si>
  <si>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</si>
  <si>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</si>
  <si>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</si>
  <si>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</si>
  <si>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</si>
  <si>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</si>
  <si>
    <t>企业提供（在右侧录入）</t>
  </si>
  <si>
    <t>仅含出让金</t>
  </si>
  <si>
    <t>非个人房产</t>
  </si>
  <si>
    <t>招商银行</t>
    <phoneticPr fontId="6" type="noConversion"/>
  </si>
  <si>
    <t>郑燚</t>
  </si>
  <si>
    <t>崔锴</t>
  </si>
  <si>
    <t>Ⅵ-亦1</t>
  </si>
  <si>
    <t>情况4</t>
  </si>
  <si>
    <t>转让取得</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</si>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</sst>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255" fillId="7" borderId="5"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5" borderId="0" xfId="17" applyNumberFormat="1" applyFill="1"/>
    <xf numFmtId="14" fontId="257" fillId="0" borderId="0" xfId="17" applyNumberFormat="1"/>
    <xf numFmtId="0" fontId="257" fillId="7" borderId="0" xfId="17" applyFill="1"/>
    <xf numFmtId="14" fontId="257" fillId="7"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0852;&#30427;&#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1496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估价对象为北京市房地产，为所有。根据《国有土地使用证》[]，估价对象（分摊）出让国有建设用地使用权面积为7960.6平方米，建筑面积为5380.46平方米。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估价对象为北京市房地产,属开发建设的工业项目，该项目尚在开发建设中。根据《国有土地使用证》[]，估价对象（分摊）出让国有建设用地使用权面积为7960.6平方米，规划建筑面积为5380.46平方米。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为估价委托人在向招商银行办理贷款手续过程中，确定房地产抵押贷款额度提供参考依据而评估房地产抵押价值。</v>
      </c>
    </row>
    <row r="12" spans="1:2" s="1318" customFormat="1">
      <c r="A12" s="1316" t="s">
        <v>953</v>
      </c>
      <c r="B12" s="1317" t="str">
        <f>'预评函-1'!A15</f>
        <v>2022年9月16日</v>
      </c>
    </row>
    <row r="13" spans="1:2" s="1318" customFormat="1">
      <c r="A13" s="1316" t="s">
        <v>954</v>
      </c>
      <c r="B13" s="1317" t="str">
        <f>'预评函-1'!A18</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5003</v>
      </c>
    </row>
    <row r="21" spans="1:2" s="1318" customFormat="1">
      <c r="A21" s="1316" t="s">
        <v>962</v>
      </c>
      <c r="B21" s="1317">
        <f ca="1">'预评函-2'!D7</f>
        <v>9298</v>
      </c>
    </row>
    <row r="22" spans="1:2" s="1318" customFormat="1">
      <c r="A22" s="1316" t="s">
        <v>963</v>
      </c>
      <c r="B22" s="1317" t="str">
        <f ca="1">'预评函-2'!D6</f>
        <v>伍仟零叁万元整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5003</v>
      </c>
    </row>
    <row r="31" spans="1:2" s="1318" customFormat="1">
      <c r="A31" s="1316" t="s">
        <v>1001</v>
      </c>
      <c r="B31" s="1317">
        <f ca="1">'预评函-2'!D15</f>
        <v>9298</v>
      </c>
    </row>
    <row r="32" spans="1:2" s="1318" customFormat="1">
      <c r="A32" s="1316" t="s">
        <v>968</v>
      </c>
      <c r="B32" s="1317" t="str">
        <f ca="1">'预评函-2'!D14</f>
        <v>伍仟零叁万元整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4930</v>
      </c>
    </row>
    <row r="39" spans="1:2" s="1318" customFormat="1">
      <c r="A39" s="1316" t="s">
        <v>970</v>
      </c>
      <c r="B39" s="1317">
        <f ca="1">'预评函-2'!D21</f>
        <v>9163</v>
      </c>
    </row>
    <row r="40" spans="1:2" s="1318" customFormat="1">
      <c r="A40" s="1316" t="s">
        <v>971</v>
      </c>
      <c r="B40" s="1317" t="str">
        <f ca="1">'预评函-2'!D20</f>
        <v>肆仟玖佰叁拾万元整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5380.46</v>
      </c>
    </row>
    <row r="44" spans="1:2" s="1318" customFormat="1">
      <c r="A44" s="1316" t="s">
        <v>1000</v>
      </c>
      <c r="B44" s="1317" t="str">
        <f>'预评函-3'!C2</f>
        <v>(分摊)土地面积</v>
      </c>
    </row>
    <row r="45" spans="1:2" s="1318" customFormat="1">
      <c r="A45" s="1316" t="s">
        <v>972</v>
      </c>
      <c r="B45" s="1317">
        <f>'预评函-3'!C4</f>
        <v>7960.6</v>
      </c>
    </row>
    <row r="46" spans="1:2" s="1318" customFormat="1">
      <c r="A46" s="1316" t="s">
        <v>998</v>
      </c>
      <c r="B46" s="1317" t="str">
        <f>'预评函-3'!D2</f>
        <v>出让国有建设用地使用权价值</v>
      </c>
    </row>
    <row r="47" spans="1:2" s="1318" customFormat="1">
      <c r="A47" s="1316" t="s">
        <v>973</v>
      </c>
      <c r="B47" s="1317">
        <f ca="1">'预评函-3'!D4</f>
        <v>2301</v>
      </c>
    </row>
    <row r="48" spans="1:2" s="1318" customFormat="1">
      <c r="A48" s="1316" t="s">
        <v>974</v>
      </c>
      <c r="B48" s="1317">
        <f ca="1">'预评函-3'!E4</f>
        <v>4276</v>
      </c>
    </row>
    <row r="49" spans="1:2" s="1318" customFormat="1">
      <c r="A49" s="1316" t="s">
        <v>975</v>
      </c>
      <c r="B49" s="1317" t="str">
        <f ca="1">'预评函-3'!D5</f>
        <v>贰仟叁佰零壹万元整</v>
      </c>
    </row>
    <row r="50" spans="1:2" s="1318" customFormat="1">
      <c r="A50" s="1316" t="s">
        <v>999</v>
      </c>
      <c r="B50" s="1317" t="str">
        <f>'预评函-3'!F2</f>
        <v>在建建筑物价值</v>
      </c>
    </row>
    <row r="51" spans="1:2" s="1318" customFormat="1">
      <c r="A51" s="1316" t="s">
        <v>976</v>
      </c>
      <c r="B51" s="1317">
        <f ca="1">'预评函-3'!F4</f>
        <v>2702</v>
      </c>
    </row>
    <row r="52" spans="1:2" s="1318" customFormat="1">
      <c r="A52" s="1316" t="s">
        <v>977</v>
      </c>
      <c r="B52" s="1317">
        <f ca="1">'预评函-3'!G4</f>
        <v>5022</v>
      </c>
    </row>
    <row r="53" spans="1:2" s="1318" customFormat="1">
      <c r="A53" s="1316" t="s">
        <v>1005</v>
      </c>
      <c r="B53" s="1317" t="str">
        <f ca="1">'预评函-3'!F5</f>
        <v>贰仟柒佰零贰万元整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招商银行办理贷款手续。招商银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G38" sqref="G3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44820</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3290</v>
      </c>
      <c r="C4" s="2550">
        <f ca="1">SUMIF(注册房地产估价师,B4,估价师及机构信息!B3:B24)</f>
        <v>1120070131</v>
      </c>
      <c r="D4" s="2549" t="s">
        <v>3291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38" t="s">
        <v>3289</v>
      </c>
      <c r="C6" s="2558"/>
      <c r="D6" s="2559"/>
      <c r="E6" s="2838"/>
      <c r="F6" s="2840"/>
      <c r="G6" s="2840"/>
      <c r="H6" s="2840"/>
      <c r="I6" s="2840"/>
      <c r="J6" s="2614"/>
      <c r="K6" s="2790" t="str">
        <f>IF(COUNTIF(B6,"*上海银行*"),"上海银行","")</f>
        <v/>
      </c>
      <c r="L6" s="2788"/>
      <c r="M6" s="2788"/>
      <c r="N6" s="2614"/>
      <c r="O6" s="2625"/>
      <c r="P6" s="2614"/>
      <c r="Q6" s="2614"/>
      <c r="R6" s="2614"/>
    </row>
    <row r="7" spans="1:28">
      <c r="A7" s="2557"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3174</v>
      </c>
      <c r="C8" s="2563"/>
      <c r="D8" s="3285" t="s">
        <v>2677</v>
      </c>
      <c r="E8" s="2564" t="s">
        <v>3175</v>
      </c>
      <c r="F8" s="2565"/>
      <c r="G8" s="2839"/>
      <c r="H8" s="2839"/>
      <c r="I8" s="2839"/>
      <c r="J8" s="2614"/>
      <c r="K8" s="2789"/>
      <c r="L8" s="2788"/>
      <c r="M8" s="2788"/>
      <c r="N8" s="2614"/>
      <c r="O8" s="2625"/>
      <c r="P8" s="2614"/>
      <c r="Q8" s="2614"/>
      <c r="R8" s="2614"/>
    </row>
    <row r="9" spans="1:28" ht="13.5" thickBot="1">
      <c r="A9" s="2566" t="s">
        <v>2678</v>
      </c>
      <c r="B9" s="2567" t="s">
        <v>3175</v>
      </c>
      <c r="C9" s="2568"/>
      <c r="D9" s="3286"/>
      <c r="E9" s="2567" t="s">
        <v>1012</v>
      </c>
      <c r="F9" s="2569"/>
      <c r="G9" s="2841"/>
      <c r="H9" s="2841"/>
      <c r="I9" s="2841"/>
      <c r="J9" s="2614"/>
      <c r="K9" s="2791"/>
      <c r="L9" s="2788"/>
      <c r="M9" s="2788"/>
      <c r="N9" s="2614"/>
      <c r="O9" s="2625"/>
      <c r="P9" s="2614"/>
      <c r="Q9" s="2614"/>
      <c r="R9" s="2614"/>
    </row>
    <row r="10" spans="1:28" ht="13.5" thickTop="1">
      <c r="A10" s="2570" t="s">
        <v>2679</v>
      </c>
      <c r="B10" s="2571" t="s">
        <v>3176</v>
      </c>
      <c r="C10" s="2572"/>
      <c r="D10" s="2556"/>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4"/>
      <c r="F11" s="2544"/>
      <c r="G11" s="2544"/>
      <c r="H11" s="2544"/>
      <c r="I11" s="2544"/>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c r="G13" s="946"/>
      <c r="H13" s="946"/>
      <c r="I13" s="946">
        <v>54552</v>
      </c>
      <c r="J13" s="2614"/>
      <c r="K13" s="2791"/>
      <c r="L13" s="2788"/>
      <c r="M13" s="2788"/>
      <c r="N13" s="2614"/>
      <c r="O13" s="2625"/>
      <c r="P13" s="2614"/>
      <c r="Q13" s="2614"/>
      <c r="R13" s="2614"/>
    </row>
    <row r="14" spans="1:28">
      <c r="A14" s="1194"/>
      <c r="B14" s="2580"/>
      <c r="C14" s="2581" t="s">
        <v>2691</v>
      </c>
      <c r="D14" s="2582"/>
      <c r="E14" s="2582"/>
      <c r="F14" s="2582"/>
      <c r="G14" s="2582"/>
      <c r="H14" s="2582"/>
      <c r="I14" s="2582">
        <v>50</v>
      </c>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26.66</v>
      </c>
      <c r="J15" s="2614"/>
      <c r="K15" s="2793"/>
      <c r="L15" s="2626"/>
      <c r="M15" s="2626"/>
      <c r="N15" s="2684"/>
      <c r="O15" s="2626"/>
      <c r="P15" s="2684"/>
      <c r="Q15" s="2614"/>
      <c r="R15" s="2614"/>
    </row>
    <row r="16" spans="1:28">
      <c r="A16" s="2573" t="s">
        <v>2693</v>
      </c>
      <c r="B16" s="3292"/>
      <c r="C16" s="3293"/>
      <c r="D16" s="3294"/>
      <c r="E16" s="2588" t="s">
        <v>2694</v>
      </c>
      <c r="F16" s="3295"/>
      <c r="G16" s="3296"/>
      <c r="H16" s="3296"/>
      <c r="I16" s="3297"/>
      <c r="J16" s="2614"/>
      <c r="K16" s="2793"/>
      <c r="L16" s="2626"/>
      <c r="M16" s="2626"/>
      <c r="N16" s="2684"/>
      <c r="O16" s="2626"/>
      <c r="P16" s="2684"/>
      <c r="Q16" s="2614"/>
      <c r="R16" s="2614"/>
    </row>
    <row r="17" spans="1:28">
      <c r="A17" s="319" t="s">
        <v>2695</v>
      </c>
      <c r="B17" s="308" t="s">
        <v>2696</v>
      </c>
      <c r="C17" s="11">
        <f>'数据-汇总表'!E3</f>
        <v>5380.46</v>
      </c>
      <c r="D17" s="2496" t="s">
        <v>2697</v>
      </c>
      <c r="E17" s="3298" t="s">
        <v>2698</v>
      </c>
      <c r="F17" s="3299"/>
      <c r="G17" s="3299"/>
      <c r="H17" s="3299"/>
      <c r="I17" s="3300"/>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7960.6</v>
      </c>
      <c r="D18" s="1205" t="s">
        <v>2701</v>
      </c>
      <c r="E18" s="3301" t="s">
        <v>2702</v>
      </c>
      <c r="F18" s="3302"/>
      <c r="G18" s="3302"/>
      <c r="H18" s="3302"/>
      <c r="I18" s="3303"/>
      <c r="J18" s="2614"/>
      <c r="K18" s="2794"/>
      <c r="L18" s="2626"/>
      <c r="M18" s="2626"/>
      <c r="N18" s="2684"/>
      <c r="O18" s="2626"/>
      <c r="P18" s="2684"/>
      <c r="Q18" s="2614"/>
      <c r="R18" s="2614"/>
      <c r="S18" s="2614"/>
      <c r="T18" s="2614"/>
      <c r="U18" s="2614"/>
      <c r="V18" s="2614"/>
    </row>
    <row r="19" spans="1:28" ht="37.5" thickTop="1" thickBot="1">
      <c r="A19" s="333" t="s">
        <v>1500</v>
      </c>
      <c r="B19" s="313" t="s">
        <v>2703</v>
      </c>
      <c r="C19" s="1699" t="s">
        <v>3180</v>
      </c>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88" t="s">
        <v>2706</v>
      </c>
      <c r="C20" s="3289"/>
      <c r="D20" s="3290" t="s">
        <v>2707</v>
      </c>
      <c r="E20" s="3291"/>
      <c r="F20" s="2823" t="s">
        <v>1501</v>
      </c>
      <c r="G20" s="2840"/>
      <c r="H20" s="2840"/>
      <c r="I20" s="2840"/>
      <c r="J20" s="2614"/>
      <c r="K20" s="328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2709</v>
      </c>
      <c r="C21" s="2810" t="s">
        <v>1502</v>
      </c>
      <c r="D21" s="1704" t="s">
        <v>2710</v>
      </c>
      <c r="E21" s="2811" t="s">
        <v>1502</v>
      </c>
      <c r="F21" s="2824"/>
      <c r="G21" s="2840"/>
      <c r="H21" s="2840"/>
      <c r="I21" s="2840"/>
      <c r="J21" s="2614"/>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2711</v>
      </c>
      <c r="C22" s="2810" t="s">
        <v>1503</v>
      </c>
      <c r="D22" s="2839"/>
      <c r="E22" s="2839"/>
      <c r="F22" s="2839"/>
      <c r="G22" s="2840"/>
      <c r="H22" s="2840"/>
      <c r="I22" s="2840"/>
      <c r="J22" s="2614"/>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05" t="s">
        <v>2714</v>
      </c>
      <c r="B27" s="326" t="s">
        <v>2715</v>
      </c>
      <c r="C27" s="2591" t="s">
        <v>3181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5"/>
      <c r="B28" s="308" t="s">
        <v>2716</v>
      </c>
      <c r="C28" s="2593" t="s">
        <v>3182</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5"/>
      <c r="B29" s="308" t="s">
        <v>2717</v>
      </c>
      <c r="C29" s="2595" t="s">
        <v>3180</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06"/>
      <c r="B30" s="308" t="s">
        <v>2718</v>
      </c>
      <c r="C30" s="3307"/>
      <c r="D30" s="3308"/>
      <c r="E30" s="2840"/>
      <c r="F30" s="2840"/>
      <c r="G30" s="2840"/>
      <c r="H30" s="2840"/>
      <c r="I30" s="2840"/>
      <c r="J30" s="2614"/>
      <c r="K30" s="2791"/>
      <c r="L30" s="2788"/>
      <c r="M30" s="2788"/>
      <c r="N30" s="2614"/>
      <c r="O30" s="2625"/>
      <c r="P30" s="2614"/>
      <c r="Q30" s="2614"/>
      <c r="R30" s="2614"/>
      <c r="S30" s="2614"/>
      <c r="T30" s="2614"/>
      <c r="U30" s="2614"/>
      <c r="V30" s="2614"/>
    </row>
    <row r="31" spans="1:28">
      <c r="A31" s="3309" t="s">
        <v>2719</v>
      </c>
      <c r="B31" s="2597" t="s">
        <v>3183</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10"/>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10"/>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5" t="s">
        <v>3184</v>
      </c>
      <c r="C34" s="2165" t="s">
        <v>3185</v>
      </c>
      <c r="D34" s="2165" t="s">
        <v>3186</v>
      </c>
      <c r="E34" s="2165" t="s">
        <v>3187</v>
      </c>
      <c r="F34" s="2165" t="s">
        <v>3188</v>
      </c>
      <c r="G34" s="2165" t="s">
        <v>3189</v>
      </c>
      <c r="H34" s="2165"/>
      <c r="I34" s="2840"/>
      <c r="J34" s="2614"/>
      <c r="K34" s="2602">
        <f>COUNTIF(B34:H34,"——")</f>
        <v>0</v>
      </c>
      <c r="L34" s="329" t="s">
        <v>2721</v>
      </c>
      <c r="M34" s="329" t="s">
        <v>2722</v>
      </c>
      <c r="N34" s="329" t="s">
        <v>2723</v>
      </c>
      <c r="O34" s="329" t="s">
        <v>2724</v>
      </c>
      <c r="P34" s="329" t="s">
        <v>2725</v>
      </c>
      <c r="Q34" s="329" t="s">
        <v>2726</v>
      </c>
      <c r="R34" s="329" t="s">
        <v>2727</v>
      </c>
      <c r="S34" s="3304" t="s">
        <v>2728</v>
      </c>
      <c r="T34" s="2603" t="str">
        <f>NUMBERSTRING(7-K34,1)&amp;"通"</f>
        <v>七通</v>
      </c>
      <c r="U34" s="2614"/>
      <c r="V34" s="2614"/>
    </row>
    <row r="35" spans="1:30">
      <c r="A35" s="2604"/>
      <c r="B35" s="3311" t="s">
        <v>2729</v>
      </c>
      <c r="C35" s="3311"/>
      <c r="D35" s="3311"/>
      <c r="E35" s="3311"/>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04"/>
      <c r="T35" s="335" t="str">
        <f>IF(T34="一通",L35,IF(T34="二通",M35,IF(T34="三通",N35,IF(T34="四通",O35,IF(T34="五通",P35,IF(T34="六通",Q35,R35))))))</f>
        <v>通路、通电、通讯、通上水、通下水、平整、</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t="s">
        <v>56</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t="s">
        <v>3292</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2733</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7960.6</v>
      </c>
      <c r="B3" s="14">
        <f>IF(C3="否",G5-AT5,G5)</f>
        <v>5380.46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5380.46</v>
      </c>
      <c r="H5" s="16">
        <f t="shared" ref="H5:AT5" si="0">SUM(H13:H656)</f>
        <v>5380.46</v>
      </c>
      <c r="I5" s="16">
        <f t="shared" si="0"/>
        <v>5380.46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5380.46</v>
      </c>
      <c r="BA5" s="18">
        <f t="shared" si="1"/>
        <v>5380.46</v>
      </c>
      <c r="BB5" s="18">
        <f t="shared" si="1"/>
        <v>5380.46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7960.6</v>
      </c>
      <c r="F6" s="16" t="s">
        <v>1</v>
      </c>
      <c r="G6" s="16" t="s">
        <v>2</v>
      </c>
      <c r="H6" s="20">
        <f>SUMIF(I$12:AB$12,"总值",I6:AB6)</f>
        <v>7960.6</v>
      </c>
      <c r="I6" s="16">
        <f t="shared" ref="I6:AB6" si="2">ROUND($A$3*I5/$B$3,2)</f>
        <v>7960.6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7960.6</v>
      </c>
      <c r="AZ6" s="16" t="s">
        <v>3</v>
      </c>
      <c r="BA6" s="16">
        <f>ROUND($AY$6*BA5/$AZ$5,2)</f>
        <v>7960.6</v>
      </c>
      <c r="BB6" s="16">
        <f>ROUND($AY$6*BB5/$AZ$5,2)</f>
        <v>7960.6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3191</v>
      </c>
      <c r="L9" s="899"/>
      <c r="M9" s="1739" t="s">
        <v>3190</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t="s">
        <v>3281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3179</v>
      </c>
      <c r="E13" s="16">
        <f>IF($C$3="是",ROUND($A$3*G13/$B$3,2),ROUND($A$3*(G13-AT13)/$B$3,2))</f>
        <v>7960.6</v>
      </c>
      <c r="F13" s="32"/>
      <c r="G13" s="33">
        <f>H13+AC13+AT13</f>
        <v>5380.46</v>
      </c>
      <c r="H13" s="20">
        <f>SUMIF(I$12:AB$12,"总值",I13:AB13)</f>
        <v>5380.46</v>
      </c>
      <c r="I13" s="1762">
        <v>5380.46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7960.6</v>
      </c>
      <c r="AZ13" s="16">
        <f>BA13+BL13</f>
        <v>5380.46</v>
      </c>
      <c r="BA13" s="16">
        <f>SUM(BB13:BK13)</f>
        <v>5380.46</v>
      </c>
      <c r="BB13" s="16">
        <f>IF($D13="是",I13-J13,0)</f>
        <v>5380.46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t="s">
        <v>3179</v>
      </c>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t="s">
        <v>3179</v>
      </c>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5"/>
      <c r="G2" s="2826"/>
      <c r="H2" s="2827"/>
      <c r="I2" s="2499" t="s">
        <v>1577</v>
      </c>
      <c r="J2" s="2835"/>
      <c r="K2" s="2835"/>
      <c r="L2" s="2835"/>
      <c r="M2" s="2835"/>
      <c r="N2" s="2837"/>
      <c r="O2" s="2835"/>
      <c r="P2" s="2835"/>
    </row>
    <row r="3" spans="1:16" ht="15.75" thickBot="1">
      <c r="A3" s="3324" t="s">
        <v>1550</v>
      </c>
      <c r="B3" s="3324"/>
      <c r="C3" s="3324"/>
      <c r="D3" s="46">
        <f>'数据-基础表'!AY6</f>
        <v>7960.6</v>
      </c>
      <c r="E3" s="46">
        <f>'数据-基础表'!AZ5</f>
        <v>5380.46</v>
      </c>
      <c r="F3" s="2835"/>
      <c r="G3" s="1260"/>
      <c r="H3" s="1138" t="s">
        <v>1551</v>
      </c>
      <c r="I3" s="945">
        <f>ROUND('数据-基础表'!B3/'数据-基础表'!A3,2)</f>
        <v>0.68</v>
      </c>
      <c r="J3" s="2835"/>
      <c r="K3" s="2835"/>
      <c r="L3" s="2835"/>
      <c r="M3" s="2835"/>
      <c r="N3" s="2837"/>
      <c r="O3" s="2835"/>
      <c r="P3" s="2835"/>
    </row>
    <row r="4" spans="1:16" ht="15">
      <c r="A4" s="3325"/>
      <c r="B4" s="3326"/>
      <c r="C4" s="3327"/>
      <c r="D4" s="1777" t="s">
        <v>1552</v>
      </c>
      <c r="E4" s="1778" t="s">
        <v>1553</v>
      </c>
      <c r="F4" s="2835"/>
      <c r="G4" s="2828" t="s">
        <v>1578</v>
      </c>
      <c r="H4" s="1138" t="s">
        <v>1558</v>
      </c>
      <c r="I4" s="945">
        <f>ROUND(SUMIF('数据-基础表'!I9:AS9,"地上",'数据-基础表'!I5:AS5)/'数据-基础表'!A3,2)</f>
        <v>0.68</v>
      </c>
      <c r="J4" s="2835"/>
      <c r="K4" s="2835"/>
      <c r="L4" s="2835"/>
      <c r="M4" s="2835"/>
      <c r="N4" s="2837"/>
      <c r="O4" s="2835"/>
      <c r="P4" s="2835"/>
    </row>
    <row r="5" spans="1:16">
      <c r="A5" s="47" t="s">
        <v>1554</v>
      </c>
      <c r="B5" s="3328" t="s">
        <v>1555</v>
      </c>
      <c r="C5" s="3328"/>
      <c r="D5" s="48">
        <f>ROUND($D$3*E5/$E$3,2)</f>
        <v>0</v>
      </c>
      <c r="E5" s="49">
        <f>SUMIF('数据-基础表'!$11:$11,"住宅",'数据-基础表'!$5:$5)</f>
        <v>0</v>
      </c>
      <c r="F5" s="2835"/>
      <c r="G5" s="1260"/>
      <c r="H5" s="1138" t="s">
        <v>1551</v>
      </c>
      <c r="I5" s="945">
        <f>ROUND(E31/D31,2)</f>
        <v>0.68</v>
      </c>
      <c r="J5" s="2835"/>
      <c r="K5" s="2835"/>
      <c r="L5" s="2835"/>
      <c r="M5" s="2835"/>
      <c r="N5" s="2835"/>
      <c r="O5" s="2835"/>
      <c r="P5" s="2835"/>
    </row>
    <row r="6" spans="1:16" ht="15" thickBot="1">
      <c r="A6" s="1780"/>
      <c r="B6" s="3328" t="s">
        <v>1556</v>
      </c>
      <c r="C6" s="3328"/>
      <c r="D6" s="48">
        <f>ROUND($D$3*E6/$E$3,2)</f>
        <v>7960.6</v>
      </c>
      <c r="E6" s="49">
        <f>E3-E5</f>
        <v>5380.46</v>
      </c>
      <c r="F6" s="2835"/>
      <c r="G6" s="2829" t="s">
        <v>1557</v>
      </c>
      <c r="H6" s="1261" t="s">
        <v>1558</v>
      </c>
      <c r="I6" s="2830">
        <f>ROUND(F31/D31,2)</f>
        <v>0.68</v>
      </c>
      <c r="J6" s="2835"/>
      <c r="K6" s="2835"/>
      <c r="L6" s="2835"/>
      <c r="M6" s="2835"/>
      <c r="N6" s="2835"/>
      <c r="O6" s="2835"/>
      <c r="P6" s="2835"/>
    </row>
    <row r="7" spans="1:16" ht="15.75" thickBot="1">
      <c r="A7" s="3320"/>
      <c r="B7" s="3321"/>
      <c r="C7" s="3322"/>
      <c r="D7" s="1777" t="s">
        <v>1552</v>
      </c>
      <c r="E7" s="1781" t="s">
        <v>1559</v>
      </c>
      <c r="F7" s="2835"/>
      <c r="G7" s="2831" t="s">
        <v>1560</v>
      </c>
      <c r="H7" s="2832"/>
      <c r="I7" s="2833">
        <f>I6</f>
        <v>0.68</v>
      </c>
      <c r="J7" s="2835"/>
      <c r="K7" s="2835"/>
      <c r="L7" s="2835"/>
      <c r="M7" s="2835"/>
      <c r="N7" s="2835"/>
      <c r="O7" s="2835"/>
      <c r="P7" s="2835"/>
    </row>
    <row r="8" spans="1:16">
      <c r="A8" s="47" t="s">
        <v>1561</v>
      </c>
      <c r="B8" s="50" t="s">
        <v>1562</v>
      </c>
      <c r="C8" s="48" t="s">
        <v>1563</v>
      </c>
      <c r="D8" s="48">
        <f t="shared" ref="D8:D15" si="0">ROUND($D$3*E8/$E$3,2)</f>
        <v>7960.6</v>
      </c>
      <c r="E8" s="51">
        <f>SUMIF('数据-基础表'!BB10:BK10,"地上",'数据-基础表'!BB5:BK5)</f>
        <v>5380.46</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7960.6</v>
      </c>
      <c r="E16" s="53">
        <f>SUM(E8:E15)</f>
        <v>5380.46</v>
      </c>
      <c r="F16" s="2835"/>
      <c r="G16" s="2836"/>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3192</v>
      </c>
      <c r="D19" s="48">
        <f>ROUND($D$3*E19/$E$3,2)</f>
        <v>7960.6</v>
      </c>
      <c r="E19" s="56">
        <f t="shared" ref="E19:E26" si="1">SUM(F19:G19)</f>
        <v>5380.46</v>
      </c>
      <c r="F19" s="2975">
        <f>'数据-基础表'!I5+'数据-基础表'!M15</f>
        <v>5380.46</v>
      </c>
      <c r="G19" s="2976">
        <f>'数据-基础表'!K5</f>
        <v>0</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7960.6</v>
      </c>
      <c r="S19" s="1139">
        <f t="shared" si="5"/>
        <v>5380.46</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7960.6</v>
      </c>
      <c r="E27" s="1256">
        <f>IF(SUM(E19:E26)='数据-基础表'!BA5,SUM(E19:E26),IF(F27="地上面积有误","面积有误","地下面积有误"))</f>
        <v>5380.46</v>
      </c>
      <c r="F27" s="1255">
        <f>IF(SUM(F19:F26)=E8,SUM(F19:F26),"地上面积有误")</f>
        <v>5380.46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7960.6</v>
      </c>
      <c r="S27" s="1138">
        <f>IF(SUM(S19:S26)=$E$3,SUM(S19:S26),SUM(S19:S26)&amp;"误差"&amp;ROUND(SUM(S19:S26)-E3,2))</f>
        <v>5380.46</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7960.6</v>
      </c>
      <c r="E31" s="685">
        <f>E27+E30</f>
        <v>5380.46</v>
      </c>
      <c r="F31" s="686">
        <f>F27+F30</f>
        <v>5380.46</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44820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54552</v>
      </c>
      <c r="F6" s="68">
        <f>SUMIF(项目基本情况!D$12:I$12,C6,项目基本情况!D$15:I$15)</f>
        <v>26.66</v>
      </c>
      <c r="G6" s="69">
        <f>IF(ISERROR(ROUND(POWER(1+H6,D6-F6)*(POWER(1+H6,F6)-1)/(POWER(1+H6,D6)-1),3)),0,ROUND(POWER(1+H6,D6-F6)*(POWER(1+H6,F6)-1)/(POWER(1+H6,D6)-1),3))</f>
        <v>0.77700000000000002</v>
      </c>
      <c r="H6" s="741">
        <v>4.4999999999999998E-2</v>
      </c>
      <c r="I6" s="741">
        <v>0.05</v>
      </c>
      <c r="J6" s="70">
        <v>7.4999999999999997E-2</v>
      </c>
      <c r="K6" s="1142">
        <f>SUMIF('数据-汇总表'!C$19:C$33,A6,'数据-汇总表'!E$19:E$33)</f>
        <v>5380.46</v>
      </c>
      <c r="L6" s="3237">
        <v>4500</v>
      </c>
      <c r="M6" s="71">
        <f t="shared" ref="M6:M14" si="0">ROUND(K6*L6/10000,0)</f>
        <v>2421</v>
      </c>
      <c r="N6" s="740">
        <f>ROUND((N19+N20)/2,2)</f>
        <v>0.76</v>
      </c>
      <c r="O6" s="71" t="str">
        <f>IF($N$5="成新度","——",ROUND(M6*N6,0))</f>
        <v>——</v>
      </c>
      <c r="P6" s="72" t="str">
        <f>IF($N$5="成新度","——",M6-O6)</f>
        <v>——</v>
      </c>
      <c r="Q6" s="743">
        <v>0.1</v>
      </c>
      <c r="R6" s="73">
        <f ca="1">SUMIF('数据-汇总表'!C$19:C$33,A6,'数据-汇总表'!R$19:R$27)</f>
        <v>7960.6</v>
      </c>
      <c r="S6" s="54">
        <f>IF('数据-汇总表'!$I$17="按面积比例",SUMIF('数据-汇总表'!C$19:C$33,A6,'数据-汇总表'!K$19:K$33),SUMIF('数据-汇总表'!C$19:C$33,A6,'数据-汇总表'!N$19:N$33))</f>
        <v>0</v>
      </c>
      <c r="T6" s="1287">
        <f>ROUND($L$14*S6/10000,0)</f>
        <v>0</v>
      </c>
      <c r="U6" s="74">
        <v>2.2000000000000002</v>
      </c>
      <c r="V6" s="75">
        <v>2.5000000000000001E-2</v>
      </c>
      <c r="W6" s="75">
        <v>0.1</v>
      </c>
      <c r="X6" s="1152"/>
      <c r="Y6" s="76">
        <f>N6</f>
        <v>0.76</v>
      </c>
      <c r="Z6" s="77"/>
      <c r="AA6" s="70"/>
      <c r="AB6" s="70"/>
      <c r="AC6" s="1152"/>
      <c r="AD6" s="78"/>
      <c r="AE6" s="1153">
        <f ca="1">IF(AN6="",0,SUMIF(INDIRECT("'"&amp;AN6&amp;"'"&amp;"!E:E"),$AE$5,INDIRECT("'"&amp;AN6&amp;"'"&amp;"!F:F")))</f>
        <v>26.66</v>
      </c>
      <c r="AF6" s="1483"/>
      <c r="AG6" s="143">
        <f>IF(AF6="",0,AE6-AF6)</f>
        <v>0</v>
      </c>
      <c r="AH6" s="79">
        <f>'数据-基础表'!I13+'数据-基础表'!I14</f>
        <v>5380.46</v>
      </c>
      <c r="AI6" s="81">
        <v>365</v>
      </c>
      <c r="AJ6" s="82"/>
      <c r="AK6" s="83">
        <v>0.01</v>
      </c>
      <c r="AL6" s="84">
        <v>1.5E-3</v>
      </c>
      <c r="AM6" s="85">
        <v>0.01</v>
      </c>
      <c r="AN6" s="1852" t="s">
        <v>3194</v>
      </c>
      <c r="AO6" s="55">
        <f ca="1">SUMIF(INDIRECT("'"&amp;AN6&amp;"'"&amp;"!A:A"),"总价",INDIRECT("'"&amp;AN6&amp;"'"&amp;"!B:B"))</f>
        <v>5328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0.77700000000000002</v>
      </c>
      <c r="H16" s="95">
        <f>ROUND(SUMPRODUCT(H6:H13,K6:K13)/SUMPRODUCT((H6:H13&gt;0)*(K6:K13)),3)</f>
        <v>4.4999999999999998E-2</v>
      </c>
      <c r="I16" s="96"/>
      <c r="J16" s="96"/>
      <c r="K16" s="97">
        <f>SUM(K6:K15)</f>
        <v>5380.46</v>
      </c>
      <c r="L16" s="98">
        <f>ROUND(M16*10000/SUM(K6:K14),0)</f>
        <v>4500</v>
      </c>
      <c r="M16" s="98">
        <f>SUM(M6:M14)</f>
        <v>2421</v>
      </c>
      <c r="N16" s="99">
        <f>ROUND(SUMPRODUCT(M6:M14,N6:N14)/M16,3)</f>
        <v>0.76</v>
      </c>
      <c r="O16" s="98">
        <f>SUM(O6:O14)</f>
        <v>0</v>
      </c>
      <c r="P16" s="98">
        <f>SUM(P6:P14)</f>
        <v>0</v>
      </c>
      <c r="Q16" s="100">
        <f>ROUND(SUMPRODUCT(Q6:Q13,K6:K13)/SUMPRODUCT((Q6:Q13&gt;0)*(K6:K13)),2)</f>
        <v>0.1</v>
      </c>
      <c r="R16" s="1146">
        <f ca="1">SUM(R6:R13)</f>
        <v>7960.6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c r="C19" s="2979" t="s">
        <v>2805</v>
      </c>
      <c r="D19" s="2854"/>
      <c r="E19" s="2851"/>
      <c r="F19" s="2851"/>
      <c r="G19" s="2851"/>
      <c r="H19" s="2851"/>
      <c r="I19" s="2851"/>
      <c r="J19" s="3236" t="s">
        <v>3283</v>
      </c>
      <c r="K19" s="2850">
        <v>141269209</v>
      </c>
      <c r="L19" s="2850">
        <f>K19/'数据-汇总表'!E3</f>
        <v>26255.972351806351</v>
      </c>
      <c r="M19" s="2849"/>
      <c r="N19" s="2849">
        <f>ROUND(1-(1-0%)*(2022-2002)/60,2)</f>
        <v>0.67</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2803</v>
      </c>
      <c r="D20" s="2854"/>
      <c r="E20" s="2851"/>
      <c r="F20" s="2851"/>
      <c r="G20" s="2851"/>
      <c r="H20" s="2851"/>
      <c r="I20" s="2851"/>
      <c r="J20" s="2851"/>
      <c r="K20" s="2850"/>
      <c r="L20" s="2850"/>
      <c r="M20" s="2849"/>
      <c r="N20" s="3235">
        <v>0.85</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f>'数据-基础表'!M15</f>
        <v>0</v>
      </c>
      <c r="L21" s="2850">
        <v>2300</v>
      </c>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f>'数据-基础表'!I13+'数据-基础表'!I14</f>
        <v>5380.46</v>
      </c>
      <c r="L22" s="2850">
        <v>5000</v>
      </c>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f>'数据-汇总表'!G19</f>
        <v>0</v>
      </c>
      <c r="L23" s="2850">
        <v>3000</v>
      </c>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f>SUM(K21:K23)</f>
        <v>5380.46</v>
      </c>
      <c r="L24" s="2850">
        <f>(L21*K21+K22*L22+K23*L23)/K6</f>
        <v>5000</v>
      </c>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108</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3195</v>
      </c>
      <c r="B40" s="1191">
        <v>4.1500000000000002E-2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522</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9" t="s">
        <v>2786</v>
      </c>
      <c r="B1" s="3330"/>
      <c r="C1" s="3330"/>
      <c r="D1" s="3330"/>
      <c r="E1" s="3330"/>
      <c r="F1" s="3330"/>
      <c r="G1" s="333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8"/>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3" sqref="O3"/>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5380.46</v>
      </c>
      <c r="C1" s="2864"/>
      <c r="D1" s="2864"/>
      <c r="E1" s="2864"/>
      <c r="F1" s="2864"/>
      <c r="G1" s="2865"/>
      <c r="H1" s="2866"/>
      <c r="I1" s="2866"/>
      <c r="J1" s="2866"/>
      <c r="K1" s="2866"/>
    </row>
    <row r="2" spans="1:11" ht="16.5">
      <c r="A2" s="2687" t="s">
        <v>1078</v>
      </c>
      <c r="B2" s="2687">
        <f>SUM(C14:C23)</f>
        <v>7960.6</v>
      </c>
      <c r="C2" s="2864"/>
      <c r="D2" s="2864"/>
      <c r="E2" s="2864"/>
      <c r="F2" s="2864"/>
      <c r="G2" s="2865"/>
      <c r="H2" s="2866"/>
      <c r="I2" s="2866"/>
      <c r="J2" s="2866"/>
      <c r="K2" s="2866"/>
    </row>
    <row r="3" spans="1:11" ht="16.5">
      <c r="A3" s="2687" t="s">
        <v>1087</v>
      </c>
      <c r="B3" s="2689">
        <f>项目基本情况!D3</f>
        <v>44820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5003</v>
      </c>
      <c r="C5" s="2687">
        <f ca="1">ROUND(B5*10000/$B$1,0)</f>
        <v>9298</v>
      </c>
      <c r="D5" s="2687">
        <f ca="1">ROUND(B5*10000/$B$2,0)</f>
        <v>6285</v>
      </c>
      <c r="E5" s="2864"/>
      <c r="F5" s="2865"/>
      <c r="G5" s="2865"/>
      <c r="H5" s="2866"/>
      <c r="I5" s="2866"/>
      <c r="J5" s="2866"/>
      <c r="K5" s="2866"/>
    </row>
    <row r="6" spans="1:11" ht="16.5">
      <c r="A6" s="2687" t="s">
        <v>1081</v>
      </c>
      <c r="B6" s="2687">
        <f ca="1">SUM(G14:G23)</f>
        <v>5003</v>
      </c>
      <c r="C6" s="2687">
        <f ca="1">ROUND(B6*10000/$B$1,0)</f>
        <v>9298</v>
      </c>
      <c r="D6" s="2687">
        <f ca="1">ROUND(B6*10000/$B$2,0)</f>
        <v>6285</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4930</v>
      </c>
      <c r="C8" s="2687">
        <f ca="1">ROUND(B8*10000/$B$1,0)</f>
        <v>9163</v>
      </c>
      <c r="D8" s="2687">
        <f ca="1">ROUND(B8*10000/$B$2,0)</f>
        <v>6193</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5380.46</v>
      </c>
      <c r="C14" s="2693">
        <f>结果表!C118</f>
        <v>7960.6</v>
      </c>
      <c r="D14" s="2693">
        <f ca="1">结果表!H118</f>
        <v>5003</v>
      </c>
      <c r="E14" s="2693">
        <f ca="1">ROUND(D14*10000/B14,0)</f>
        <v>9298</v>
      </c>
      <c r="F14" s="2693">
        <f ca="1">ROUND(D14*10000/C14,0)</f>
        <v>6285</v>
      </c>
      <c r="G14" s="2693">
        <f ca="1">结果表!D122</f>
        <v>5003</v>
      </c>
      <c r="H14" s="2693" t="str">
        <f>结果表!D124</f>
        <v>——</v>
      </c>
      <c r="I14" s="2693">
        <f ca="1">结果表!D126</f>
        <v>4930</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1" sqref="G2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1" t="str">
        <f>项目基本情况!S2</f>
        <v>北京市房地产</v>
      </c>
      <c r="B2" s="3402"/>
      <c r="C2" s="3402"/>
      <c r="D2" s="3402"/>
      <c r="E2" s="3402"/>
      <c r="F2" s="3402"/>
      <c r="G2" s="3402"/>
      <c r="H2" s="3402"/>
      <c r="I2" s="3403"/>
    </row>
    <row r="3" spans="1:12" ht="12.75">
      <c r="A3" s="3405" t="s">
        <v>1709</v>
      </c>
      <c r="B3" s="3406"/>
      <c r="C3" s="3406"/>
      <c r="D3" s="3406"/>
      <c r="E3" s="3406"/>
      <c r="F3" s="3406"/>
      <c r="G3" s="3406"/>
      <c r="H3" s="3406"/>
      <c r="I3" s="3406"/>
    </row>
    <row r="4" spans="1:12" ht="14.25">
      <c r="A4" s="1891" t="s">
        <v>1710</v>
      </c>
      <c r="B4" s="1892" t="s">
        <v>1711</v>
      </c>
      <c r="C4" s="1893" t="s">
        <v>3279</v>
      </c>
      <c r="D4" s="1893" t="s">
        <v>3194</v>
      </c>
      <c r="E4" s="3410" t="s">
        <v>1712</v>
      </c>
      <c r="F4" s="3411"/>
      <c r="G4" s="3411"/>
      <c r="H4" s="3411"/>
      <c r="I4" s="34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1713</v>
      </c>
      <c r="B5" s="3404">
        <v>25</v>
      </c>
      <c r="C5" s="3407"/>
      <c r="D5" s="3395"/>
      <c r="E5" s="136" t="s">
        <v>1714</v>
      </c>
      <c r="F5" s="1894"/>
      <c r="G5" s="1894"/>
      <c r="H5" s="1894"/>
      <c r="I5" s="1508"/>
    </row>
    <row r="6" spans="1:12" ht="12.75">
      <c r="A6" s="3346"/>
      <c r="B6" s="3404"/>
      <c r="C6" s="3409"/>
      <c r="D6" s="3395"/>
      <c r="E6" s="136" t="s">
        <v>1715</v>
      </c>
      <c r="F6" s="1894"/>
      <c r="G6" s="1894"/>
      <c r="H6" s="1894"/>
      <c r="I6" s="1508"/>
    </row>
    <row r="7" spans="1:12" ht="12.75">
      <c r="A7" s="3346"/>
      <c r="B7" s="3404"/>
      <c r="C7" s="3408"/>
      <c r="D7" s="3395"/>
      <c r="E7" s="136" t="s">
        <v>1716</v>
      </c>
      <c r="F7" s="1894"/>
      <c r="G7" s="1894"/>
      <c r="H7" s="1894"/>
      <c r="I7" s="1508"/>
    </row>
    <row r="8" spans="1:12" ht="12.75">
      <c r="A8" s="3346" t="s">
        <v>1717</v>
      </c>
      <c r="B8" s="3404">
        <v>15</v>
      </c>
      <c r="C8" s="3407"/>
      <c r="D8" s="3395"/>
      <c r="E8" s="136" t="s">
        <v>1718</v>
      </c>
      <c r="F8" s="1894"/>
      <c r="G8" s="1894"/>
      <c r="H8" s="1894"/>
      <c r="I8" s="1508"/>
    </row>
    <row r="9" spans="1:12" ht="12.75">
      <c r="A9" s="3346"/>
      <c r="B9" s="3404"/>
      <c r="C9" s="3408"/>
      <c r="D9" s="3395"/>
      <c r="E9" s="136" t="s">
        <v>1719</v>
      </c>
      <c r="F9" s="1894"/>
      <c r="G9" s="1894"/>
      <c r="H9" s="1894"/>
      <c r="I9" s="1508"/>
    </row>
    <row r="10" spans="1:12" ht="12.75">
      <c r="A10" s="3346" t="s">
        <v>1720</v>
      </c>
      <c r="B10" s="3404">
        <v>15</v>
      </c>
      <c r="C10" s="3407"/>
      <c r="D10" s="3395"/>
      <c r="E10" s="136" t="s">
        <v>1721</v>
      </c>
      <c r="F10" s="1894"/>
      <c r="G10" s="1894"/>
      <c r="H10" s="1894"/>
      <c r="I10" s="1508"/>
    </row>
    <row r="11" spans="1:12" ht="12.75">
      <c r="A11" s="3346"/>
      <c r="B11" s="3404"/>
      <c r="C11" s="3408"/>
      <c r="D11" s="3395"/>
      <c r="E11" s="136" t="s">
        <v>1722</v>
      </c>
      <c r="F11" s="1894"/>
      <c r="G11" s="1894"/>
      <c r="H11" s="1894"/>
      <c r="I11" s="1508"/>
    </row>
    <row r="12" spans="1:12" ht="12.75">
      <c r="A12" s="3346" t="s">
        <v>1723</v>
      </c>
      <c r="B12" s="3404">
        <v>15</v>
      </c>
      <c r="C12" s="3407"/>
      <c r="D12" s="3395"/>
      <c r="E12" s="136" t="s">
        <v>1724</v>
      </c>
      <c r="F12" s="1894"/>
      <c r="G12" s="1894"/>
      <c r="H12" s="1894"/>
      <c r="I12" s="1508"/>
    </row>
    <row r="13" spans="1:12" ht="12.75">
      <c r="A13" s="3346"/>
      <c r="B13" s="3404"/>
      <c r="C13" s="3408"/>
      <c r="D13" s="3395"/>
      <c r="E13" s="136" t="s">
        <v>1725</v>
      </c>
      <c r="F13" s="1894"/>
      <c r="G13" s="1894"/>
      <c r="H13" s="1894"/>
      <c r="I13" s="1508"/>
    </row>
    <row r="14" spans="1:12" ht="12.75">
      <c r="A14" s="3346" t="s">
        <v>1726</v>
      </c>
      <c r="B14" s="3404">
        <v>30</v>
      </c>
      <c r="C14" s="3407">
        <v>5</v>
      </c>
      <c r="D14" s="3395">
        <v>5</v>
      </c>
      <c r="E14" s="136" t="s">
        <v>1727</v>
      </c>
      <c r="F14" s="1894"/>
      <c r="G14" s="1894"/>
      <c r="H14" s="1894"/>
      <c r="I14" s="1508"/>
    </row>
    <row r="15" spans="1:12" ht="12.75">
      <c r="A15" s="3346"/>
      <c r="B15" s="3404"/>
      <c r="C15" s="3409"/>
      <c r="D15" s="3395"/>
      <c r="E15" s="136" t="s">
        <v>1728</v>
      </c>
      <c r="F15" s="1894"/>
      <c r="G15" s="1894"/>
      <c r="H15" s="1894"/>
      <c r="I15" s="1508"/>
    </row>
    <row r="16" spans="1:12" ht="12.75">
      <c r="A16" s="3346"/>
      <c r="B16" s="3404"/>
      <c r="C16" s="3408"/>
      <c r="D16" s="3395"/>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6" t="s">
        <v>2631</v>
      </c>
      <c r="F18" s="3427"/>
      <c r="G18" s="3427"/>
      <c r="H18" s="3427"/>
      <c r="I18" s="3427"/>
      <c r="K18" s="308" t="s">
        <v>1734</v>
      </c>
      <c r="L18" s="308">
        <f>IF(C1="",'数据-汇总表'!E3,SUMIF(项目类型,C1,'数据-汇总表'!E17:E26)+SUMIF(项目类型,C1,'数据-汇总表'!I17:I26))</f>
        <v>5380.46</v>
      </c>
      <c r="M18" s="308">
        <f>IF(C1="",'数据-汇总表'!E3,SUMIF(项目类型,C1,'数据-汇总表'!E17:E26))</f>
        <v>5380.46</v>
      </c>
    </row>
    <row r="19" spans="1:36" ht="15">
      <c r="A19" s="1898" t="s">
        <v>1735</v>
      </c>
      <c r="B19" s="1899" t="s">
        <v>1736</v>
      </c>
      <c r="C19" s="139">
        <f ca="1">SUMIF(INDIRECT("'"&amp;C4&amp;"'"&amp;"!A:A"),结果表!B19,INDIRECT("'"&amp;C4&amp;"'"&amp;"!B:B"))</f>
        <v>4678</v>
      </c>
      <c r="D19" s="140">
        <f ca="1">SUMIF(INDIRECT("'"&amp;D4&amp;"'"&amp;"!A:A"),结果表!B19,INDIRECT("'"&amp;D4&amp;"'"&amp;"!B:B"))</f>
        <v>5328</v>
      </c>
      <c r="E19" s="1898" t="s">
        <v>1737</v>
      </c>
      <c r="F19" s="1899" t="s">
        <v>1736</v>
      </c>
      <c r="G19" s="141">
        <f ca="1">ROUND(C19*$C$18+D19*$D$18,0)</f>
        <v>5003</v>
      </c>
      <c r="H19" s="1900" t="s">
        <v>1738</v>
      </c>
      <c r="I19" s="134">
        <f ca="1">G19/'数据-汇总表'!F31*10000</f>
        <v>9298.4614698371515</v>
      </c>
      <c r="K19" s="308" t="s">
        <v>1739</v>
      </c>
      <c r="L19" s="308">
        <f>IF(C1="",'数据-汇总表'!D3,SUMIF(项目类型,C1,'数据-汇总表'!D17:D26)+SUMIF(项目类型,C1,'数据-汇总表'!H17:H27))</f>
        <v>7960.6</v>
      </c>
      <c r="M19" s="308">
        <f>IF(C1="",'数据-汇总表'!D3,SUMIF(项目类型,C1,'数据-汇总表'!D17:D26))</f>
        <v>7960.6</v>
      </c>
    </row>
    <row r="20" spans="1:36" ht="15">
      <c r="A20" s="1901"/>
      <c r="B20" s="1138" t="s">
        <v>1740</v>
      </c>
      <c r="C20" s="142">
        <f ca="1">SUMIF(INDIRECT("'"&amp;C4&amp;"'"&amp;"!A:A"),结果表!B20,INDIRECT("'"&amp;C4&amp;"'"&amp;"!B:B"))</f>
        <v>8694</v>
      </c>
      <c r="D20" s="143">
        <f ca="1">SUMIF(INDIRECT("'"&amp;D4&amp;"'"&amp;"!A:A"),结果表!B20,INDIRECT("'"&amp;D4&amp;"'"&amp;"!B:B"))</f>
        <v>9902</v>
      </c>
      <c r="E20" s="1901"/>
      <c r="F20" s="1138" t="s">
        <v>1740</v>
      </c>
      <c r="G20" s="144">
        <f ca="1">ROUND(C20*$C$18+D20*$D$18,0)</f>
        <v>9298</v>
      </c>
      <c r="H20" s="898" t="s">
        <v>1741</v>
      </c>
      <c r="I20" s="134"/>
    </row>
    <row r="21" spans="1:36" ht="15" customHeight="1" thickBot="1">
      <c r="A21" s="918"/>
      <c r="B21" s="1902" t="s">
        <v>1742</v>
      </c>
      <c r="C21" s="728">
        <f ca="1">ROUND(C19*10000/L19,0)</f>
        <v>5876</v>
      </c>
      <c r="D21" s="729">
        <f ca="1">ROUND(D19*10000/L19,0)</f>
        <v>6693</v>
      </c>
      <c r="E21" s="918"/>
      <c r="F21" s="1902" t="s">
        <v>1742</v>
      </c>
      <c r="G21" s="145">
        <f ca="1">ROUND(G19*10000/L19,0)</f>
        <v>6285</v>
      </c>
      <c r="H21" s="1903" t="s">
        <v>1741</v>
      </c>
      <c r="I21" s="134"/>
    </row>
    <row r="22" spans="1:36" ht="15" thickBot="1">
      <c r="A22" s="1825" t="s">
        <v>1743</v>
      </c>
      <c r="B22" s="1904"/>
      <c r="C22" s="1905"/>
      <c r="D22" s="730">
        <f ca="1">IF(C19&lt;D19,D19/C19-1,C19/D19-1)</f>
        <v>0.1389482684908081</v>
      </c>
      <c r="E22" s="134"/>
      <c r="F22" s="134"/>
      <c r="G22" s="134"/>
      <c r="H22" s="134"/>
      <c r="I22" s="134"/>
    </row>
    <row r="23" spans="1:36" ht="13.5" thickBot="1">
      <c r="A23" s="1884"/>
      <c r="B23" s="1884"/>
      <c r="C23" s="1884"/>
      <c r="D23" s="1884"/>
      <c r="E23" s="134"/>
      <c r="F23" s="134"/>
      <c r="G23" s="134"/>
      <c r="H23" s="134"/>
      <c r="I23" s="134"/>
    </row>
    <row r="24" spans="1:36" ht="14.25">
      <c r="A24" s="3419" t="s">
        <v>1744</v>
      </c>
      <c r="B24" s="1899" t="s">
        <v>1736</v>
      </c>
      <c r="C24" s="141">
        <f>IF(B30=0,0,D30)</f>
        <v>0</v>
      </c>
      <c r="D24" s="1906"/>
      <c r="E24" s="134"/>
      <c r="F24" s="134"/>
      <c r="G24" s="134"/>
      <c r="H24" s="134"/>
      <c r="I24" s="134"/>
    </row>
    <row r="25" spans="1:36" ht="14.25">
      <c r="A25" s="342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5003</v>
      </c>
      <c r="D32" s="1912" t="s">
        <v>3284</v>
      </c>
      <c r="E32" s="134"/>
      <c r="F32" s="134"/>
      <c r="G32" s="134"/>
      <c r="H32" s="134"/>
      <c r="I32" s="134"/>
    </row>
    <row r="33" spans="1:15" ht="15">
      <c r="A33" s="875" t="s">
        <v>1751</v>
      </c>
      <c r="B33" s="1913"/>
      <c r="C33" s="1914" t="s">
        <v>3285</v>
      </c>
      <c r="D33" s="1915" t="s">
        <v>3279</v>
      </c>
      <c r="E33" s="1916" t="s">
        <v>1752</v>
      </c>
      <c r="F33" s="1917" t="str">
        <f>IF(D32="楼面单价","取值（单价）","取值（总价）")</f>
        <v>取值（总价）</v>
      </c>
      <c r="G33" s="134"/>
      <c r="H33" s="134"/>
      <c r="I33" s="134"/>
    </row>
    <row r="34" spans="1:15" ht="15">
      <c r="A34" s="1918"/>
      <c r="B34" s="1919" t="s">
        <v>1753</v>
      </c>
      <c r="C34" s="153">
        <f ca="1">IF(C33="自定义",F34,C32-C35)</f>
        <v>2301</v>
      </c>
      <c r="D34" s="951">
        <f ca="1">IF(C33="自定义",ROUND(C34/C32,3),IF(C33="收益比率",SUMIF(INDIRECT("'"&amp;D33&amp;"'"&amp;"!b:b"),"土地收益比率",INDIRECT("'"&amp;D33&amp;"'"&amp;"!c:c")),SUMIF(INDIRECT("'"&amp;D33&amp;"'"&amp;"!b:b"),"土地成本比率",INDIRECT("'"&amp;D33&amp;"'"&amp;"!c:c"))))</f>
        <v>0.45999999999999996</v>
      </c>
      <c r="E34" s="1920" t="s">
        <v>1754</v>
      </c>
      <c r="F34" s="1451"/>
      <c r="G34" s="134"/>
      <c r="H34" s="134"/>
      <c r="I34" s="134"/>
    </row>
    <row r="35" spans="1:15" ht="15.75" thickBot="1">
      <c r="A35" s="1921"/>
      <c r="B35" s="1922" t="s">
        <v>1755</v>
      </c>
      <c r="C35" s="1285">
        <f ca="1">IF(C33="自定义",F35,ROUND(C32*D35,0))</f>
        <v>2702</v>
      </c>
      <c r="D35" s="1286">
        <f ca="1">IF(C33="自定义",ROUND(C35/C32,3),IF(C33="收益比率",SUMIF(INDIRECT("'"&amp;D33&amp;"'"&amp;"!b:b"),"建筑物收益比率",INDIRECT("'"&amp;D33&amp;"'"&amp;"!c:c")),SUMIF(INDIRECT("'"&amp;D33&amp;"'"&amp;"!b:b"),"建筑物成本比率",INDIRECT("'"&amp;D33&amp;"'"&amp;"!c:c"))))</f>
        <v>0.54</v>
      </c>
      <c r="E35" s="1923" t="s">
        <v>1756</v>
      </c>
      <c r="F35" s="159"/>
      <c r="G35" s="134"/>
      <c r="H35" s="134"/>
      <c r="I35" s="134"/>
    </row>
    <row r="36" spans="1:15" ht="15.75" thickBot="1">
      <c r="A36" s="3396" t="s">
        <v>1757</v>
      </c>
      <c r="B36" s="1924" t="s">
        <v>1758</v>
      </c>
      <c r="C36" s="150"/>
      <c r="D36" s="1925"/>
      <c r="E36" s="1926"/>
      <c r="F36" s="1927"/>
      <c r="G36" s="134"/>
      <c r="H36" s="134"/>
      <c r="I36" s="134"/>
    </row>
    <row r="37" spans="1:15" ht="15.75" thickBot="1">
      <c r="A37" s="3397"/>
      <c r="B37" s="1811" t="s">
        <v>1759</v>
      </c>
      <c r="C37" s="152"/>
      <c r="D37" s="1254"/>
      <c r="E37" s="1254"/>
      <c r="F37" s="1927"/>
      <c r="G37" s="134"/>
      <c r="H37" s="134"/>
      <c r="I37" s="134"/>
    </row>
    <row r="38" spans="1:15" ht="15.75" thickBot="1">
      <c r="A38" s="339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6" t="s">
        <v>1771</v>
      </c>
      <c r="B45" s="3417"/>
      <c r="C45" s="3418"/>
      <c r="D45" s="160">
        <f ca="1">ROUND(H101*F45,0)</f>
        <v>5003</v>
      </c>
      <c r="E45" s="161" t="s">
        <v>1772</v>
      </c>
      <c r="F45" s="162">
        <v>1</v>
      </c>
      <c r="G45" s="163" t="s">
        <v>1773</v>
      </c>
      <c r="H45" s="134"/>
      <c r="I45" s="134"/>
      <c r="J45" s="3333" t="s">
        <v>1774</v>
      </c>
      <c r="K45" s="3333"/>
      <c r="L45" s="3333"/>
      <c r="M45" s="3333"/>
      <c r="N45" s="3333"/>
      <c r="O45" s="3333"/>
    </row>
    <row r="46" spans="1:15" ht="14.25" customHeight="1">
      <c r="A46" s="3413" t="s">
        <v>1775</v>
      </c>
      <c r="B46" s="3414"/>
      <c r="C46" s="3414"/>
      <c r="D46" s="3414"/>
      <c r="E46" s="3414"/>
      <c r="F46" s="3414"/>
      <c r="G46" s="3415"/>
      <c r="H46" s="1943"/>
      <c r="I46" s="164"/>
      <c r="J46" s="2698">
        <v>1</v>
      </c>
      <c r="K46" s="3334" t="s">
        <v>1776</v>
      </c>
      <c r="L46" s="3334"/>
      <c r="M46" s="3335"/>
      <c r="N46" s="3335"/>
      <c r="O46" s="3335"/>
    </row>
    <row r="47" spans="1:15" ht="12" customHeight="1">
      <c r="A47" s="165" t="s">
        <v>1777</v>
      </c>
      <c r="B47" s="166"/>
      <c r="C47" s="167"/>
      <c r="D47" s="1200" t="s">
        <v>1778</v>
      </c>
      <c r="E47" s="308" t="s">
        <v>1779</v>
      </c>
      <c r="F47" s="168" t="s">
        <v>1780</v>
      </c>
      <c r="G47" s="2721" t="s">
        <v>1781</v>
      </c>
      <c r="H47" s="2722"/>
      <c r="I47" s="164"/>
      <c r="J47" s="2698">
        <v>2</v>
      </c>
      <c r="K47" s="3334" t="s">
        <v>1782</v>
      </c>
      <c r="L47" s="3334"/>
      <c r="M47" s="3336">
        <f>'数据-取费表'!B2</f>
        <v>44820</v>
      </c>
      <c r="N47" s="3336"/>
      <c r="O47" s="3336"/>
    </row>
    <row r="48" spans="1:15" ht="25.5">
      <c r="A48" s="3399" t="s">
        <v>1783</v>
      </c>
      <c r="B48" s="3400"/>
      <c r="C48" s="3400"/>
      <c r="D48" s="2498">
        <f ca="1">IF(H48="情况1",0,IF(H48="情况2",D52,IF(H48="情况3",D53,IF(H48="情况4",D54))))</f>
        <v>70</v>
      </c>
      <c r="E48" s="2508" t="str">
        <f>IF(H48="情况4","(销售额-原购置价)×税（费）率","销售额×税（费）率")</f>
        <v>(销售额-原购置价)×税（费）率</v>
      </c>
      <c r="F48" s="2723">
        <f>IF(H48="情况1","免征",'数据-取费表'!B41)</f>
        <v>5.5000000000000007E-2</v>
      </c>
      <c r="G48" s="2724" t="s">
        <v>1784</v>
      </c>
      <c r="H48" s="2725" t="s">
        <v>3293</v>
      </c>
      <c r="I48" s="1943"/>
      <c r="J48" s="2698">
        <v>3</v>
      </c>
      <c r="K48" s="3334" t="s">
        <v>1785</v>
      </c>
      <c r="L48" s="3334"/>
      <c r="M48" s="3337">
        <f ca="1">H101</f>
        <v>5003</v>
      </c>
      <c r="N48" s="3337"/>
      <c r="O48" s="3337"/>
    </row>
    <row r="49" spans="1:35" ht="25.5" customHeight="1">
      <c r="A49" s="2507" t="s">
        <v>1786</v>
      </c>
      <c r="B49" s="3382" t="s">
        <v>1787</v>
      </c>
      <c r="C49" s="3382"/>
      <c r="D49" s="1726">
        <v>0</v>
      </c>
      <c r="E49" s="330" t="s">
        <v>1788</v>
      </c>
      <c r="F49" s="2599" t="s">
        <v>34</v>
      </c>
      <c r="G49" s="3365"/>
      <c r="H49" s="2479" t="s">
        <v>2634</v>
      </c>
      <c r="I49" s="2480"/>
      <c r="J49" s="2698">
        <v>4</v>
      </c>
      <c r="K49" s="3334" t="str">
        <f>IF(项目基本情况!E8="房地产抵押价值","房地产抵押价值","抵押担保权已注销时的房地产抵押价值")</f>
        <v>房地产抵押价值</v>
      </c>
      <c r="L49" s="3334"/>
      <c r="M49" s="3337">
        <f ca="1">IF(项目基本情况!E8="房地产抵押价值",H107,H109)</f>
        <v>5003</v>
      </c>
      <c r="N49" s="3337"/>
      <c r="O49" s="3337"/>
    </row>
    <row r="50" spans="1:35" ht="25.5" customHeight="1">
      <c r="A50" s="2726"/>
      <c r="B50" s="3382" t="s">
        <v>1789</v>
      </c>
      <c r="C50" s="3382"/>
      <c r="D50" s="2727"/>
      <c r="E50" s="338"/>
      <c r="F50" s="2599"/>
      <c r="G50" s="3366"/>
      <c r="H50" s="2481" t="s">
        <v>2635</v>
      </c>
      <c r="I50" s="2480"/>
      <c r="J50" s="3333" t="s">
        <v>1790</v>
      </c>
      <c r="K50" s="3333"/>
      <c r="L50" s="3333"/>
      <c r="M50" s="3333"/>
      <c r="N50" s="3333"/>
      <c r="O50" s="3333"/>
    </row>
    <row r="51" spans="1:35" ht="20.45" customHeight="1">
      <c r="A51" s="2728"/>
      <c r="B51" s="3382" t="s">
        <v>1791</v>
      </c>
      <c r="C51" s="3382"/>
      <c r="D51" s="1200"/>
      <c r="E51" s="333"/>
      <c r="F51" s="2599"/>
      <c r="G51" s="3367"/>
      <c r="H51" s="2481" t="s">
        <v>2636</v>
      </c>
      <c r="I51" s="2480"/>
      <c r="J51" s="2699" t="s">
        <v>1792</v>
      </c>
      <c r="K51" s="3334" t="s">
        <v>1793</v>
      </c>
      <c r="L51" s="3334"/>
      <c r="M51" s="2699" t="s">
        <v>1794</v>
      </c>
      <c r="N51" s="2699" t="s">
        <v>1795</v>
      </c>
      <c r="O51" s="2699" t="s">
        <v>1796</v>
      </c>
    </row>
    <row r="52" spans="1:35" ht="24" customHeight="1">
      <c r="A52" s="2509" t="s">
        <v>1797</v>
      </c>
      <c r="B52" s="3382" t="s">
        <v>1798</v>
      </c>
      <c r="C52" s="3382"/>
      <c r="D52" s="1200">
        <f ca="1">ROUND(D45*'数据-取费表'!B41/(1+'数据-取费表'!C42),0)</f>
        <v>262</v>
      </c>
      <c r="E52" s="2508" t="s">
        <v>1799</v>
      </c>
      <c r="F52" s="2729">
        <f>'数据-取费表'!B41</f>
        <v>5.5000000000000007E-2</v>
      </c>
      <c r="G52" s="2730"/>
      <c r="H52" s="2719"/>
      <c r="I52" s="1944"/>
      <c r="J52" s="2698">
        <v>1</v>
      </c>
      <c r="K52" s="3359" t="s">
        <v>1800</v>
      </c>
      <c r="L52" s="3359"/>
      <c r="M52" s="2700">
        <f ca="1">D48</f>
        <v>70</v>
      </c>
      <c r="N52" s="2698" t="str">
        <f>E48</f>
        <v>(销售额-原购置价)×税（费）率</v>
      </c>
      <c r="O52" s="2701">
        <f>F48</f>
        <v>5.5000000000000007E-2</v>
      </c>
    </row>
    <row r="53" spans="1:35" ht="12" customHeight="1">
      <c r="A53" s="2509" t="s">
        <v>1801</v>
      </c>
      <c r="B53" s="3383" t="s">
        <v>2791</v>
      </c>
      <c r="C53" s="3384"/>
      <c r="D53" s="1200">
        <f ca="1">ROUND(D45*'数据-取费表'!B41/(1+'数据-取费表'!C42),0)</f>
        <v>262</v>
      </c>
      <c r="E53" s="2508" t="s">
        <v>1799</v>
      </c>
      <c r="F53" s="2729">
        <f>'数据-取费表'!B41</f>
        <v>5.5000000000000007E-2</v>
      </c>
      <c r="G53" s="2730"/>
      <c r="H53" s="2719"/>
      <c r="I53" s="1944"/>
      <c r="J53" s="2698">
        <v>2</v>
      </c>
      <c r="K53" s="3359" t="s">
        <v>1802</v>
      </c>
      <c r="L53" s="3359"/>
      <c r="M53" s="2700">
        <f t="shared" ref="M53:O54" ca="1" si="0">D55</f>
        <v>3</v>
      </c>
      <c r="N53" s="2698" t="str">
        <f t="shared" si="0"/>
        <v>销售额×税（费）率</v>
      </c>
      <c r="O53" s="2701">
        <f t="shared" si="0"/>
        <v>5.0000000000000001E-4</v>
      </c>
    </row>
    <row r="54" spans="1:35" ht="12" customHeight="1">
      <c r="A54" s="2509" t="s">
        <v>1803</v>
      </c>
      <c r="B54" s="3383" t="s">
        <v>2792</v>
      </c>
      <c r="C54" s="3384"/>
      <c r="D54" s="1200">
        <f ca="1">C68</f>
        <v>70</v>
      </c>
      <c r="E54" s="333" t="s">
        <v>1804</v>
      </c>
      <c r="F54" s="2729">
        <f>'数据-取费表'!B41</f>
        <v>5.5000000000000007E-2</v>
      </c>
      <c r="G54" s="2730"/>
      <c r="H54" s="2731"/>
      <c r="I54" s="1944"/>
      <c r="J54" s="2698">
        <v>3</v>
      </c>
      <c r="K54" s="3359" t="s">
        <v>1805</v>
      </c>
      <c r="L54" s="3359"/>
      <c r="M54" s="2700">
        <f t="shared" ca="1" si="0"/>
        <v>0</v>
      </c>
      <c r="N54" s="2698" t="str">
        <f t="shared" si="0"/>
        <v>增值额×税（费）率</v>
      </c>
      <c r="O54" s="2702" t="str">
        <f t="shared" si="0"/>
        <v>——</v>
      </c>
    </row>
    <row r="55" spans="1:35" ht="24" customHeight="1">
      <c r="A55" s="3422" t="s">
        <v>1806</v>
      </c>
      <c r="B55" s="3400"/>
      <c r="C55" s="3400"/>
      <c r="D55" s="2498">
        <f ca="1">IF(H55="个人住宅",0,ROUND(D45*I55,0))</f>
        <v>3</v>
      </c>
      <c r="E55" s="2508" t="s">
        <v>1807</v>
      </c>
      <c r="F55" s="2729">
        <f>IF(H55="正常",I55,"免征")</f>
        <v>5.0000000000000001E-4</v>
      </c>
      <c r="G55" s="2730"/>
      <c r="H55" s="2725" t="s">
        <v>3278</v>
      </c>
      <c r="I55" s="170">
        <f>'数据-取费表'!B49</f>
        <v>5.0000000000000001E-4</v>
      </c>
      <c r="J55" s="2698" t="str">
        <f>IF(H59="非个人房产","",4)</f>
        <v/>
      </c>
      <c r="K55" s="3359" t="str">
        <f>IF(H59="非个人房产","——","个人所得税")</f>
        <v>——</v>
      </c>
      <c r="L55" s="3359"/>
      <c r="M55" s="2703" t="str">
        <f>D59</f>
        <v>——</v>
      </c>
      <c r="N55" s="2179" t="str">
        <f>E59</f>
        <v>——</v>
      </c>
      <c r="O55" s="2704" t="str">
        <f>F59</f>
        <v>——</v>
      </c>
    </row>
    <row r="56" spans="1:35" ht="24.75">
      <c r="A56" s="3422" t="s">
        <v>1808</v>
      </c>
      <c r="B56" s="3400"/>
      <c r="C56" s="3400"/>
      <c r="D56" s="2498">
        <f ca="1">IF(H56="个人住宅",D57,D58)</f>
        <v>0</v>
      </c>
      <c r="E56" s="2508" t="s">
        <v>1809</v>
      </c>
      <c r="F56" s="2729" t="str">
        <f>IF(H56="正常",F58,"免征")</f>
        <v>——</v>
      </c>
      <c r="G56" s="2732" t="s">
        <v>1810</v>
      </c>
      <c r="H56" s="2733" t="s">
        <v>3278</v>
      </c>
      <c r="I56" s="1945"/>
      <c r="J56" s="2698" t="str">
        <f>IF(项目基本情况!K6="上海银行",IF(J55="",4,J55+1),"")</f>
        <v/>
      </c>
      <c r="K56" s="3340" t="str">
        <f>IF(项目基本情况!K6="上海银行","其他处置费用","")</f>
        <v/>
      </c>
      <c r="L56" s="3341"/>
      <c r="M56" s="2700" t="str">
        <f>IF(项目基本情况!K6="上海银行",M69,"")</f>
        <v/>
      </c>
      <c r="N56" s="3340" t="str">
        <f>IF(项目基本情况!K6="上海银行","包含处置中涉及的律师、诉讼、拍卖、评估等费用","")</f>
        <v/>
      </c>
      <c r="O56" s="3343"/>
    </row>
    <row r="57" spans="1:35" ht="12.75">
      <c r="A57" s="2509" t="s">
        <v>1786</v>
      </c>
      <c r="B57" s="3383" t="s">
        <v>1811</v>
      </c>
      <c r="C57" s="3384"/>
      <c r="D57" s="1726">
        <v>0</v>
      </c>
      <c r="E57" s="330" t="s">
        <v>1788</v>
      </c>
      <c r="F57" s="308"/>
      <c r="G57" s="2730"/>
      <c r="H57" s="2734"/>
      <c r="I57" s="1945"/>
      <c r="J57" s="3359">
        <f>IF(AND(J55="",J56=""),4,IF(项目基本情况!K6="上海银行",结果表!J56+1,结果表!J55+1))</f>
        <v>4</v>
      </c>
      <c r="K57" s="3359" t="s">
        <v>1812</v>
      </c>
      <c r="L57" s="2705" t="s">
        <v>1813</v>
      </c>
      <c r="M57" s="2706"/>
      <c r="N57" s="2707">
        <f ca="1">SUMIF(M52:M56,"&lt;9e307")</f>
        <v>73</v>
      </c>
      <c r="O57" s="2708"/>
      <c r="P57" s="2868">
        <f ca="1">N57/M49</f>
        <v>1.4591245252848292E-2</v>
      </c>
    </row>
    <row r="58" spans="1:35" ht="24.75">
      <c r="A58" s="2509" t="s">
        <v>1797</v>
      </c>
      <c r="B58" s="3383" t="s">
        <v>1814</v>
      </c>
      <c r="C58" s="3382"/>
      <c r="D58" s="2498">
        <f ca="1">IF(H58="转让取得",C81,C97)</f>
        <v>0</v>
      </c>
      <c r="E58" s="2508" t="s">
        <v>1809</v>
      </c>
      <c r="F58" s="308" t="s">
        <v>34</v>
      </c>
      <c r="G58" s="2730"/>
      <c r="H58" s="2733" t="s">
        <v>3294</v>
      </c>
      <c r="I58" s="1945"/>
      <c r="J58" s="3359"/>
      <c r="K58" s="3359"/>
      <c r="L58" s="2705" t="s">
        <v>1815</v>
      </c>
      <c r="M58" s="2709"/>
      <c r="N58" s="2710" t="str">
        <f ca="1">NUMBERSTRING(INT(N57*10000),2)&amp;"元整"</f>
        <v>柒拾叁万元整</v>
      </c>
      <c r="O58" s="2711"/>
    </row>
    <row r="59" spans="1:35" ht="24.75" thickBot="1">
      <c r="A59" s="3363" t="s">
        <v>1816</v>
      </c>
      <c r="B59" s="3364"/>
      <c r="C59" s="3364"/>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3288</v>
      </c>
      <c r="I59" s="2482" t="s">
        <v>2637</v>
      </c>
      <c r="J59" s="3361">
        <f>J57+1</f>
        <v>5</v>
      </c>
      <c r="K59" s="3359" t="s">
        <v>1817</v>
      </c>
      <c r="L59" s="2698" t="s">
        <v>1813</v>
      </c>
      <c r="M59" s="2712"/>
      <c r="N59" s="2713">
        <f ca="1">M49-N57</f>
        <v>4930</v>
      </c>
      <c r="O59" s="2714"/>
    </row>
    <row r="60" spans="1:35" ht="12" customHeight="1">
      <c r="A60" s="1946"/>
      <c r="B60" s="1884"/>
      <c r="C60" s="1884"/>
      <c r="D60" s="1884"/>
      <c r="E60" s="1714"/>
      <c r="F60" s="1945"/>
      <c r="G60" s="1945"/>
      <c r="H60" s="1947"/>
      <c r="I60" s="134"/>
      <c r="J60" s="3362"/>
      <c r="K60" s="3359"/>
      <c r="L60" s="2705" t="s">
        <v>1815</v>
      </c>
      <c r="M60" s="2709"/>
      <c r="N60" s="2710" t="str">
        <f ca="1">NUMBERSTRING(INT(N59*10000),2)&amp;"元整"</f>
        <v>肆仟玖佰叁拾万元整</v>
      </c>
      <c r="O60" s="2711"/>
    </row>
    <row r="61" spans="1:35" ht="13.5" thickBot="1">
      <c r="A61" s="3421" t="s">
        <v>1818</v>
      </c>
      <c r="B61" s="3421"/>
      <c r="C61" s="3421"/>
      <c r="D61" s="3421"/>
      <c r="E61" s="3421"/>
      <c r="F61" s="1945"/>
      <c r="G61" s="1945"/>
      <c r="H61" s="1947"/>
      <c r="I61" s="134"/>
      <c r="J61" s="2698">
        <f>J59+1</f>
        <v>6</v>
      </c>
      <c r="K61" s="3359" t="s">
        <v>1819</v>
      </c>
      <c r="L61" s="3359"/>
      <c r="M61" s="2715"/>
      <c r="N61" s="2716">
        <f ca="1">ROUND(N59*10000/'数据-汇总表'!E3,0)</f>
        <v>9163</v>
      </c>
      <c r="O61" s="2717"/>
    </row>
    <row r="62" spans="1:35" ht="12.75">
      <c r="A62" s="3378" t="s">
        <v>1820</v>
      </c>
      <c r="B62" s="3379"/>
      <c r="C62" s="2160"/>
      <c r="D62" s="2160" t="s">
        <v>1821</v>
      </c>
      <c r="E62" s="171" t="s">
        <v>1822</v>
      </c>
      <c r="F62" s="1945"/>
      <c r="G62" s="1945"/>
      <c r="H62" s="1947"/>
      <c r="I62" s="134"/>
    </row>
    <row r="63" spans="1:35" ht="12.75">
      <c r="A63" s="178" t="s">
        <v>594</v>
      </c>
      <c r="B63" s="172" t="s">
        <v>1823</v>
      </c>
      <c r="C63" s="2739">
        <f ca="1">ROUND((C64+C65)/(1+'数据-取费表'!C42),0)</f>
        <v>4765</v>
      </c>
      <c r="D63" s="172"/>
      <c r="E63" s="173"/>
      <c r="F63" s="1945"/>
      <c r="G63" s="1945"/>
      <c r="H63" s="1947"/>
      <c r="I63" s="134"/>
      <c r="J63" s="3342" t="s">
        <v>1824</v>
      </c>
      <c r="K63" s="1453" t="s">
        <v>1825</v>
      </c>
      <c r="L63" s="1453">
        <f ca="1">IF(M49&gt;10000,M49*0.5%,IF(AND(M49&gt;1000,M49&lt;=10000),M49*1%,IF(AND(M49&gt;100,M49&lt;=1000),M49*3%,IF(AND(M49&gt;10,M49&lt;=100),M49*5%,M49*8%))))</f>
        <v>50.03</v>
      </c>
      <c r="M63" s="308">
        <f ca="1">ROUND(L63,1)</f>
        <v>50</v>
      </c>
      <c r="N63" s="2718"/>
      <c r="Z63" s="1889"/>
      <c r="AI63" s="1890"/>
    </row>
    <row r="64" spans="1:35" ht="14.25" customHeight="1">
      <c r="A64" s="174" t="s">
        <v>589</v>
      </c>
      <c r="B64" s="175" t="s">
        <v>1826</v>
      </c>
      <c r="C64" s="2740">
        <f ca="1">D45</f>
        <v>5003</v>
      </c>
      <c r="D64" s="175" t="s">
        <v>32</v>
      </c>
      <c r="E64" s="177"/>
      <c r="F64" s="1945"/>
      <c r="G64" s="1945"/>
      <c r="H64" s="1947"/>
      <c r="I64" s="134"/>
      <c r="J64" s="3342"/>
      <c r="K64" s="1453" t="s">
        <v>1827</v>
      </c>
      <c r="L64" s="1453">
        <f ca="1">IF(M49&gt;2000,M49*0.5%,IF(AND(M49&gt;1000,M49&lt;=2000),M49*0.6%,IF(AND(M49&gt;500,M49&lt;=1000),M49*0.7%,IF(AND(M49&gt;200,M49&lt;=500),M49*0.8%,IF(AND(M49&gt;100,M49&lt;=200),M49*0.9%,IF(AND(M49&gt;50,M49&lt;=100),M49*1%,IF(AND(M49&gt;20,M49&lt;=50),M49*1.5%,IF(AND(M49&gt;10,M49&lt;=20),M49*2%,IF(AND(M49&gt;1,M49&lt;=10),M49*2.5%)))))))))</f>
        <v>25.015000000000001</v>
      </c>
      <c r="M64" s="308">
        <f t="shared" ref="M64:M65" ca="1" si="1">ROUND(L64,1)</f>
        <v>25</v>
      </c>
      <c r="N64" s="2719" t="s">
        <v>1828</v>
      </c>
      <c r="Z64" s="1889"/>
      <c r="AI64" s="1890"/>
    </row>
    <row r="65" spans="1:35" ht="14.25" customHeight="1">
      <c r="A65" s="174" t="s">
        <v>590</v>
      </c>
      <c r="B65" s="175" t="s">
        <v>1829</v>
      </c>
      <c r="C65" s="2741"/>
      <c r="D65" s="175"/>
      <c r="E65" s="177"/>
      <c r="F65" s="1945"/>
      <c r="G65" s="1945"/>
      <c r="H65" s="1947"/>
      <c r="I65" s="134"/>
      <c r="J65" s="3342"/>
      <c r="K65" s="1453" t="s">
        <v>1830</v>
      </c>
      <c r="L65" s="1453">
        <f ca="1">IF(M49&gt;1000,M49*0.1%,IF(AND(M49&gt;500,M49&lt;=1000),M49*0.5%,IF(AND(M49&gt;50,M49&lt;=500),M49*1%,IF(AND(M49&gt;1,M49&lt;=50),M49*1.5%))))</f>
        <v>5.0030000000000001</v>
      </c>
      <c r="M65" s="308">
        <f t="shared" ca="1" si="1"/>
        <v>5</v>
      </c>
      <c r="N65" s="2719" t="s">
        <v>1828</v>
      </c>
      <c r="Z65" s="1889"/>
      <c r="AI65" s="1890"/>
    </row>
    <row r="66" spans="1:35" ht="14.25" customHeight="1">
      <c r="A66" s="178" t="s">
        <v>591</v>
      </c>
      <c r="B66" s="179" t="s">
        <v>1831</v>
      </c>
      <c r="C66" s="2742">
        <v>3500</v>
      </c>
      <c r="D66" s="179" t="s">
        <v>32</v>
      </c>
      <c r="E66" s="1460" t="s">
        <v>1096</v>
      </c>
      <c r="F66" s="1945"/>
      <c r="G66" s="1945"/>
      <c r="H66" s="1947"/>
      <c r="I66" s="134"/>
      <c r="J66" s="3342"/>
      <c r="K66" s="1453" t="s">
        <v>1832</v>
      </c>
      <c r="L66" s="1453">
        <f ca="1">M49*0.5%</f>
        <v>25.015000000000001</v>
      </c>
      <c r="M66" s="308">
        <f ca="1">IF(L66&gt;0.5,0.5,ROUND(L66,0))</f>
        <v>0.5</v>
      </c>
      <c r="N66" s="2719" t="s">
        <v>1833</v>
      </c>
      <c r="Z66" s="1889"/>
      <c r="AI66" s="1890"/>
    </row>
    <row r="67" spans="1:35" ht="14.25" customHeight="1">
      <c r="A67" s="178" t="s">
        <v>592</v>
      </c>
      <c r="B67" s="179" t="s">
        <v>1834</v>
      </c>
      <c r="C67" s="2743">
        <f ca="1">C63-C66</f>
        <v>1265</v>
      </c>
      <c r="D67" s="175" t="s">
        <v>32</v>
      </c>
      <c r="E67" s="177"/>
      <c r="F67" s="1945"/>
      <c r="G67" s="1945"/>
      <c r="H67" s="1947"/>
      <c r="I67" s="134"/>
      <c r="J67" s="3342"/>
      <c r="K67" s="1453" t="s">
        <v>1835</v>
      </c>
      <c r="L67" s="1453">
        <f ca="1">IF(M49&gt;=10000,(8.25+(M49-10000)*0.01%),IF(AND(M49&gt;=8000,M49&lt;10000),(7.85+(M49-8000)*0.02%),IF(AND(M49&gt;=5000,M49&lt;8000),(6.65+(M49-5000)*0.04%),IF(AND(M49&gt;=2000,M49&lt;5000),(4.25+(PM49-2000)*0.08%),IF(AND(M49&gt;=1000,M49&lt;2000),(2.75+(M49-1000)*0.15%),IF(AND(M49&gt;=100,M49&lt;1000),(0.5+(M49-100)*0.25%),IF(AND(M49&gt;0,M49&lt;100),M49*0.5%)))))))</f>
        <v>6.6512000000000002</v>
      </c>
      <c r="M67" s="308">
        <f ca="1">ROUND(L67*0.9,1)</f>
        <v>6</v>
      </c>
      <c r="N67" s="2718"/>
      <c r="Z67" s="1889"/>
      <c r="AI67" s="1890"/>
    </row>
    <row r="68" spans="1:35" ht="14.25" customHeight="1" thickBot="1">
      <c r="A68" s="181" t="s">
        <v>593</v>
      </c>
      <c r="B68" s="182" t="s">
        <v>1836</v>
      </c>
      <c r="C68" s="2744">
        <f ca="1">IF(C67&lt;=0,0,ROUND(C67*D68,0))</f>
        <v>70</v>
      </c>
      <c r="D68" s="2745">
        <f>'数据-取费表'!B41</f>
        <v>5.5000000000000007E-2</v>
      </c>
      <c r="E68" s="184"/>
      <c r="F68" s="1945"/>
      <c r="G68" s="1945"/>
      <c r="H68" s="1947"/>
      <c r="I68" s="134"/>
      <c r="J68" s="3342"/>
      <c r="K68" s="1453" t="s">
        <v>1837</v>
      </c>
      <c r="L68" s="1453">
        <f ca="1">IF(M49&gt;10000,M49*0.5%,IF(AND(M49&gt;5000,M49&lt;=10000),M49*1%,IF(AND(M49&gt;1000,M49&lt;=5000),M49*2%,IF(AND(M49&gt;200,M49&lt;=1000),M49*3%,M49*5%))))</f>
        <v>50.03</v>
      </c>
      <c r="M68" s="308">
        <f ca="1">ROUND(L68,1)</f>
        <v>50</v>
      </c>
      <c r="N68" s="2718"/>
      <c r="Z68" s="1889"/>
      <c r="AI68" s="1890"/>
    </row>
    <row r="69" spans="1:35" s="1909" customFormat="1" ht="16.5" customHeight="1">
      <c r="A69" s="1948"/>
      <c r="B69" s="1949"/>
      <c r="C69" s="1950"/>
      <c r="D69" s="1951"/>
      <c r="E69" s="1952"/>
      <c r="F69" s="1714"/>
      <c r="G69" s="1714"/>
      <c r="H69" s="1713"/>
      <c r="I69" s="1884"/>
      <c r="J69" s="3342"/>
      <c r="K69" s="1453" t="s">
        <v>1838</v>
      </c>
      <c r="L69" s="1453"/>
      <c r="M69" s="308">
        <f ca="1">ROUND(SUM(M63:M68),0)</f>
        <v>137</v>
      </c>
      <c r="N69" s="2720">
        <f ca="1">M69/M49</f>
        <v>2.7383569858085148E-2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6" t="s">
        <v>1839</v>
      </c>
      <c r="B70" s="3387"/>
      <c r="C70" s="3387"/>
      <c r="D70" s="3387"/>
      <c r="E70" s="3387"/>
      <c r="F70" s="3387"/>
      <c r="G70" s="3387"/>
      <c r="H70" s="3387"/>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8" t="s">
        <v>1820</v>
      </c>
      <c r="B71" s="3379"/>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4765</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7131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7107</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f>C66</f>
        <v>3500</v>
      </c>
      <c r="D75" s="175" t="s">
        <v>32</v>
      </c>
      <c r="E75" s="190" t="s">
        <v>1844</v>
      </c>
      <c r="F75" s="2747" t="s">
        <v>3295</v>
      </c>
      <c r="G75" s="190" t="s">
        <v>1845</v>
      </c>
      <c r="H75" s="2748">
        <v>20</v>
      </c>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3500</v>
      </c>
      <c r="D76" s="2749">
        <v>0.05</v>
      </c>
      <c r="E76" s="3383" t="s">
        <v>1847</v>
      </c>
      <c r="F76" s="3382"/>
      <c r="G76" s="3382"/>
      <c r="H76" s="3385"/>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107</v>
      </c>
      <c r="D77" s="2750">
        <f>'数据-取费表'!B48+'数据-取费表'!B49</f>
        <v>3.0499999999999999E-2</v>
      </c>
      <c r="E77" s="2498" t="s">
        <v>1849</v>
      </c>
      <c r="F77" s="192"/>
      <c r="G77" s="1959" t="s">
        <v>3296</v>
      </c>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24</v>
      </c>
      <c r="D78" s="2752">
        <f>'数据-取费表'!B43</f>
        <v>5.000000000000001E-3</v>
      </c>
      <c r="E78" s="3375" t="s">
        <v>1851</v>
      </c>
      <c r="F78" s="3376"/>
      <c r="G78" s="3376"/>
      <c r="H78" s="337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-2366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0</v>
      </c>
      <c r="D80" s="175" t="s">
        <v>32</v>
      </c>
      <c r="E80" s="2498" t="str">
        <f ca="1">IF(C80&gt;=200%,"增值额超过扣除项目金额200%",IF(C80&gt;=100%,"增值额超过扣除项目金额100%，未超过200%",IF(C80&gt;=50%,"增值额超过扣除项目金额50%，未超过100%",IF(C80&lt;50%,"增值额未超过扣除项目金额50%"))))</f>
        <v>增值额未超过扣除项目金额50%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0</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6" t="s">
        <v>1855</v>
      </c>
      <c r="B83" s="3387"/>
      <c r="C83" s="3387"/>
      <c r="D83" s="3387"/>
      <c r="E83" s="3387"/>
      <c r="F83" s="3387"/>
      <c r="G83" s="3387"/>
      <c r="H83" s="3387"/>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8" t="s">
        <v>1820</v>
      </c>
      <c r="B84" s="337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4765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18983</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457</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f>ROUND(4433850/10000,0)</f>
        <v>443</v>
      </c>
      <c r="D88" s="2752"/>
      <c r="E88" s="199" t="s">
        <v>1858</v>
      </c>
      <c r="F88" s="2501"/>
      <c r="G88" s="200" t="s">
        <v>1859</v>
      </c>
      <c r="H88" s="1961" t="s">
        <v>3287</v>
      </c>
      <c r="I88" s="1958"/>
      <c r="J88" s="2696"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14</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344" t="s">
        <v>2629</v>
      </c>
      <c r="H90" s="3345"/>
      <c r="I90" s="1958"/>
      <c r="J90" s="2696"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14127</v>
      </c>
      <c r="D91" s="2752"/>
      <c r="E91" s="3375" t="s">
        <v>1864</v>
      </c>
      <c r="F91" s="3376"/>
      <c r="G91" s="3376"/>
      <c r="H91" s="1962" t="s">
        <v>3286</v>
      </c>
      <c r="I91" s="1963">
        <f>ROUND('数据-取费表'!K19/10000,0)</f>
        <v>14127</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1458</v>
      </c>
      <c r="D92" s="2758">
        <v>0.1</v>
      </c>
      <c r="E92" s="3375" t="s">
        <v>1867</v>
      </c>
      <c r="F92" s="3376"/>
      <c r="G92" s="3376"/>
      <c r="H92" s="3377"/>
      <c r="I92" s="1958"/>
      <c r="J92" s="2697"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24</v>
      </c>
      <c r="D93" s="2752">
        <f>'数据-取费表'!B43</f>
        <v>5.000000000000001E-3</v>
      </c>
      <c r="E93" s="3375" t="s">
        <v>1851</v>
      </c>
      <c r="F93" s="3376"/>
      <c r="G93" s="3376"/>
      <c r="H93" s="337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2917</v>
      </c>
      <c r="D94" s="2752">
        <v>0.2</v>
      </c>
      <c r="E94" s="3423" t="s">
        <v>1871</v>
      </c>
      <c r="F94" s="3424"/>
      <c r="G94" s="3424"/>
      <c r="H94" s="342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-14218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0</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0</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60"/>
      <c r="E100" s="3326" t="s">
        <v>1874</v>
      </c>
      <c r="F100" s="3326"/>
      <c r="G100" s="3326"/>
      <c r="H100" s="3360"/>
      <c r="I100" s="134"/>
    </row>
    <row r="101" spans="1:35" ht="18.75" customHeight="1">
      <c r="A101" s="3368" t="s">
        <v>1875</v>
      </c>
      <c r="B101" s="3369"/>
      <c r="C101" s="2760" t="str">
        <f>C4</f>
        <v>成本法</v>
      </c>
      <c r="D101" s="2761" t="str">
        <f>D4</f>
        <v>收益法</v>
      </c>
      <c r="E101" s="3338" t="s">
        <v>1876</v>
      </c>
      <c r="F101" s="3339"/>
      <c r="G101" s="1964" t="s">
        <v>1877</v>
      </c>
      <c r="H101" s="2770">
        <f ca="1">H118</f>
        <v>5003</v>
      </c>
      <c r="I101" s="134"/>
    </row>
    <row r="102" spans="1:35" ht="18.75" customHeight="1">
      <c r="A102" s="3370" t="s">
        <v>1878</v>
      </c>
      <c r="B102" s="2759" t="s">
        <v>1877</v>
      </c>
      <c r="C102" s="2760">
        <f ca="1">C19</f>
        <v>4678</v>
      </c>
      <c r="D102" s="2761">
        <f ca="1">D19</f>
        <v>5328</v>
      </c>
      <c r="E102" s="3338"/>
      <c r="F102" s="3339"/>
      <c r="G102" s="1964" t="s">
        <v>1879</v>
      </c>
      <c r="H102" s="2730">
        <f ca="1">I118</f>
        <v>9298</v>
      </c>
      <c r="I102" s="134"/>
    </row>
    <row r="103" spans="1:35" ht="42.75" customHeight="1">
      <c r="A103" s="3370"/>
      <c r="B103" s="2759" t="s">
        <v>1879</v>
      </c>
      <c r="C103" s="2762">
        <f ca="1">C20</f>
        <v>8694</v>
      </c>
      <c r="D103" s="2763">
        <f ca="1">D20</f>
        <v>9902</v>
      </c>
      <c r="E103" s="3331" t="s">
        <v>1880</v>
      </c>
      <c r="F103" s="3332"/>
      <c r="G103" s="1965" t="s">
        <v>1881</v>
      </c>
      <c r="H103" s="2770">
        <f>IF(D36="正常操作",H104+H105+H106,H105+H106)</f>
        <v>0</v>
      </c>
      <c r="I103" s="134"/>
    </row>
    <row r="104" spans="1:35" ht="18.75" customHeight="1">
      <c r="A104" s="3370" t="s">
        <v>1882</v>
      </c>
      <c r="B104" s="2764" t="s">
        <v>1877</v>
      </c>
      <c r="C104" s="2765">
        <f ca="1">H118</f>
        <v>5003</v>
      </c>
      <c r="D104" s="2766"/>
      <c r="E104" s="1811" t="s">
        <v>1883</v>
      </c>
      <c r="F104" s="1802"/>
      <c r="G104" s="1965" t="s">
        <v>1881</v>
      </c>
      <c r="H104" s="2771">
        <f>IF(D36="同一抵押权人同一抵押物续贷",C36&amp;"（续贷，未扣减，详见特别提示）",C36)</f>
        <v>0</v>
      </c>
      <c r="I104" s="134"/>
    </row>
    <row r="105" spans="1:35" ht="18.75" customHeight="1" thickBot="1">
      <c r="A105" s="3380"/>
      <c r="B105" s="2767" t="s">
        <v>1879</v>
      </c>
      <c r="C105" s="2768">
        <f ca="1">I118</f>
        <v>9298</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1" t="str">
        <f>IF(项目基本情况!E8="已注销","——","3.房地产抵押价值")</f>
        <v>3.房地产抵押价值</v>
      </c>
      <c r="F107" s="3339"/>
      <c r="G107" s="1964" t="s">
        <v>1877</v>
      </c>
      <c r="H107" s="2770">
        <f ca="1">IF(E107="——","——",H101-H103)</f>
        <v>5003</v>
      </c>
      <c r="I107" s="134"/>
    </row>
    <row r="108" spans="1:35" ht="18.75" customHeight="1">
      <c r="A108" s="134"/>
      <c r="B108" s="134"/>
      <c r="C108" s="134"/>
      <c r="D108" s="134"/>
      <c r="E108" s="3371"/>
      <c r="F108" s="3339"/>
      <c r="G108" s="1964" t="s">
        <v>1879</v>
      </c>
      <c r="H108" s="2730">
        <f ca="1">ROUND(H107*10000/'数据-汇总表'!E3,0)</f>
        <v>9298</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39"/>
      <c r="G109" s="1964" t="s">
        <v>1877</v>
      </c>
      <c r="H109" s="2773" t="str">
        <f>IF(E109="——","——",H101-H105-H106)</f>
        <v>——</v>
      </c>
      <c r="I109" s="134"/>
    </row>
    <row r="110" spans="1:35" ht="18.75" customHeight="1">
      <c r="A110" s="134"/>
      <c r="B110" s="134"/>
      <c r="C110" s="134"/>
      <c r="D110" s="134"/>
      <c r="E110" s="3371"/>
      <c r="F110" s="3339"/>
      <c r="G110" s="1964" t="s">
        <v>1879</v>
      </c>
      <c r="H110" s="2730" t="str">
        <f>IF(H109="——","——",ROUND(H109*10000/'数据-汇总表'!E3,0))</f>
        <v>——</v>
      </c>
      <c r="I110" s="134"/>
    </row>
    <row r="111" spans="1:35" ht="18.75" customHeight="1">
      <c r="A111" s="134"/>
      <c r="B111" s="134"/>
      <c r="C111" s="134"/>
      <c r="D111" s="134"/>
      <c r="E111" s="3372" t="str">
        <f>IF(项目基本情况!E9="抵押净值",IF(OR(项目基本情况!E8="已注销",项目基本情况!E8="房地产抵押价值"),"4.抵押净值","5.抵押净值"),"——")</f>
        <v>4.抵押净值</v>
      </c>
      <c r="F111" s="3358"/>
      <c r="G111" s="1964" t="s">
        <v>1877</v>
      </c>
      <c r="H111" s="2770">
        <f ca="1">IF(E111="——","——",N59)</f>
        <v>4930</v>
      </c>
      <c r="I111" s="134"/>
    </row>
    <row r="112" spans="1:35" ht="18.75" customHeight="1" thickBot="1">
      <c r="A112" s="134"/>
      <c r="B112" s="134"/>
      <c r="C112" s="134"/>
      <c r="D112" s="134"/>
      <c r="E112" s="3373"/>
      <c r="F112" s="3374"/>
      <c r="G112" s="1967" t="s">
        <v>1879</v>
      </c>
      <c r="H112" s="2774">
        <f ca="1">IF(E111="——","——",N61)</f>
        <v>9163</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6" t="s">
        <v>1888</v>
      </c>
      <c r="B116" s="3350" t="s">
        <v>1889</v>
      </c>
      <c r="C116" s="3350" t="s">
        <v>1890</v>
      </c>
      <c r="D116" s="3356" t="s">
        <v>1891</v>
      </c>
      <c r="E116" s="3357"/>
      <c r="F116" s="3388" t="s">
        <v>1892</v>
      </c>
      <c r="G116" s="3388"/>
      <c r="H116" s="3346" t="s">
        <v>1893</v>
      </c>
      <c r="I116" s="3346"/>
    </row>
    <row r="117" spans="1:27" ht="18.75" customHeight="1">
      <c r="A117" s="3346"/>
      <c r="B117" s="3351"/>
      <c r="C117" s="3351"/>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5380.46</v>
      </c>
      <c r="C118" s="2503">
        <f>M19</f>
        <v>7960.6</v>
      </c>
      <c r="D118" s="2503">
        <f ca="1">ROUND(IF(D32="总价",C34,E118*B118/10000),0)</f>
        <v>2301</v>
      </c>
      <c r="E118" s="2503">
        <f ca="1">ROUND(IF(C33="自定义",IF(D32="楼面单价",C34,D118*10000/B118),I118-G118),0)</f>
        <v>4276</v>
      </c>
      <c r="F118" s="2503">
        <f ca="1">ROUND(IF(D32="总价",C35,G118*B118/10000),0)</f>
        <v>2702</v>
      </c>
      <c r="G118" s="2503">
        <f ca="1">ROUND(IF(D32="楼面单价",C35,F118*10000/B118),0)</f>
        <v>5022</v>
      </c>
      <c r="H118" s="2503">
        <f ca="1">ROUND(IF(D32="总价",C32,I118*B118/10000),0)</f>
        <v>5003</v>
      </c>
      <c r="I118" s="2503">
        <f ca="1">ROUND(IF(D32="楼面单价",C32,H118*10000/B118),0)</f>
        <v>9298</v>
      </c>
      <c r="K118" s="734">
        <f ca="1">D118/(C118/666.67)</f>
        <v>192.70000628093356</v>
      </c>
    </row>
    <row r="119" spans="1:27" ht="18.75" customHeight="1">
      <c r="A119" s="3346" t="s">
        <v>1897</v>
      </c>
      <c r="B119" s="3346"/>
      <c r="C119" s="3346"/>
      <c r="D119" s="3352" t="str">
        <f ca="1">NUMBERSTRING(INT(D118*10000),2)&amp;"元整"</f>
        <v>贰仟叁佰零壹万元整</v>
      </c>
      <c r="E119" s="3353"/>
      <c r="F119" s="3352" t="str">
        <f ca="1">NUMBERSTRING(INT(F118*10000),2)&amp;"元整"</f>
        <v>贰仟柒佰零贰万元整</v>
      </c>
      <c r="G119" s="3353"/>
      <c r="H119" s="3352" t="str">
        <f ca="1">NUMBERSTRING(INT(H118*10000),2)&amp;"元整"</f>
        <v>伍仟零叁万元整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52" t="str">
        <f>IF(D120=0,"零元整",NUMBERSTRING(INT(D120*10000),2)&amp;"元整")</f>
        <v>零元整</v>
      </c>
      <c r="E121" s="3354"/>
      <c r="F121" s="3354"/>
      <c r="G121" s="3354"/>
      <c r="H121" s="3354"/>
      <c r="I121" s="3353"/>
      <c r="AA121" s="734"/>
    </row>
    <row r="122" spans="1:27" ht="18.75" customHeight="1">
      <c r="A122" s="3358" t="str">
        <f>IF(项目基本情况!B9="房地产市场价值","",MID(E107,3,LEN(E107)-2))</f>
        <v>房地产抵押价值</v>
      </c>
      <c r="B122" s="3358"/>
      <c r="C122" s="3358"/>
      <c r="D122" s="3347">
        <f ca="1">H107</f>
        <v>5003</v>
      </c>
      <c r="E122" s="3348"/>
      <c r="F122" s="3348"/>
      <c r="G122" s="3348"/>
      <c r="H122" s="3348"/>
      <c r="I122" s="3349"/>
      <c r="AA122" s="734"/>
    </row>
    <row r="123" spans="1:27" ht="18.75" customHeight="1">
      <c r="A123" s="3346" t="s">
        <v>1897</v>
      </c>
      <c r="B123" s="3346"/>
      <c r="C123" s="3346"/>
      <c r="D123" s="3352" t="str">
        <f ca="1">NUMBERSTRING(INT(D122*10000),2)&amp;"元整"</f>
        <v>伍仟零叁万元整</v>
      </c>
      <c r="E123" s="3354"/>
      <c r="F123" s="3354"/>
      <c r="G123" s="3354"/>
      <c r="H123" s="3354"/>
      <c r="I123" s="3353"/>
      <c r="AA123" s="734"/>
    </row>
    <row r="124" spans="1:27" ht="18.75" customHeight="1">
      <c r="A124" s="3358" t="str">
        <f>IF(项目基本情况!B9="房地产市场价值","",MID(E109,3,LEN(E109)-2))</f>
        <v/>
      </c>
      <c r="B124" s="3358"/>
      <c r="C124" s="3358"/>
      <c r="D124" s="3347" t="str">
        <f>H109</f>
        <v>——</v>
      </c>
      <c r="E124" s="3348"/>
      <c r="F124" s="3348"/>
      <c r="G124" s="3348"/>
      <c r="H124" s="3348"/>
      <c r="I124" s="3349"/>
      <c r="AA124" s="734"/>
    </row>
    <row r="125" spans="1:27" ht="18.75" customHeight="1">
      <c r="A125" s="3346" t="s">
        <v>1897</v>
      </c>
      <c r="B125" s="3346"/>
      <c r="C125" s="3346"/>
      <c r="D125" s="3352" t="e">
        <f>NUMBERSTRING(INT(D124*10000),2)&amp;"元整"</f>
        <v>#VALUE!</v>
      </c>
      <c r="E125" s="3354"/>
      <c r="F125" s="3354"/>
      <c r="G125" s="3354"/>
      <c r="H125" s="3354"/>
      <c r="I125" s="3353"/>
      <c r="AA125" s="734"/>
    </row>
    <row r="126" spans="1:27" ht="18.75" customHeight="1">
      <c r="A126" s="3358" t="str">
        <f>IF(项目基本情况!B9="房地产市场价值","",MID(E111,3,LEN(E111)-2))</f>
        <v>抵押净值</v>
      </c>
      <c r="B126" s="3358"/>
      <c r="C126" s="3358"/>
      <c r="D126" s="3347">
        <f ca="1">H111</f>
        <v>4930</v>
      </c>
      <c r="E126" s="3348"/>
      <c r="F126" s="3348"/>
      <c r="G126" s="3348"/>
      <c r="H126" s="3348"/>
      <c r="I126" s="3349"/>
      <c r="AA126" s="734"/>
    </row>
    <row r="127" spans="1:27" ht="18.75" customHeight="1">
      <c r="A127" s="3346" t="s">
        <v>1897</v>
      </c>
      <c r="B127" s="3346"/>
      <c r="C127" s="3346"/>
      <c r="D127" s="3352" t="str">
        <f ca="1">NUMBERSTRING(INT(D126*10000),2)&amp;"元整"</f>
        <v>肆仟玖佰叁拾万元整</v>
      </c>
      <c r="E127" s="3354"/>
      <c r="F127" s="3354"/>
      <c r="G127" s="3354"/>
      <c r="H127" s="3354"/>
      <c r="I127" s="3353"/>
      <c r="AA127" s="734"/>
    </row>
    <row r="128" spans="1:27" ht="21.75" customHeight="1">
      <c r="A128" s="3355" t="s">
        <v>1898</v>
      </c>
      <c r="B128" s="3355"/>
      <c r="C128" s="3355"/>
      <c r="D128" s="3355"/>
      <c r="E128" s="3355"/>
      <c r="F128" s="3355"/>
      <c r="G128" s="3355"/>
      <c r="H128" s="3355"/>
      <c r="I128" s="335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4678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8694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1650</v>
      </c>
      <c r="D5" s="217" t="s">
        <v>1914</v>
      </c>
      <c r="E5" s="218" t="s">
        <v>1915</v>
      </c>
      <c r="F5" s="218" t="s">
        <v>1916</v>
      </c>
      <c r="G5" s="219"/>
    </row>
    <row r="6" spans="1:9" s="220" customFormat="1" ht="13.5" customHeight="1">
      <c r="A6" s="867" t="s">
        <v>1917</v>
      </c>
      <c r="B6" s="221" t="s">
        <v>1918</v>
      </c>
      <c r="C6" s="222">
        <f>[2]基准地价修正!$E$33</f>
        <v>1496</v>
      </c>
      <c r="D6" s="223"/>
      <c r="E6" s="224"/>
      <c r="F6" s="224"/>
      <c r="G6" s="225"/>
    </row>
    <row r="7" spans="1:9" s="220" customFormat="1" ht="13.5" customHeight="1">
      <c r="A7" s="867" t="s">
        <v>1919</v>
      </c>
      <c r="B7" s="221" t="s">
        <v>1920</v>
      </c>
      <c r="C7" s="226">
        <f>ROUND(C6*F7,0)</f>
        <v>46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108</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108</v>
      </c>
      <c r="D10" s="935">
        <f ca="1">IF(B1="",'数据-汇总表'!E6,IF(INDIRECT("'数据-取费表'!c"&amp;$G$1)="住宅",INDIRECT("'数据-取费表'!s"&amp;$G$1),INDIRECT("'数据-取费表'!k"&amp;$G$1)+INDIRECT("'数据-取费表'!s"&amp;$G$1)))</f>
        <v>5380.46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5380.46</v>
      </c>
      <c r="E19" s="217">
        <f>'数据-取费表'!B31</f>
        <v>200</v>
      </c>
      <c r="F19" s="237"/>
      <c r="G19" s="1993" t="s">
        <v>3198</v>
      </c>
    </row>
    <row r="20" spans="1:7" s="220" customFormat="1" ht="13.5" customHeight="1">
      <c r="A20" s="261" t="s">
        <v>1938</v>
      </c>
      <c r="B20" s="216" t="s">
        <v>1939</v>
      </c>
      <c r="C20" s="238">
        <f ca="1">ROUND((C5+C19)*F20,0)</f>
        <v>33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141</v>
      </c>
      <c r="D22" s="241">
        <f>C26</f>
        <v>8.0000000000000004E-4</v>
      </c>
      <c r="E22" s="242" t="s">
        <v>1943</v>
      </c>
      <c r="F22" s="243">
        <f>'数据-取费表'!B40</f>
        <v>4.1500000000000002E-2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140</v>
      </c>
      <c r="D23" s="244"/>
      <c r="E23" s="244"/>
      <c r="F23" s="245"/>
      <c r="G23" s="246" t="s">
        <v>1949</v>
      </c>
    </row>
    <row r="24" spans="1:7" s="220" customFormat="1" ht="13.5" customHeight="1">
      <c r="A24" s="869" t="s">
        <v>1950</v>
      </c>
      <c r="B24" s="221" t="s">
        <v>1951</v>
      </c>
      <c r="C24" s="1218">
        <f>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ROUND(IF('数据-取费表'!B22&lt;=1,F21*F22*'数据-取费表'!B23/2,F21*(POWER((1+F22),'数据-取费表'!B23/2)-1)),4)</f>
        <v>8.0000000000000004E-4</v>
      </c>
      <c r="D26" s="244"/>
      <c r="E26" s="247"/>
      <c r="F26" s="245"/>
      <c r="G26" s="249"/>
    </row>
    <row r="27" spans="1:7" s="220" customFormat="1" ht="24.75">
      <c r="A27" s="261" t="s">
        <v>1957</v>
      </c>
      <c r="B27" s="250" t="s">
        <v>1958</v>
      </c>
      <c r="C27" s="251">
        <f ca="1">C28</f>
        <v>168</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168</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2154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2638</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2421</v>
      </c>
      <c r="D34" s="223"/>
      <c r="E34" s="226"/>
      <c r="F34" s="263">
        <f ca="1">IF('数据-取费表'!B24=0,1,IF(B1="",'数据-取费表'!N16,INDIRECT("'数据-取费表'!n"&amp;$G$1)))</f>
        <v>1</v>
      </c>
      <c r="G34" s="225" t="s">
        <v>1971</v>
      </c>
    </row>
    <row r="35" spans="1:7" ht="13.5" customHeight="1">
      <c r="A35" s="869" t="s">
        <v>615</v>
      </c>
      <c r="B35" s="221" t="s">
        <v>1972</v>
      </c>
      <c r="C35" s="226">
        <f ca="1">ROUND(C34*F35,0)</f>
        <v>73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108</v>
      </c>
      <c r="D37" s="223">
        <f ca="1">D19</f>
        <v>5380.46</v>
      </c>
      <c r="E37" s="255">
        <f>'数据-取费表'!B35</f>
        <v>200</v>
      </c>
      <c r="F37" s="265"/>
      <c r="G37" s="267" t="s">
        <v>1977</v>
      </c>
    </row>
    <row r="38" spans="1:7" ht="13.5" customHeight="1">
      <c r="A38" s="869" t="s">
        <v>618</v>
      </c>
      <c r="B38" s="221" t="s">
        <v>1978</v>
      </c>
      <c r="C38" s="226">
        <f ca="1">ROUND(C34*F38,0)</f>
        <v>36</v>
      </c>
      <c r="D38" s="226"/>
      <c r="E38" s="226"/>
      <c r="F38" s="265">
        <f>'数据-取费表'!B36</f>
        <v>1.4999999999999999E-2</v>
      </c>
      <c r="G38" s="225" t="s">
        <v>1973</v>
      </c>
    </row>
    <row r="39" spans="1:7" s="220" customFormat="1" ht="13.5" customHeight="1">
      <c r="A39" s="261" t="s">
        <v>1979</v>
      </c>
      <c r="B39" s="216" t="s">
        <v>1980</v>
      </c>
      <c r="C39" s="238">
        <f ca="1">ROUND(C33*F20,0)</f>
        <v>53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111</v>
      </c>
      <c r="D41" s="241">
        <f>C44</f>
        <v>8.0000000000000004E-4</v>
      </c>
      <c r="E41" s="242" t="s">
        <v>1984</v>
      </c>
      <c r="F41" s="2487">
        <f>F22</f>
        <v>4.1500000000000002E-2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109</v>
      </c>
      <c r="D42" s="244"/>
      <c r="E42" s="244"/>
      <c r="F42" s="245"/>
      <c r="G42" s="3428" t="s">
        <v>1989</v>
      </c>
    </row>
    <row r="43" spans="1:7" ht="13.5" customHeight="1">
      <c r="A43" s="869" t="s">
        <v>611</v>
      </c>
      <c r="B43" s="221" t="s">
        <v>1990</v>
      </c>
      <c r="C43" s="244">
        <f ca="1">ROUND(IF('数据-取费表'!B22&lt;=1,C39*F22*'数据-取费表'!B21/2,C39*(POWER((1+F22),'数据-取费表'!B21/2)-1)),0)</f>
        <v>2</v>
      </c>
      <c r="D43" s="244"/>
      <c r="E43" s="244"/>
      <c r="F43" s="245"/>
      <c r="G43" s="3429"/>
    </row>
    <row r="44" spans="1:7" ht="13.5" customHeight="1">
      <c r="A44" s="869" t="s">
        <v>612</v>
      </c>
      <c r="B44" s="221" t="s">
        <v>1991</v>
      </c>
      <c r="C44" s="244">
        <f>ROUND(IF('数据-取费表'!B22&lt;=1,C40*F22*'数据-取费表'!B21/2,C40*(POWER((1+F22),'数据-取费表'!B21/2)-1)),4)</f>
        <v>8.0000000000000004E-4</v>
      </c>
      <c r="D44" s="244"/>
      <c r="E44" s="244"/>
      <c r="F44" s="245"/>
      <c r="G44" s="3430"/>
    </row>
    <row r="45" spans="1:7" s="220" customFormat="1" ht="13.5" customHeight="1">
      <c r="A45" s="261" t="s">
        <v>1992</v>
      </c>
      <c r="B45" s="250" t="s">
        <v>1958</v>
      </c>
      <c r="C45" s="251">
        <f ca="1">C46</f>
        <v>269</v>
      </c>
      <c r="D45" s="241">
        <f ca="1">C47</f>
        <v>2E-3</v>
      </c>
      <c r="E45" s="242" t="s">
        <v>1984</v>
      </c>
      <c r="F45" s="2488">
        <f ca="1">F27</f>
        <v>0.1</v>
      </c>
      <c r="G45" s="253" t="s">
        <v>1993</v>
      </c>
    </row>
    <row r="46" spans="1:7" s="220" customFormat="1" ht="13.5" customHeight="1">
      <c r="A46" s="869" t="s">
        <v>610</v>
      </c>
      <c r="B46" s="254" t="s">
        <v>1994</v>
      </c>
      <c r="C46" s="255">
        <f ca="1">ROUND((C33+C39)*F27,0)</f>
        <v>269</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3321</v>
      </c>
      <c r="D49" s="238"/>
      <c r="E49" s="238"/>
      <c r="F49" s="270"/>
      <c r="G49" s="240" t="s">
        <v>1999</v>
      </c>
    </row>
    <row r="50" spans="1:7" s="264" customFormat="1" ht="24">
      <c r="A50" s="261" t="s">
        <v>2000</v>
      </c>
      <c r="B50" s="216" t="s">
        <v>2001</v>
      </c>
      <c r="C50" s="238"/>
      <c r="D50" s="238"/>
      <c r="E50" s="238"/>
      <c r="F50" s="270">
        <f>IF('数据-取费表'!B24=0,'数据-取费表'!N16,1)</f>
        <v>0.76</v>
      </c>
      <c r="G50" s="253" t="s">
        <v>2002</v>
      </c>
    </row>
    <row r="51" spans="1:7" ht="16.5" customHeight="1">
      <c r="A51" s="261" t="s">
        <v>2003</v>
      </c>
      <c r="B51" s="216" t="s">
        <v>2004</v>
      </c>
      <c r="C51" s="238">
        <f ca="1">ROUND(C49*F50,0)</f>
        <v>2524</v>
      </c>
      <c r="D51" s="238"/>
      <c r="E51" s="238"/>
      <c r="F51" s="270"/>
      <c r="G51" s="240" t="s">
        <v>2005</v>
      </c>
    </row>
    <row r="52" spans="1:7" s="214" customFormat="1" ht="16.5" thickBot="1">
      <c r="A52" s="271" t="s">
        <v>2006</v>
      </c>
      <c r="B52" s="272"/>
      <c r="C52" s="273">
        <f ca="1">C31+C51</f>
        <v>4678</v>
      </c>
      <c r="D52" s="272"/>
      <c r="E52" s="272"/>
      <c r="F52" s="272"/>
      <c r="G52" s="274"/>
    </row>
    <row r="55" spans="1:7" ht="15">
      <c r="B55" s="276" t="s">
        <v>2007</v>
      </c>
      <c r="C55" s="277"/>
    </row>
    <row r="56" spans="1:7">
      <c r="B56" s="279" t="s">
        <v>1237</v>
      </c>
      <c r="C56" s="281">
        <f ca="1">1-C57</f>
        <v>0.45999999999999996</v>
      </c>
    </row>
    <row r="57" spans="1:7">
      <c r="B57" s="279" t="s">
        <v>1238</v>
      </c>
      <c r="C57" s="280">
        <f ca="1">ROUND(C51/C52,3)</f>
        <v>0.54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2805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5213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1076092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1076092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1076092</v>
      </c>
      <c r="D10" s="935">
        <f ca="1">IF(B1="",'数据-汇总表'!E6,IF(INDIRECT("'数据-取费表'!c"&amp;$G$1)="住宅",INDIRECT("'数据-取费表'!s"&amp;$G$1),INDIRECT("'数据-取费表'!k"&amp;$G$1)+INDIRECT("'数据-取费表'!s"&amp;$G$1)))</f>
        <v>5380.46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1076092</v>
      </c>
      <c r="D19" s="939">
        <f ca="1">D9+D10</f>
        <v>5380.46</v>
      </c>
      <c r="E19" s="217">
        <f>'数据-取费表'!B31</f>
        <v>200</v>
      </c>
      <c r="F19" s="237"/>
      <c r="G19" s="1993"/>
    </row>
    <row r="20" spans="1:7" s="220" customFormat="1" ht="13.5" customHeight="1">
      <c r="A20" s="261" t="s">
        <v>2019</v>
      </c>
      <c r="B20" s="216" t="s">
        <v>2020</v>
      </c>
      <c r="C20" s="238">
        <f ca="1">ROUND((C5+C19)*F20,0)</f>
        <v>43044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184124</v>
      </c>
      <c r="D22" s="241">
        <f>C26</f>
        <v>8.0000000000000004E-4</v>
      </c>
      <c r="E22" s="242" t="s">
        <v>2024</v>
      </c>
      <c r="F22" s="243">
        <f>'数据-取费表'!B40</f>
        <v>4.1500000000000002E-2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91169</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91169</v>
      </c>
      <c r="D24" s="244"/>
      <c r="E24" s="244"/>
      <c r="F24" s="245"/>
      <c r="G24" s="246" t="s">
        <v>2031</v>
      </c>
    </row>
    <row r="25" spans="1:7" s="220" customFormat="1" ht="24">
      <c r="A25" s="869" t="s">
        <v>1921</v>
      </c>
      <c r="B25" s="221" t="s">
        <v>2032</v>
      </c>
      <c r="C25" s="1243">
        <f ca="1">ROUND(IF('数据-取费表'!B22&lt;=1,C20*F22*'数据-取费表'!B22/2,C20*(POWER((1+F22),'数据-取费表'!B22/2)-1)),0)</f>
        <v>1786</v>
      </c>
      <c r="D25" s="244"/>
      <c r="E25" s="247"/>
      <c r="F25" s="245"/>
      <c r="G25" s="248" t="s">
        <v>2033</v>
      </c>
    </row>
    <row r="26" spans="1:7" s="220" customFormat="1">
      <c r="A26" s="869" t="s">
        <v>614</v>
      </c>
      <c r="B26" s="221" t="s">
        <v>1956</v>
      </c>
      <c r="C26" s="244">
        <f>ROUND(IF('数据-取费表'!B22&lt;=1,F21*F22*'数据-取费表'!B22/2,F21*(POWER((1+F22),'数据-取费表'!B22/2)-1)),4)</f>
        <v>8.0000000000000004E-4</v>
      </c>
      <c r="D26" s="244"/>
      <c r="E26" s="247"/>
      <c r="F26" s="245"/>
      <c r="G26" s="249"/>
    </row>
    <row r="27" spans="1:7" s="220" customFormat="1" ht="24.75">
      <c r="A27" s="261" t="s">
        <v>1957</v>
      </c>
      <c r="B27" s="250" t="s">
        <v>1958</v>
      </c>
      <c r="C27" s="251">
        <f ca="1">C28</f>
        <v>219523</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219523</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2810202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26377705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24212070</v>
      </c>
      <c r="D34" s="223"/>
      <c r="E34" s="226"/>
      <c r="F34" s="263"/>
      <c r="G34" s="225"/>
    </row>
    <row r="35" spans="1:7" ht="13.5" customHeight="1">
      <c r="A35" s="869" t="s">
        <v>615</v>
      </c>
      <c r="B35" s="221" t="s">
        <v>1972</v>
      </c>
      <c r="C35" s="226">
        <f ca="1">ROUND(C34*F35,0)</f>
        <v>726362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1076092</v>
      </c>
      <c r="D37" s="223">
        <f ca="1">D19</f>
        <v>5380.46</v>
      </c>
      <c r="E37" s="255">
        <f>'数据-取费表'!B35</f>
        <v>200</v>
      </c>
      <c r="F37" s="265"/>
      <c r="G37" s="267"/>
    </row>
    <row r="38" spans="1:7" ht="13.5" customHeight="1">
      <c r="A38" s="869" t="s">
        <v>618</v>
      </c>
      <c r="B38" s="221" t="s">
        <v>1978</v>
      </c>
      <c r="C38" s="226">
        <f ca="1">ROUND(C34*F38,0)</f>
        <v>363181</v>
      </c>
      <c r="D38" s="226"/>
      <c r="E38" s="226"/>
      <c r="F38" s="265">
        <f>'数据-取费表'!B36</f>
        <v>1.4999999999999999E-2</v>
      </c>
      <c r="G38" s="225" t="s">
        <v>1973</v>
      </c>
    </row>
    <row r="39" spans="1:7" s="220" customFormat="1" ht="13.5" customHeight="1">
      <c r="A39" s="261" t="s">
        <v>1979</v>
      </c>
      <c r="B39" s="216" t="s">
        <v>1980</v>
      </c>
      <c r="C39" s="238">
        <f ca="1">ROUND(C33*F20,0)</f>
        <v>527554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1116568</v>
      </c>
      <c r="D41" s="241">
        <f>C44</f>
        <v>8.0000000000000004E-4</v>
      </c>
      <c r="E41" s="242" t="s">
        <v>1984</v>
      </c>
      <c r="F41" s="2487">
        <f>F22</f>
        <v>4.1500000000000002E-2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1094675</v>
      </c>
      <c r="D42" s="244"/>
      <c r="E42" s="244"/>
      <c r="F42" s="245"/>
      <c r="G42" s="3428" t="s">
        <v>2036</v>
      </c>
    </row>
    <row r="43" spans="1:7" ht="13.5" customHeight="1">
      <c r="A43" s="869" t="s">
        <v>611</v>
      </c>
      <c r="B43" s="221" t="s">
        <v>1990</v>
      </c>
      <c r="C43" s="244">
        <f ca="1">ROUND(IF('数据-取费表'!B22&lt;=1,C39*F22*'数据-取费表'!B20/2,C39*(POWER((1+F22),'数据-取费表'!B20/2)-1)),0)</f>
        <v>21893</v>
      </c>
      <c r="D43" s="244"/>
      <c r="E43" s="244"/>
      <c r="F43" s="245"/>
      <c r="G43" s="3429"/>
    </row>
    <row r="44" spans="1:7" ht="13.5" customHeight="1">
      <c r="A44" s="869" t="s">
        <v>612</v>
      </c>
      <c r="B44" s="221" t="s">
        <v>1991</v>
      </c>
      <c r="C44" s="244">
        <f>ROUND(IF('数据-取费表'!B22&lt;=1,C40*F22*'数据-取费表'!B20/2,C40*(POWER((1+F22),'数据-取费表'!B20/2)-1)),4)</f>
        <v>8.0000000000000004E-4</v>
      </c>
      <c r="D44" s="244"/>
      <c r="E44" s="244"/>
      <c r="F44" s="245"/>
      <c r="G44" s="3430"/>
    </row>
    <row r="45" spans="1:7" s="220" customFormat="1" ht="13.5" customHeight="1">
      <c r="A45" s="261" t="s">
        <v>1992</v>
      </c>
      <c r="B45" s="250" t="s">
        <v>1958</v>
      </c>
      <c r="C45" s="251">
        <f ca="1">C46</f>
        <v>2690526</v>
      </c>
      <c r="D45" s="241">
        <f ca="1">C47</f>
        <v>2E-3</v>
      </c>
      <c r="E45" s="242" t="s">
        <v>1984</v>
      </c>
      <c r="F45" s="2488">
        <f ca="1">F27</f>
        <v>0.1</v>
      </c>
      <c r="G45" s="253" t="s">
        <v>1993</v>
      </c>
    </row>
    <row r="46" spans="1:7" s="220" customFormat="1" ht="13.5" customHeight="1">
      <c r="A46" s="869" t="s">
        <v>610</v>
      </c>
      <c r="B46" s="254" t="s">
        <v>1994</v>
      </c>
      <c r="C46" s="255">
        <f ca="1">ROUND((C33+C39)*F27,0)</f>
        <v>2690526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33209724</v>
      </c>
      <c r="D49" s="238"/>
      <c r="E49" s="238"/>
      <c r="F49" s="270"/>
      <c r="G49" s="240" t="s">
        <v>1999</v>
      </c>
    </row>
    <row r="50" spans="1:7" s="264" customFormat="1">
      <c r="A50" s="261" t="s">
        <v>2000</v>
      </c>
      <c r="B50" s="216" t="s">
        <v>2001</v>
      </c>
      <c r="C50" s="238"/>
      <c r="D50" s="238"/>
      <c r="E50" s="238"/>
      <c r="F50" s="270">
        <f>IF('数据-取费表'!B24=0,'数据-取费表'!N16,1)</f>
        <v>0.76</v>
      </c>
      <c r="G50" s="253"/>
    </row>
    <row r="51" spans="1:7" ht="16.5" customHeight="1">
      <c r="A51" s="261" t="s">
        <v>2003</v>
      </c>
      <c r="B51" s="216" t="s">
        <v>2038</v>
      </c>
      <c r="C51" s="238">
        <f ca="1">ROUND(C49*F50,0)</f>
        <v>25239390</v>
      </c>
      <c r="D51" s="238"/>
      <c r="E51" s="238"/>
      <c r="F51" s="270"/>
      <c r="G51" s="240" t="s">
        <v>2005</v>
      </c>
    </row>
    <row r="52" spans="1:7" s="214" customFormat="1" ht="16.5" thickBot="1">
      <c r="A52" s="271" t="s">
        <v>2006</v>
      </c>
      <c r="B52" s="272"/>
      <c r="C52" s="273">
        <f ca="1">C31+C51</f>
        <v>28049592</v>
      </c>
      <c r="D52" s="272"/>
      <c r="E52" s="272"/>
      <c r="F52" s="272"/>
      <c r="G52" s="274"/>
    </row>
    <row r="55" spans="1:7" ht="15">
      <c r="B55" s="276" t="s">
        <v>2007</v>
      </c>
      <c r="C55" s="277"/>
    </row>
    <row r="56" spans="1:7">
      <c r="B56" s="279" t="s">
        <v>1237</v>
      </c>
      <c r="C56" s="281">
        <f ca="1">1-C57</f>
        <v>9.9999999999999978E-2</v>
      </c>
    </row>
    <row r="57" spans="1:7">
      <c r="B57" s="279" t="s">
        <v>1238</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5380.46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5380.46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108</v>
      </c>
      <c r="D20" s="936">
        <f ca="1">IF(C1="",'数据-汇总表'!E6,IF(INDIRECT("'数据-取费表'!c"&amp;$K$1)="住宅",INDIRECT("'数据-取费表'!s"&amp;$K$1),INDIRECT("'数据-取费表'!k"&amp;$K$1)+INDIRECT("'数据-取费表'!s"&amp;$K$1)))</f>
        <v>5380.46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C26</f>
        <v>0</v>
      </c>
      <c r="E25" s="288" t="s">
        <v>15</v>
      </c>
      <c r="F25" s="289">
        <f>'数据-取费表'!B40</f>
        <v>4.1500000000000002E-2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26.66</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5328</v>
      </c>
      <c r="C2" s="1522" t="s">
        <v>1240</v>
      </c>
      <c r="D2" s="1522"/>
      <c r="E2" s="1523"/>
      <c r="F2" s="1524"/>
      <c r="G2" s="2884"/>
      <c r="H2" s="2873"/>
      <c r="I2" s="2873"/>
      <c r="J2" s="2873"/>
      <c r="K2" s="2874"/>
      <c r="L2" s="2873"/>
      <c r="M2" s="2873"/>
    </row>
    <row r="3" spans="1:37" ht="18" customHeight="1" thickBot="1">
      <c r="A3" s="1525" t="s">
        <v>1241</v>
      </c>
      <c r="B3" s="1526">
        <f ca="1">IF(ISERROR(B2*10000/F43),0,ROUND(B2*10000/F43,0))</f>
        <v>9902</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389</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389</v>
      </c>
      <c r="D6" s="160" t="s">
        <v>2608</v>
      </c>
      <c r="E6" s="308" t="s">
        <v>1129</v>
      </c>
      <c r="F6" s="309">
        <f ca="1">INDIRECT("'数据-取费表'!u"&amp;$G$1)</f>
        <v>2.2000000000000002</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5380.46</v>
      </c>
      <c r="G7" s="1519"/>
      <c r="H7" s="310"/>
      <c r="I7" s="3434"/>
      <c r="J7" s="312"/>
      <c r="K7" s="313"/>
      <c r="L7" s="308" t="s">
        <v>1130</v>
      </c>
      <c r="M7" s="309">
        <f ca="1">F7</f>
        <v>5380.46</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2524</v>
      </c>
      <c r="D13" s="1194" t="s">
        <v>1139</v>
      </c>
      <c r="E13" s="1194" t="s">
        <v>1140</v>
      </c>
      <c r="F13" s="1195">
        <f ca="1">INDIRECT("'数据-取费表'!y"&amp;$G$1)</f>
        <v>0.76</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2421</v>
      </c>
      <c r="D14" s="1480" t="s">
        <v>1142</v>
      </c>
      <c r="E14" s="1477"/>
      <c r="F14" s="325"/>
      <c r="G14" s="1519"/>
      <c r="H14" s="1094" t="s">
        <v>822</v>
      </c>
      <c r="I14" s="308" t="s">
        <v>1143</v>
      </c>
      <c r="J14" s="24">
        <f ca="1">C29</f>
        <v>3321</v>
      </c>
      <c r="K14" s="15"/>
      <c r="L14" s="897"/>
      <c r="M14" s="898"/>
    </row>
    <row r="15" spans="1:37" s="1532" customFormat="1" ht="18" customHeight="1" thickBot="1">
      <c r="A15" s="1094" t="s">
        <v>823</v>
      </c>
      <c r="B15" s="308" t="s">
        <v>1144</v>
      </c>
      <c r="C15" s="24">
        <f ca="1">ROUND(C14*F15,0)</f>
        <v>73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63</v>
      </c>
      <c r="K16" s="1200" t="s">
        <v>1149</v>
      </c>
      <c r="L16" s="1201"/>
      <c r="M16" s="1185"/>
    </row>
    <row r="17" spans="1:37" s="1532" customFormat="1" ht="18" customHeight="1">
      <c r="A17" s="1094" t="s">
        <v>1114</v>
      </c>
      <c r="B17" s="308" t="s">
        <v>1150</v>
      </c>
      <c r="C17" s="24">
        <f ca="1">ROUND(F17*(F43+INDIRECT("'数据-取费表'!S"&amp;$G$1))/10000,0)</f>
        <v>108</v>
      </c>
      <c r="D17" s="308" t="s">
        <v>1151</v>
      </c>
      <c r="E17" s="308" t="s">
        <v>1152</v>
      </c>
      <c r="F17" s="26">
        <f>'数据-取费表'!B35</f>
        <v>200</v>
      </c>
      <c r="G17" s="1531"/>
      <c r="H17" s="1094" t="s">
        <v>822</v>
      </c>
      <c r="I17" s="308" t="s">
        <v>1153</v>
      </c>
      <c r="J17" s="2485">
        <f ca="1">ROUND(IF(AND(项目基本情况!B11="自然人",项目基本情况!B10="北京市"),J6*M17/(1+'数据-取费表'!C42),J18+J19+J20),0)</f>
        <v>30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2638</v>
      </c>
      <c r="D19" s="136" t="s">
        <v>1160</v>
      </c>
      <c r="E19" s="1495"/>
      <c r="F19" s="26"/>
      <c r="G19" s="1519"/>
      <c r="H19" s="1094" t="s">
        <v>823</v>
      </c>
      <c r="I19" s="308" t="s">
        <v>1161</v>
      </c>
      <c r="J19" s="24">
        <f ca="1">IF(K19="按租金收入计税",ROUND(J6*M19/(1+'数据-取费表'!C42),2),ROUND(C29*M19*0.7,2))</f>
        <v>27.9</v>
      </c>
      <c r="K19" s="1505" t="s">
        <v>1162</v>
      </c>
      <c r="L19" s="308" t="s">
        <v>1146</v>
      </c>
      <c r="M19" s="328">
        <f>IF(K19="按租金收入计税",'数据-取费表'!B51,'数据-取费表'!B50)</f>
        <v>1.2E-2</v>
      </c>
    </row>
    <row r="20" spans="1:37" s="1532" customFormat="1" ht="18" customHeight="1">
      <c r="A20" s="1094" t="s">
        <v>826</v>
      </c>
      <c r="B20" s="308" t="s">
        <v>1163</v>
      </c>
      <c r="C20" s="24">
        <f ca="1">ROUND(C19*F20,0)</f>
        <v>53</v>
      </c>
      <c r="D20" s="329" t="s">
        <v>1164</v>
      </c>
      <c r="E20" s="308" t="s">
        <v>1146</v>
      </c>
      <c r="F20" s="328">
        <f>'数据-取费表'!B37</f>
        <v>0.02</v>
      </c>
      <c r="G20" s="1531"/>
      <c r="H20" s="1094" t="s">
        <v>1113</v>
      </c>
      <c r="I20" s="160" t="s">
        <v>1165</v>
      </c>
      <c r="J20" s="25">
        <f ca="1">ROUND(M20*M21/10000,2)</f>
        <v>2.39</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7960.6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33.200000000000003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111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ROUND(IF('数据-取费表'!B22&lt;=1,F21*F24*F23/2,F21*(POWER((1+F24),F23/2)-1)),4)</f>
        <v>8.0000000000000004E-4</v>
      </c>
      <c r="D24" s="335" t="str">
        <f>IF(F23&lt;=1,"销售费用×利率×(建设周期÷2)","销售费用×((1+利率)^(建设周期÷2)-1)")</f>
        <v>销售费用×((1+利率)^(建设周期÷2)-1)</v>
      </c>
      <c r="E24" s="308" t="s">
        <v>1182</v>
      </c>
      <c r="F24" s="337">
        <f>'数据-取费表'!B40</f>
        <v>4.1500000000000002E-2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-63</v>
      </c>
      <c r="K25" s="1208" t="s">
        <v>1188</v>
      </c>
      <c r="L25" s="1209"/>
      <c r="M25" s="1210"/>
    </row>
    <row r="26" spans="1:37">
      <c r="A26" s="1094" t="s">
        <v>821</v>
      </c>
      <c r="B26" s="308" t="s">
        <v>1189</v>
      </c>
      <c r="C26" s="24">
        <f ca="1">ROUND((C19+C20)*F26,0)</f>
        <v>269</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3321</v>
      </c>
      <c r="D29" s="1205"/>
      <c r="E29" s="1203"/>
      <c r="F29" s="1206"/>
      <c r="G29" s="1531"/>
      <c r="H29" s="340" t="s">
        <v>820</v>
      </c>
      <c r="I29" s="341" t="s">
        <v>1203</v>
      </c>
      <c r="J29" s="342">
        <f ca="1">ROUND(J26/(1+F40)^F41,0)</f>
        <v>0</v>
      </c>
      <c r="K29" s="343" t="s">
        <v>1204</v>
      </c>
      <c r="L29" s="344"/>
      <c r="M29" s="345">
        <f ca="1">INDIRECT("'数据-取费表'!k"&amp;$G$1)</f>
        <v>5380.46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108</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67</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20.38</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44.46</v>
      </c>
      <c r="D33" s="1505" t="s">
        <v>3200</v>
      </c>
      <c r="E33" s="308" t="s">
        <v>1146</v>
      </c>
      <c r="F33" s="328">
        <f>IF(D33="按票据","——",IF(D33="按租金收入计税",'数据-取费表'!B51,'数据-取费表'!B50))</f>
        <v>0.12</v>
      </c>
      <c r="G33" s="1519"/>
      <c r="H33" s="2878"/>
      <c r="I33" s="1533">
        <f>'数据-取费表'!K19*0.7*1.2%/10000</f>
        <v>118.66613555999999</v>
      </c>
      <c r="J33" s="1534"/>
      <c r="K33" s="2879"/>
      <c r="L33" s="2878"/>
      <c r="M33" s="2878"/>
    </row>
    <row r="34" spans="1:18" ht="18" customHeight="1">
      <c r="A34" s="1182" t="s">
        <v>1113</v>
      </c>
      <c r="B34" s="160" t="s">
        <v>1165</v>
      </c>
      <c r="C34" s="25">
        <f ca="1">IF(项目基本情况!B11="自然人","——",ROUND(F34*F35/10000,2))</f>
        <v>2.39</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7960.6</v>
      </c>
      <c r="G35" s="1519"/>
      <c r="H35" s="2875"/>
      <c r="I35" s="1533"/>
      <c r="J35" s="1534"/>
      <c r="K35" s="2879"/>
      <c r="L35" s="2878"/>
      <c r="M35" s="2878"/>
    </row>
    <row r="36" spans="1:18" ht="18" customHeight="1">
      <c r="A36" s="1215" t="s">
        <v>826</v>
      </c>
      <c r="B36" s="308" t="s">
        <v>1173</v>
      </c>
      <c r="C36" s="24">
        <f ca="1">ROUND(C29*F36,1)</f>
        <v>33.200000000000003</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3.8</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3.9</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281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5328</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26.66</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9902</v>
      </c>
      <c r="D43" s="343" t="s">
        <v>1212</v>
      </c>
      <c r="E43" s="344" t="s">
        <v>1213</v>
      </c>
      <c r="F43" s="345">
        <f ca="1">INDIRECT("'数据-取费表'!k"&amp;$G$1)</f>
        <v>5380.46</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-9956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3282</v>
      </c>
      <c r="K47" s="1551" t="s">
        <v>1251</v>
      </c>
      <c r="L47" s="1552">
        <f ca="1">INDIRECT("'数据-取费表'!d"&amp;$G$1)</f>
        <v>50</v>
      </c>
      <c r="M47" s="1515" t="str">
        <f>IF(ISNUMBER(FIND("住宅",C1)),"住宅","非住宅")</f>
        <v>非住宅</v>
      </c>
      <c r="O47" s="1553" t="s">
        <v>827</v>
      </c>
      <c r="P47" s="1554" t="s">
        <v>1252</v>
      </c>
      <c r="Q47" s="1555">
        <f ca="1">C40+J29</f>
        <v>5328</v>
      </c>
      <c r="R47" s="1555" t="s">
        <v>1253</v>
      </c>
    </row>
    <row r="48" spans="1:18" s="1519" customFormat="1" ht="28.5"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26.66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3321</v>
      </c>
      <c r="R49" s="1555" t="s">
        <v>1253</v>
      </c>
    </row>
    <row r="50" spans="1:18" s="1519" customFormat="1" ht="13.5" thickBot="1">
      <c r="A50" s="1088"/>
      <c r="B50" s="1091"/>
      <c r="C50" s="1231"/>
      <c r="D50" s="1065"/>
      <c r="E50" s="1168" t="s">
        <v>1130</v>
      </c>
      <c r="F50" s="1169">
        <f ca="1">F7</f>
        <v>5380.46</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1517</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f>'数据-取费表'!I6+3%</f>
        <v>0.08</v>
      </c>
      <c r="K52" s="1572" t="s">
        <v>1268</v>
      </c>
      <c r="L52" s="1573"/>
      <c r="O52" s="1563" t="s">
        <v>832</v>
      </c>
      <c r="P52" s="1554" t="s">
        <v>1269</v>
      </c>
      <c r="Q52" s="1555">
        <f ca="1">J53</f>
        <v>26.66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26.66</v>
      </c>
      <c r="K53" s="3431" t="s">
        <v>1272</v>
      </c>
      <c r="L53" s="3432"/>
      <c r="O53" s="1553" t="s">
        <v>833</v>
      </c>
      <c r="P53" s="1554" t="s">
        <v>1273</v>
      </c>
      <c r="Q53" s="1555">
        <f ca="1">Q47+Q48</f>
        <v>5328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2524</v>
      </c>
      <c r="D56" s="1582"/>
      <c r="E56" s="1583"/>
      <c r="F56" s="1575"/>
      <c r="I56" s="1584" t="s">
        <v>1278</v>
      </c>
      <c r="J56" s="1585" t="s">
        <v>3179</v>
      </c>
      <c r="K56" s="1556" t="s">
        <v>1279</v>
      </c>
      <c r="L56" s="1559" t="str">
        <f ca="1">IF(L48&lt;J51,"——",L48-J53)</f>
        <v>——</v>
      </c>
      <c r="O56" s="1553" t="s">
        <v>827</v>
      </c>
      <c r="P56" s="1554" t="s">
        <v>1252</v>
      </c>
      <c r="Q56" s="1555">
        <f ca="1">C40+J29</f>
        <v>5328</v>
      </c>
      <c r="R56" s="1555" t="s">
        <v>1253</v>
      </c>
    </row>
    <row r="57" spans="1:18" s="1519" customFormat="1" ht="24.75" thickBot="1">
      <c r="A57" s="1586"/>
      <c r="B57" s="1062" t="s">
        <v>1202</v>
      </c>
      <c r="C57" s="244">
        <f ca="1">C29</f>
        <v>3321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318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281</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278.95999999999998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2.39</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5328</v>
      </c>
      <c r="R62" s="1555" t="s">
        <v>834</v>
      </c>
    </row>
    <row r="63" spans="1:18" s="1519" customFormat="1" ht="13.5" thickBot="1">
      <c r="A63" s="332"/>
      <c r="B63" s="1068"/>
      <c r="C63" s="29"/>
      <c r="D63" s="1078"/>
      <c r="E63" s="1062" t="s">
        <v>1223</v>
      </c>
      <c r="F63" s="309">
        <f t="shared" ca="1" si="0"/>
        <v>7960.6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33.200000000000003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3.8</v>
      </c>
      <c r="D65" s="1076" t="s">
        <v>1178</v>
      </c>
      <c r="E65" s="1062" t="s">
        <v>1179</v>
      </c>
      <c r="F65" s="336">
        <f t="shared" ca="1" si="0"/>
        <v>1.5E-3</v>
      </c>
      <c r="I65" s="1597" t="s">
        <v>1303</v>
      </c>
      <c r="J65" s="1598">
        <v>40</v>
      </c>
      <c r="K65" s="1598">
        <v>30</v>
      </c>
      <c r="L65" s="1598">
        <v>50</v>
      </c>
      <c r="M65" s="1600">
        <v>0.02</v>
      </c>
      <c r="O65" s="1553" t="s">
        <v>827</v>
      </c>
      <c r="P65" s="1554" t="s">
        <v>1304</v>
      </c>
      <c r="Q65" s="1555">
        <f ca="1">C40+J29</f>
        <v>5328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-318</v>
      </c>
      <c r="D67" s="1075" t="s">
        <v>1188</v>
      </c>
      <c r="E67" s="1080"/>
      <c r="F67" s="1081"/>
      <c r="O67" s="1563" t="s">
        <v>829</v>
      </c>
      <c r="P67" s="1554" t="s">
        <v>1286</v>
      </c>
      <c r="Q67" s="1601">
        <f ca="1">L51</f>
        <v>1517</v>
      </c>
      <c r="R67" s="1555" t="s">
        <v>1306</v>
      </c>
    </row>
    <row r="68" spans="1:18" s="1519" customFormat="1" ht="16.5" thickBot="1">
      <c r="A68" s="1059" t="s">
        <v>819</v>
      </c>
      <c r="B68" s="1060" t="s">
        <v>1209</v>
      </c>
      <c r="C68" s="307">
        <f ca="1">ROUND(C67*(1-((1+F70)/(1+F68))^F69)/(F68-F70),0)</f>
        <v>-4628</v>
      </c>
      <c r="D68" s="1077" t="s">
        <v>1193</v>
      </c>
      <c r="E68" s="1062" t="s">
        <v>1194</v>
      </c>
      <c r="F68" s="318">
        <f ca="1">F40</f>
        <v>0.05</v>
      </c>
      <c r="O68" s="1563" t="s">
        <v>830</v>
      </c>
      <c r="P68" s="1602" t="s">
        <v>1307</v>
      </c>
      <c r="Q68" s="1555">
        <f ca="1">ROUND(Q69-Q70*Q71,0)</f>
        <v>92</v>
      </c>
      <c r="R68" s="1555" t="s">
        <v>838</v>
      </c>
    </row>
    <row r="69" spans="1:18" s="1519" customFormat="1" ht="13.5" thickBot="1">
      <c r="A69" s="1063"/>
      <c r="B69" s="1064"/>
      <c r="C69" s="312"/>
      <c r="D69" s="1082" t="s">
        <v>1197</v>
      </c>
      <c r="E69" s="1062" t="s">
        <v>1198</v>
      </c>
      <c r="F69" s="339">
        <f ca="1">F41</f>
        <v>26.66</v>
      </c>
      <c r="O69" s="1563" t="s">
        <v>835</v>
      </c>
      <c r="P69" s="1602" t="s">
        <v>1308</v>
      </c>
      <c r="Q69" s="1555">
        <f ca="1">C39</f>
        <v>281</v>
      </c>
      <c r="R69" s="1555" t="s">
        <v>1253</v>
      </c>
    </row>
    <row r="70" spans="1:18" s="1519" customFormat="1" ht="13.5" thickBot="1">
      <c r="A70" s="1066"/>
      <c r="B70" s="1067"/>
      <c r="C70" s="316"/>
      <c r="D70" s="1078"/>
      <c r="E70" s="1062" t="s">
        <v>1201</v>
      </c>
      <c r="F70" s="1166"/>
      <c r="O70" s="1563" t="s">
        <v>836</v>
      </c>
      <c r="P70" s="1602" t="s">
        <v>1309</v>
      </c>
      <c r="Q70" s="1555">
        <f ca="1">C13</f>
        <v>2524</v>
      </c>
      <c r="R70" s="1555" t="s">
        <v>1253</v>
      </c>
    </row>
    <row r="71" spans="1:18" s="1519" customFormat="1" ht="13.5" thickBot="1">
      <c r="A71" s="1083" t="s">
        <v>820</v>
      </c>
      <c r="B71" s="1084" t="s">
        <v>1211</v>
      </c>
      <c r="C71" s="342">
        <f ca="1">ROUND(C68*10000/F71,0)</f>
        <v>-8601</v>
      </c>
      <c r="D71" s="1085" t="s">
        <v>1212</v>
      </c>
      <c r="E71" s="1086" t="s">
        <v>1213</v>
      </c>
      <c r="F71" s="345">
        <f ca="1">F43</f>
        <v>5380.46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189</v>
      </c>
      <c r="D75" s="1519"/>
      <c r="E75" s="1519"/>
      <c r="F75" s="1519"/>
      <c r="K75" s="1537"/>
      <c r="L75" s="1519"/>
      <c r="O75" s="1553" t="s">
        <v>833</v>
      </c>
      <c r="P75" s="1554" t="s">
        <v>1273</v>
      </c>
      <c r="Q75" s="1555">
        <f ca="1">Q65+Q66</f>
        <v>5328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0.32699999999999996</v>
      </c>
    </row>
    <row r="80" spans="1:18">
      <c r="B80" s="346" t="s">
        <v>1235</v>
      </c>
      <c r="C80" s="280">
        <f ca="1">ROUND(C75/C39,3)</f>
        <v>0.67300000000000004</v>
      </c>
    </row>
    <row r="81" spans="2:3">
      <c r="B81" s="276" t="s">
        <v>1236</v>
      </c>
      <c r="C81" s="244"/>
    </row>
    <row r="82" spans="2:3">
      <c r="B82" s="279" t="s">
        <v>1237</v>
      </c>
      <c r="C82" s="281">
        <f ca="1">1-C83</f>
        <v>0.52600000000000002</v>
      </c>
    </row>
    <row r="83" spans="2:3">
      <c r="B83" s="279" t="s">
        <v>1238</v>
      </c>
      <c r="C83" s="280">
        <f ca="1">ROUND(C13/C40,3)</f>
        <v>0.47399999999999998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ROUND(IF('数据-取费表'!B22&lt;=1,F21*F24*F23/2,F21*(POWER((1+F24),F23/2)-1)),4)</f>
        <v>8.0000000000000004E-4</v>
      </c>
      <c r="D24" s="335" t="str">
        <f>IF(F23&lt;=1,"销售费用×利率×(建设周期÷2)","销售费用×((1+利率)^(建设周期÷2)-1)")</f>
        <v>销售费用×((1+利率)^(建设周期÷2)-1)</v>
      </c>
      <c r="E24" s="308" t="s">
        <v>1182</v>
      </c>
      <c r="F24" s="337">
        <f>'数据-取费表'!B40</f>
        <v>4.1500000000000002E-2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36" t="s">
        <v>2821</v>
      </c>
      <c r="K2" s="3437"/>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38" t="s">
        <v>2831</v>
      </c>
      <c r="K3" s="3439"/>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38" t="s">
        <v>2833</v>
      </c>
      <c r="K4" s="3439"/>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40" t="s">
        <v>2837</v>
      </c>
      <c r="B6" s="3441"/>
      <c r="C6" s="3442"/>
      <c r="D6" s="3050"/>
      <c r="E6" s="3051"/>
      <c r="F6" s="3052"/>
      <c r="G6" s="3053"/>
      <c r="H6" s="3028"/>
      <c r="I6" s="3029"/>
      <c r="J6" s="3443">
        <v>1</v>
      </c>
      <c r="K6" s="3444"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43"/>
      <c r="K7" s="3445"/>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47" t="s">
        <v>2851</v>
      </c>
      <c r="C8" s="3448"/>
      <c r="D8" s="3069" t="s">
        <v>2852</v>
      </c>
      <c r="E8" s="3070" t="s">
        <v>2853</v>
      </c>
      <c r="F8" s="3071" t="s">
        <v>2854</v>
      </c>
      <c r="G8" s="3072"/>
      <c r="H8" s="3028"/>
      <c r="I8" s="3029"/>
      <c r="J8" s="3443"/>
      <c r="K8" s="3445"/>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47" t="s">
        <v>2857</v>
      </c>
      <c r="C9" s="3448"/>
      <c r="D9" s="3069">
        <f>ROUND(D6*E9,0)</f>
        <v>0</v>
      </c>
      <c r="E9" s="3073"/>
      <c r="F9" s="3074" t="s">
        <v>2858</v>
      </c>
      <c r="G9" s="3053"/>
      <c r="H9" s="3028"/>
      <c r="I9" s="3029"/>
      <c r="J9" s="3443"/>
      <c r="K9" s="3445"/>
      <c r="L9" s="3063" t="s">
        <v>2859</v>
      </c>
      <c r="M9" s="3064"/>
      <c r="N9" s="3040"/>
      <c r="O9" s="3065"/>
      <c r="P9" s="3065"/>
      <c r="Q9" s="3066">
        <v>365</v>
      </c>
      <c r="R9" s="3067">
        <f t="shared" si="0"/>
        <v>0</v>
      </c>
      <c r="S9" s="3021"/>
      <c r="T9" s="3021"/>
      <c r="U9" s="3021"/>
      <c r="V9" s="3029"/>
    </row>
    <row r="10" spans="1:22" s="3033" customFormat="1" ht="13.15" customHeight="1">
      <c r="A10" s="3068">
        <v>2</v>
      </c>
      <c r="B10" s="3447" t="s">
        <v>2860</v>
      </c>
      <c r="C10" s="3448"/>
      <c r="D10" s="3069">
        <f>ROUND(D6*E10,0)</f>
        <v>0</v>
      </c>
      <c r="E10" s="3073"/>
      <c r="F10" s="3074" t="s">
        <v>2861</v>
      </c>
      <c r="G10" s="3053"/>
      <c r="H10" s="3028"/>
      <c r="I10" s="3029"/>
      <c r="J10" s="3443"/>
      <c r="K10" s="3445"/>
      <c r="L10" s="3063" t="s">
        <v>2862</v>
      </c>
      <c r="M10" s="3064"/>
      <c r="N10" s="3040"/>
      <c r="O10" s="3065"/>
      <c r="P10" s="3065"/>
      <c r="Q10" s="3066">
        <v>365</v>
      </c>
      <c r="R10" s="3067">
        <f t="shared" si="0"/>
        <v>0</v>
      </c>
      <c r="S10" s="3021"/>
      <c r="T10" s="3021"/>
      <c r="U10" s="3021"/>
      <c r="V10" s="3029"/>
    </row>
    <row r="11" spans="1:22" s="3033" customFormat="1" ht="13.15" customHeight="1">
      <c r="A11" s="3068">
        <v>3</v>
      </c>
      <c r="B11" s="3447" t="s">
        <v>2863</v>
      </c>
      <c r="C11" s="3448"/>
      <c r="D11" s="3069">
        <f>D12+D14+D15+D16</f>
        <v>0</v>
      </c>
      <c r="E11" s="3075" t="e">
        <f>D11/D6</f>
        <v>#DIV/0!</v>
      </c>
      <c r="F11" s="3071"/>
      <c r="G11" s="3072"/>
      <c r="H11" s="3028"/>
      <c r="I11" s="3029"/>
      <c r="J11" s="3443"/>
      <c r="K11" s="3445"/>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49" t="s">
        <v>2866</v>
      </c>
      <c r="C12" s="3450"/>
      <c r="D12" s="3077">
        <f>ROUND(D13*1.2%*(1-30%),0)</f>
        <v>0</v>
      </c>
      <c r="E12" s="3078">
        <v>1.2E-2</v>
      </c>
      <c r="F12" s="3071" t="s">
        <v>2867</v>
      </c>
      <c r="G12" s="3072"/>
      <c r="H12" s="3028"/>
      <c r="I12" s="3029"/>
      <c r="J12" s="3443"/>
      <c r="K12" s="3445"/>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43"/>
      <c r="K13" s="3445"/>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49" t="s">
        <v>2872</v>
      </c>
      <c r="C14" s="3450"/>
      <c r="D14" s="3077">
        <f>ROUND(E14*B5/10000,0)</f>
        <v>0</v>
      </c>
      <c r="E14" s="3066"/>
      <c r="F14" s="3071" t="s">
        <v>2873</v>
      </c>
      <c r="G14" s="3072"/>
      <c r="H14" s="3028"/>
      <c r="I14" s="3029"/>
      <c r="J14" s="3443"/>
      <c r="K14" s="3446"/>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49" t="s">
        <v>2876</v>
      </c>
      <c r="C15" s="3450"/>
      <c r="D15" s="3077">
        <f>ROUND(D6*E15,0)</f>
        <v>0</v>
      </c>
      <c r="E15" s="3078">
        <v>5.5E-2</v>
      </c>
      <c r="F15" s="3071" t="s">
        <v>2877</v>
      </c>
      <c r="G15" s="3053"/>
      <c r="H15" s="3028"/>
      <c r="I15" s="3029"/>
      <c r="J15" s="3443">
        <v>2</v>
      </c>
      <c r="K15" s="3444"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49" t="s">
        <v>2885</v>
      </c>
      <c r="C16" s="3450"/>
      <c r="D16" s="3088">
        <f>D6*E16</f>
        <v>0</v>
      </c>
      <c r="E16" s="3089"/>
      <c r="F16" s="3074" t="s">
        <v>2886</v>
      </c>
      <c r="G16" s="3053"/>
      <c r="H16" s="3028"/>
      <c r="I16" s="3029"/>
      <c r="J16" s="3443"/>
      <c r="K16" s="3445"/>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51" t="s">
        <v>2888</v>
      </c>
      <c r="C17" s="3452"/>
      <c r="D17" s="3091">
        <f>ROUND(D6*E17,0)</f>
        <v>0</v>
      </c>
      <c r="E17" s="3092"/>
      <c r="F17" s="3093" t="s">
        <v>2889</v>
      </c>
      <c r="G17" s="3053"/>
      <c r="H17" s="3028"/>
      <c r="I17" s="3029"/>
      <c r="J17" s="3443"/>
      <c r="K17" s="3445"/>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43"/>
      <c r="K18" s="3445"/>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43"/>
      <c r="K19" s="3446"/>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43">
        <v>3</v>
      </c>
      <c r="K20" s="3444"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43"/>
      <c r="K21" s="3445"/>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43"/>
      <c r="K22" s="3445"/>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43"/>
      <c r="K23" s="3445"/>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43"/>
      <c r="K24" s="3446"/>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53">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54"/>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36" t="s">
        <v>2821</v>
      </c>
      <c r="K32" s="3437"/>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38" t="s">
        <v>2831</v>
      </c>
      <c r="K33" s="3439"/>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38" t="s">
        <v>2833</v>
      </c>
      <c r="K34" s="343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43">
        <v>1</v>
      </c>
      <c r="K36" s="3444"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43"/>
      <c r="K37" s="3445"/>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43"/>
      <c r="K38" s="3445"/>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43"/>
      <c r="K39" s="3445"/>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43"/>
      <c r="K40" s="3446"/>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3">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54"/>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5328</v>
      </c>
      <c r="C2" s="2009" t="s">
        <v>2099</v>
      </c>
      <c r="D2" s="2010" t="s">
        <v>2100</v>
      </c>
      <c r="E2" s="2782">
        <f>SUM(E6:E13)</f>
        <v>5380.46</v>
      </c>
      <c r="F2" s="2885"/>
      <c r="G2" s="1625"/>
      <c r="H2" s="1625"/>
      <c r="I2" s="1625"/>
      <c r="J2" s="1625"/>
      <c r="K2" s="1625"/>
      <c r="L2" s="1625"/>
      <c r="M2" s="1625"/>
      <c r="N2" s="1625"/>
      <c r="O2" s="1625"/>
      <c r="P2" s="1625"/>
      <c r="Q2" s="1625"/>
      <c r="R2" s="1625"/>
      <c r="S2" s="1625"/>
    </row>
    <row r="3" spans="1:22" ht="15.75">
      <c r="A3" s="2007" t="s">
        <v>1119</v>
      </c>
      <c r="B3" s="2776">
        <f ca="1">ROUND(B2*10000/E2,0)</f>
        <v>9902</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55" t="s">
        <v>2102</v>
      </c>
      <c r="C5" s="3456"/>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5328</v>
      </c>
      <c r="C6" s="2009" t="s">
        <v>2099</v>
      </c>
      <c r="D6" s="2887"/>
      <c r="E6" s="2781">
        <f>IF(OR(A6=0,F6="否"),0,'数据-取费表'!K6+'数据-取费表'!S6)</f>
        <v>5380.46</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5380.46</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3"/>
      <c r="M4" s="2894"/>
      <c r="N4" s="2894"/>
      <c r="O4" s="2894"/>
      <c r="P4" s="3479" t="s">
        <v>2121</v>
      </c>
      <c r="Q4" s="3480"/>
      <c r="R4" s="3462" t="s">
        <v>2117</v>
      </c>
      <c r="S4" s="3463"/>
      <c r="T4" s="3462" t="s">
        <v>2118</v>
      </c>
      <c r="U4" s="3463"/>
      <c r="V4" s="3487" t="s">
        <v>2119</v>
      </c>
      <c r="W4" s="3487"/>
      <c r="X4" s="1490"/>
      <c r="Y4" s="3462" t="s">
        <v>2121</v>
      </c>
      <c r="Z4" s="3463"/>
      <c r="AA4" s="3457" t="s">
        <v>2117</v>
      </c>
      <c r="AB4" s="3457" t="s">
        <v>2118</v>
      </c>
      <c r="AC4" s="3457" t="s">
        <v>2119</v>
      </c>
    </row>
    <row r="5" spans="1:29" ht="15">
      <c r="A5" s="364"/>
      <c r="B5" s="365"/>
      <c r="C5" s="3468" t="s">
        <v>2122</v>
      </c>
      <c r="D5" s="3469"/>
      <c r="E5" s="3466" t="s">
        <v>2123</v>
      </c>
      <c r="F5" s="3467"/>
      <c r="G5" s="3468" t="s">
        <v>2124</v>
      </c>
      <c r="H5" s="3469"/>
      <c r="I5" s="3468" t="s">
        <v>2125</v>
      </c>
      <c r="J5" s="3469"/>
      <c r="K5" s="2027"/>
      <c r="L5" s="2893"/>
      <c r="M5" s="2894"/>
      <c r="N5" s="2894"/>
      <c r="O5" s="2894"/>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2027" t="s">
        <v>2127</v>
      </c>
      <c r="L6" s="2893"/>
      <c r="M6" s="2894"/>
      <c r="N6" s="2894"/>
      <c r="O6" s="2894"/>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44820</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60" t="s">
        <v>2129</v>
      </c>
      <c r="Q7" s="3488"/>
      <c r="R7" s="710" t="s">
        <v>23</v>
      </c>
      <c r="S7" s="711">
        <f t="shared" ref="S7:S15" si="0">F7</f>
        <v>0</v>
      </c>
      <c r="T7" s="710" t="s">
        <v>23</v>
      </c>
      <c r="U7" s="711">
        <f t="shared" ref="U7:U15" si="1">H7</f>
        <v>0</v>
      </c>
      <c r="V7" s="710" t="s">
        <v>23</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60" t="s">
        <v>2132</v>
      </c>
      <c r="Q8" s="3461"/>
      <c r="R8" s="710" t="s">
        <v>23</v>
      </c>
      <c r="S8" s="711">
        <f t="shared" si="0"/>
        <v>0</v>
      </c>
      <c r="T8" s="710" t="s">
        <v>23</v>
      </c>
      <c r="U8" s="711">
        <f t="shared" si="1"/>
        <v>0</v>
      </c>
      <c r="V8" s="710" t="s">
        <v>23</v>
      </c>
      <c r="W8" s="711">
        <f t="shared" si="2"/>
        <v>0</v>
      </c>
      <c r="X8" s="712"/>
      <c r="Y8" s="3460" t="s">
        <v>2132</v>
      </c>
      <c r="Z8" s="346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4"/>
      <c r="Q11" s="1478" t="str">
        <f t="shared" si="6"/>
        <v>容积率</v>
      </c>
      <c r="R11" s="710" t="s">
        <v>21</v>
      </c>
      <c r="S11" s="711" t="e">
        <f t="shared" si="0"/>
        <v>#N/A</v>
      </c>
      <c r="T11" s="710" t="s">
        <v>21</v>
      </c>
      <c r="U11" s="711" t="e">
        <f t="shared" si="1"/>
        <v>#N/A</v>
      </c>
      <c r="V11" s="710" t="s">
        <v>21</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74"/>
      <c r="Q12" s="1478">
        <f t="shared" si="6"/>
        <v>111</v>
      </c>
      <c r="R12" s="710" t="s">
        <v>21</v>
      </c>
      <c r="S12" s="711">
        <f t="shared" si="0"/>
        <v>100</v>
      </c>
      <c r="T12" s="710" t="s">
        <v>21</v>
      </c>
      <c r="U12" s="711">
        <f t="shared" si="1"/>
        <v>100</v>
      </c>
      <c r="V12" s="710" t="s">
        <v>21</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74"/>
      <c r="Q13" s="1478">
        <f t="shared" si="6"/>
        <v>111</v>
      </c>
      <c r="R13" s="710" t="s">
        <v>21</v>
      </c>
      <c r="S13" s="711">
        <f t="shared" si="0"/>
        <v>100</v>
      </c>
      <c r="T13" s="710" t="s">
        <v>21</v>
      </c>
      <c r="U13" s="711">
        <f t="shared" si="1"/>
        <v>100</v>
      </c>
      <c r="V13" s="710" t="s">
        <v>21</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74"/>
      <c r="Q14" s="1478">
        <f t="shared" si="6"/>
        <v>111</v>
      </c>
      <c r="R14" s="710" t="s">
        <v>21</v>
      </c>
      <c r="S14" s="711">
        <f t="shared" si="0"/>
        <v>100</v>
      </c>
      <c r="T14" s="710" t="s">
        <v>21</v>
      </c>
      <c r="U14" s="711">
        <f t="shared" si="1"/>
        <v>100</v>
      </c>
      <c r="V14" s="710" t="s">
        <v>21</v>
      </c>
      <c r="W14" s="711">
        <f t="shared" si="2"/>
        <v>100</v>
      </c>
      <c r="X14" s="712"/>
      <c r="Y14" s="340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1" t="s">
        <v>2140</v>
      </c>
      <c r="Q15" s="1487" t="str">
        <f t="shared" si="6"/>
        <v>居住社区成熟度</v>
      </c>
      <c r="R15" s="714" t="s">
        <v>21</v>
      </c>
      <c r="S15" s="715">
        <f t="shared" si="0"/>
        <v>100</v>
      </c>
      <c r="T15" s="714" t="s">
        <v>21</v>
      </c>
      <c r="U15" s="715">
        <f t="shared" si="1"/>
        <v>100</v>
      </c>
      <c r="V15" s="714" t="s">
        <v>21</v>
      </c>
      <c r="W15" s="715">
        <f t="shared" si="2"/>
        <v>100</v>
      </c>
      <c r="X15" s="1490"/>
      <c r="Y15" s="349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02"/>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02"/>
      <c r="Q17" s="1487" t="str">
        <f>B17</f>
        <v>交通便捷度</v>
      </c>
      <c r="R17" s="714" t="s">
        <v>21</v>
      </c>
      <c r="S17" s="715">
        <f>F17</f>
        <v>100</v>
      </c>
      <c r="T17" s="714" t="s">
        <v>21</v>
      </c>
      <c r="U17" s="715">
        <f>H17</f>
        <v>100</v>
      </c>
      <c r="V17" s="714" t="s">
        <v>21</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02"/>
      <c r="Q18" s="1487"/>
      <c r="R18" s="714"/>
      <c r="S18" s="715"/>
      <c r="T18" s="714"/>
      <c r="U18" s="715"/>
      <c r="V18" s="714"/>
      <c r="W18" s="715"/>
      <c r="X18" s="1490"/>
      <c r="Y18" s="349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02"/>
      <c r="Q19" s="1487" t="str">
        <f>B19</f>
        <v>公共配套设施</v>
      </c>
      <c r="R19" s="714" t="s">
        <v>21</v>
      </c>
      <c r="S19" s="715">
        <f>F19</f>
        <v>100</v>
      </c>
      <c r="T19" s="714" t="s">
        <v>21</v>
      </c>
      <c r="U19" s="715">
        <f>H19</f>
        <v>100</v>
      </c>
      <c r="V19" s="714" t="s">
        <v>21</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02"/>
      <c r="Q20" s="1487"/>
      <c r="R20" s="714"/>
      <c r="S20" s="715"/>
      <c r="T20" s="714"/>
      <c r="U20" s="715"/>
      <c r="V20" s="714"/>
      <c r="W20" s="715"/>
      <c r="X20" s="1490"/>
      <c r="Y20" s="349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02"/>
      <c r="Q22" s="1487"/>
      <c r="R22" s="714"/>
      <c r="S22" s="715"/>
      <c r="T22" s="714"/>
      <c r="U22" s="715"/>
      <c r="V22" s="714"/>
      <c r="W22" s="715"/>
      <c r="X22" s="1490"/>
      <c r="Y22" s="349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02"/>
      <c r="Q23" s="1487" t="str">
        <f>B23</f>
        <v>自然及人文环境</v>
      </c>
      <c r="R23" s="714" t="s">
        <v>21</v>
      </c>
      <c r="S23" s="715">
        <f>F23</f>
        <v>100</v>
      </c>
      <c r="T23" s="714" t="s">
        <v>21</v>
      </c>
      <c r="U23" s="715">
        <f>H23</f>
        <v>100</v>
      </c>
      <c r="V23" s="714" t="s">
        <v>21</v>
      </c>
      <c r="W23" s="715">
        <f>J23</f>
        <v>100</v>
      </c>
      <c r="X23" s="1490"/>
      <c r="Y23" s="349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02"/>
      <c r="Q24" s="1487"/>
      <c r="R24" s="714"/>
      <c r="S24" s="715"/>
      <c r="T24" s="714"/>
      <c r="U24" s="715"/>
      <c r="V24" s="714"/>
      <c r="W24" s="715"/>
      <c r="X24" s="1490"/>
      <c r="Y24" s="349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0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02"/>
      <c r="Q26" s="1487" t="str">
        <f t="shared" si="11"/>
        <v>朝向</v>
      </c>
      <c r="R26" s="714" t="s">
        <v>21</v>
      </c>
      <c r="S26" s="715">
        <f t="shared" si="12"/>
        <v>100</v>
      </c>
      <c r="T26" s="714" t="s">
        <v>21</v>
      </c>
      <c r="U26" s="715">
        <f t="shared" si="13"/>
        <v>100</v>
      </c>
      <c r="V26" s="714" t="s">
        <v>21</v>
      </c>
      <c r="W26" s="715">
        <f t="shared" si="14"/>
        <v>100</v>
      </c>
      <c r="X26" s="1490"/>
      <c r="Y26" s="349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02"/>
      <c r="Q27" s="1478">
        <f t="shared" si="11"/>
        <v>111</v>
      </c>
      <c r="R27" s="710" t="s">
        <v>21</v>
      </c>
      <c r="S27" s="711">
        <f t="shared" si="12"/>
        <v>100</v>
      </c>
      <c r="T27" s="710" t="s">
        <v>21</v>
      </c>
      <c r="U27" s="711">
        <f t="shared" si="13"/>
        <v>100</v>
      </c>
      <c r="V27" s="710" t="s">
        <v>21</v>
      </c>
      <c r="W27" s="711">
        <f t="shared" si="14"/>
        <v>100</v>
      </c>
      <c r="X27" s="712"/>
      <c r="Y27" s="349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02"/>
      <c r="Q28" s="1487">
        <f t="shared" si="11"/>
        <v>111</v>
      </c>
      <c r="R28" s="714" t="s">
        <v>21</v>
      </c>
      <c r="S28" s="715">
        <f t="shared" si="12"/>
        <v>100</v>
      </c>
      <c r="T28" s="714" t="s">
        <v>21</v>
      </c>
      <c r="U28" s="715">
        <f t="shared" si="13"/>
        <v>100</v>
      </c>
      <c r="V28" s="714" t="s">
        <v>21</v>
      </c>
      <c r="W28" s="715">
        <f t="shared" si="14"/>
        <v>100</v>
      </c>
      <c r="X28" s="1490"/>
      <c r="Y28" s="349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02"/>
      <c r="Q29" s="1487">
        <f t="shared" si="11"/>
        <v>111</v>
      </c>
      <c r="R29" s="714" t="s">
        <v>21</v>
      </c>
      <c r="S29" s="715">
        <f t="shared" si="12"/>
        <v>100</v>
      </c>
      <c r="T29" s="714" t="s">
        <v>21</v>
      </c>
      <c r="U29" s="715">
        <f t="shared" si="13"/>
        <v>100</v>
      </c>
      <c r="V29" s="714" t="s">
        <v>21</v>
      </c>
      <c r="W29" s="715">
        <f t="shared" si="14"/>
        <v>100</v>
      </c>
      <c r="X29" s="1490"/>
      <c r="Y29" s="349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02"/>
      <c r="Q30" s="1487">
        <f t="shared" si="11"/>
        <v>111</v>
      </c>
      <c r="R30" s="714" t="s">
        <v>21</v>
      </c>
      <c r="S30" s="715">
        <f t="shared" si="12"/>
        <v>100</v>
      </c>
      <c r="T30" s="714" t="s">
        <v>21</v>
      </c>
      <c r="U30" s="715">
        <f t="shared" si="13"/>
        <v>100</v>
      </c>
      <c r="V30" s="714" t="s">
        <v>21</v>
      </c>
      <c r="W30" s="715">
        <f t="shared" si="14"/>
        <v>100</v>
      </c>
      <c r="X30" s="1490"/>
      <c r="Y30" s="349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02"/>
      <c r="Q31" s="1487">
        <f t="shared" si="11"/>
        <v>111</v>
      </c>
      <c r="R31" s="714" t="s">
        <v>21</v>
      </c>
      <c r="S31" s="715">
        <f t="shared" si="12"/>
        <v>100</v>
      </c>
      <c r="T31" s="714" t="s">
        <v>21</v>
      </c>
      <c r="U31" s="715">
        <f t="shared" si="13"/>
        <v>100</v>
      </c>
      <c r="V31" s="714" t="s">
        <v>21</v>
      </c>
      <c r="W31" s="715">
        <f t="shared" si="14"/>
        <v>100</v>
      </c>
      <c r="X31" s="1490"/>
      <c r="Y31" s="349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96" t="s">
        <v>2145</v>
      </c>
      <c r="Q32" s="1487" t="str">
        <f t="shared" si="11"/>
        <v>建筑类型</v>
      </c>
      <c r="R32" s="714" t="s">
        <v>21</v>
      </c>
      <c r="S32" s="715">
        <f t="shared" si="12"/>
        <v>100</v>
      </c>
      <c r="T32" s="714" t="s">
        <v>21</v>
      </c>
      <c r="U32" s="715">
        <f t="shared" si="13"/>
        <v>100</v>
      </c>
      <c r="V32" s="714" t="s">
        <v>21</v>
      </c>
      <c r="W32" s="715">
        <f t="shared" si="14"/>
        <v>100</v>
      </c>
      <c r="X32" s="1490"/>
      <c r="Y32" s="349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97"/>
      <c r="Q34" s="1487" t="str">
        <f t="shared" si="11"/>
        <v>建筑结构</v>
      </c>
      <c r="R34" s="714" t="s">
        <v>21</v>
      </c>
      <c r="S34" s="715">
        <f t="shared" si="12"/>
        <v>100</v>
      </c>
      <c r="T34" s="714" t="s">
        <v>21</v>
      </c>
      <c r="U34" s="715">
        <f t="shared" si="13"/>
        <v>100</v>
      </c>
      <c r="V34" s="714" t="s">
        <v>21</v>
      </c>
      <c r="W34" s="715">
        <f t="shared" si="14"/>
        <v>100</v>
      </c>
      <c r="X34" s="1490"/>
      <c r="Y34" s="349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97"/>
      <c r="Q35" s="1487" t="str">
        <f t="shared" si="11"/>
        <v>建筑品质</v>
      </c>
      <c r="R35" s="714" t="s">
        <v>21</v>
      </c>
      <c r="S35" s="715">
        <f t="shared" si="12"/>
        <v>100</v>
      </c>
      <c r="T35" s="714" t="s">
        <v>21</v>
      </c>
      <c r="U35" s="715">
        <f t="shared" si="13"/>
        <v>100</v>
      </c>
      <c r="V35" s="714" t="s">
        <v>21</v>
      </c>
      <c r="W35" s="715">
        <f t="shared" si="14"/>
        <v>100</v>
      </c>
      <c r="X35" s="1490"/>
      <c r="Y35" s="349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97"/>
      <c r="Q36" s="1487" t="str">
        <f t="shared" si="11"/>
        <v>公共部分装修</v>
      </c>
      <c r="R36" s="714" t="s">
        <v>21</v>
      </c>
      <c r="S36" s="715">
        <f t="shared" si="12"/>
        <v>100</v>
      </c>
      <c r="T36" s="714" t="s">
        <v>21</v>
      </c>
      <c r="U36" s="715">
        <f t="shared" si="13"/>
        <v>100</v>
      </c>
      <c r="V36" s="714" t="s">
        <v>21</v>
      </c>
      <c r="W36" s="715">
        <f t="shared" si="14"/>
        <v>100</v>
      </c>
      <c r="X36" s="1490"/>
      <c r="Y36" s="349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7"/>
      <c r="Q37" s="1478"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97" t="s">
        <v>2145</v>
      </c>
      <c r="Q38" s="1487" t="str">
        <f t="shared" si="11"/>
        <v>物业管理</v>
      </c>
      <c r="R38" s="714" t="s">
        <v>21</v>
      </c>
      <c r="S38" s="715">
        <f t="shared" si="12"/>
        <v>100</v>
      </c>
      <c r="T38" s="714" t="s">
        <v>21</v>
      </c>
      <c r="U38" s="715">
        <f t="shared" si="13"/>
        <v>100</v>
      </c>
      <c r="V38" s="714" t="s">
        <v>21</v>
      </c>
      <c r="W38" s="715">
        <f t="shared" si="14"/>
        <v>100</v>
      </c>
      <c r="X38" s="1490"/>
      <c r="Y38" s="349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97"/>
      <c r="Q39" s="1487" t="str">
        <f t="shared" si="11"/>
        <v>市政基础设施</v>
      </c>
      <c r="R39" s="714" t="s">
        <v>21</v>
      </c>
      <c r="S39" s="715">
        <f t="shared" si="12"/>
        <v>100</v>
      </c>
      <c r="T39" s="714" t="s">
        <v>21</v>
      </c>
      <c r="U39" s="715">
        <f t="shared" si="13"/>
        <v>100</v>
      </c>
      <c r="V39" s="714" t="s">
        <v>21</v>
      </c>
      <c r="W39" s="715">
        <f t="shared" si="14"/>
        <v>100</v>
      </c>
      <c r="X39" s="1490"/>
      <c r="Y39" s="349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97"/>
      <c r="Q40" s="1487" t="str">
        <f t="shared" si="11"/>
        <v>房型</v>
      </c>
      <c r="R40" s="714" t="s">
        <v>21</v>
      </c>
      <c r="S40" s="715">
        <f t="shared" si="12"/>
        <v>100</v>
      </c>
      <c r="T40" s="714" t="s">
        <v>21</v>
      </c>
      <c r="U40" s="715">
        <f t="shared" si="13"/>
        <v>100</v>
      </c>
      <c r="V40" s="714" t="s">
        <v>21</v>
      </c>
      <c r="W40" s="715">
        <f t="shared" si="14"/>
        <v>100</v>
      </c>
      <c r="X40" s="1490"/>
      <c r="Y40" s="349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97"/>
      <c r="Q42" s="1487" t="str">
        <f t="shared" si="11"/>
        <v>内部装修</v>
      </c>
      <c r="R42" s="714" t="s">
        <v>21</v>
      </c>
      <c r="S42" s="715">
        <f t="shared" si="12"/>
        <v>100</v>
      </c>
      <c r="T42" s="714" t="s">
        <v>21</v>
      </c>
      <c r="U42" s="715">
        <f t="shared" si="13"/>
        <v>100</v>
      </c>
      <c r="V42" s="714" t="s">
        <v>21</v>
      </c>
      <c r="W42" s="715">
        <f t="shared" si="14"/>
        <v>100</v>
      </c>
      <c r="X42" s="1490"/>
      <c r="Y42" s="349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97"/>
      <c r="Q43" s="1487" t="str">
        <f t="shared" si="11"/>
        <v>内部装修维护情况</v>
      </c>
      <c r="R43" s="714" t="s">
        <v>21</v>
      </c>
      <c r="S43" s="715">
        <f t="shared" si="12"/>
        <v>100</v>
      </c>
      <c r="T43" s="714" t="s">
        <v>21</v>
      </c>
      <c r="U43" s="715">
        <f t="shared" si="13"/>
        <v>100</v>
      </c>
      <c r="V43" s="714" t="s">
        <v>21</v>
      </c>
      <c r="W43" s="715">
        <f t="shared" si="14"/>
        <v>100</v>
      </c>
      <c r="X43" s="1490"/>
      <c r="Y43" s="349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97"/>
      <c r="Q44" s="1478">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97"/>
      <c r="Q45" s="1487">
        <f t="shared" si="11"/>
        <v>111</v>
      </c>
      <c r="R45" s="714" t="s">
        <v>21</v>
      </c>
      <c r="S45" s="715">
        <f t="shared" si="12"/>
        <v>100</v>
      </c>
      <c r="T45" s="714" t="s">
        <v>21</v>
      </c>
      <c r="U45" s="715">
        <f t="shared" si="13"/>
        <v>100</v>
      </c>
      <c r="V45" s="714" t="s">
        <v>21</v>
      </c>
      <c r="W45" s="715">
        <f t="shared" si="14"/>
        <v>100</v>
      </c>
      <c r="X45" s="1490"/>
      <c r="Y45" s="349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98"/>
      <c r="Q46" s="1487">
        <f t="shared" si="11"/>
        <v>111</v>
      </c>
      <c r="R46" s="714" t="s">
        <v>20</v>
      </c>
      <c r="S46" s="715">
        <f t="shared" si="12"/>
        <v>100</v>
      </c>
      <c r="T46" s="714" t="s">
        <v>20</v>
      </c>
      <c r="U46" s="715">
        <f t="shared" si="13"/>
        <v>100</v>
      </c>
      <c r="V46" s="714" t="s">
        <v>20</v>
      </c>
      <c r="W46" s="715">
        <f t="shared" si="14"/>
        <v>100</v>
      </c>
      <c r="X46" s="1490"/>
      <c r="Y46" s="350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2"/>
      <c r="M48" s="2903"/>
      <c r="N48" s="2903"/>
      <c r="O48" s="290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5380.46</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62" t="s">
        <v>2227</v>
      </c>
      <c r="S4" s="3463"/>
      <c r="T4" s="3462" t="s">
        <v>2228</v>
      </c>
      <c r="U4" s="3463"/>
      <c r="V4" s="3487" t="s">
        <v>2229</v>
      </c>
      <c r="W4" s="3487"/>
      <c r="X4" s="1490"/>
      <c r="Y4" s="3462" t="s">
        <v>2231</v>
      </c>
      <c r="Z4" s="3463"/>
      <c r="AA4" s="3457" t="s">
        <v>2227</v>
      </c>
      <c r="AB4" s="3487" t="s">
        <v>2228</v>
      </c>
      <c r="AC4" s="3457" t="s">
        <v>2229</v>
      </c>
    </row>
    <row r="5" spans="1:29" ht="15">
      <c r="A5" s="364"/>
      <c r="B5" s="365"/>
      <c r="C5" s="3468" t="s">
        <v>2122</v>
      </c>
      <c r="D5" s="3469"/>
      <c r="E5" s="3466" t="s">
        <v>2123</v>
      </c>
      <c r="F5" s="3467"/>
      <c r="G5" s="3468" t="s">
        <v>2124</v>
      </c>
      <c r="H5" s="3469"/>
      <c r="I5" s="3468" t="s">
        <v>2125</v>
      </c>
      <c r="J5" s="3469"/>
      <c r="K5" s="567"/>
      <c r="L5" s="2893"/>
      <c r="M5" s="2894"/>
      <c r="N5" s="2894"/>
      <c r="O5" s="2894"/>
      <c r="P5" s="3481"/>
      <c r="Q5" s="3482"/>
      <c r="R5" s="3464"/>
      <c r="S5" s="3465"/>
      <c r="T5" s="3464"/>
      <c r="U5" s="3465"/>
      <c r="V5" s="3487"/>
      <c r="W5" s="3487"/>
      <c r="X5" s="1490"/>
      <c r="Y5" s="3464"/>
      <c r="Z5" s="3465"/>
      <c r="AA5" s="3458"/>
      <c r="AB5" s="3487"/>
      <c r="AC5" s="3458"/>
    </row>
    <row r="6" spans="1:29" ht="15.75" thickBot="1">
      <c r="A6" s="366"/>
      <c r="B6" s="367"/>
      <c r="C6" s="3470" t="s">
        <v>2126</v>
      </c>
      <c r="D6" s="3471"/>
      <c r="E6" s="3472" t="s">
        <v>2126</v>
      </c>
      <c r="F6" s="3473"/>
      <c r="G6" s="3470" t="s">
        <v>2126</v>
      </c>
      <c r="H6" s="3471"/>
      <c r="I6" s="3470" t="s">
        <v>2126</v>
      </c>
      <c r="J6" s="3471"/>
      <c r="K6" s="567" t="s">
        <v>2127</v>
      </c>
      <c r="L6" s="2893"/>
      <c r="M6" s="2894"/>
      <c r="N6" s="2894"/>
      <c r="O6" s="2894"/>
      <c r="P6" s="3483"/>
      <c r="Q6" s="3484"/>
      <c r="R6" s="3464"/>
      <c r="S6" s="3465"/>
      <c r="T6" s="3485"/>
      <c r="U6" s="3486"/>
      <c r="V6" s="3487"/>
      <c r="W6" s="3487"/>
      <c r="X6" s="1490"/>
      <c r="Y6" s="3485"/>
      <c r="Z6" s="3486"/>
      <c r="AA6" s="3459"/>
      <c r="AB6" s="3487"/>
      <c r="AC6" s="3459"/>
    </row>
    <row r="7" spans="1:29" s="113" customFormat="1" ht="15.75" thickBot="1">
      <c r="A7" s="368" t="s">
        <v>2128</v>
      </c>
      <c r="B7" s="369"/>
      <c r="C7" s="370">
        <f>'数据-取费表'!B2</f>
        <v>44820</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60" t="s">
        <v>2132</v>
      </c>
      <c r="Q8" s="3461"/>
      <c r="R8" s="710" t="s">
        <v>17</v>
      </c>
      <c r="S8" s="711">
        <f t="shared" si="0"/>
        <v>0</v>
      </c>
      <c r="T8" s="710" t="s">
        <v>17</v>
      </c>
      <c r="U8" s="711">
        <f t="shared" si="1"/>
        <v>0</v>
      </c>
      <c r="V8" s="710" t="s">
        <v>17</v>
      </c>
      <c r="W8" s="711">
        <f t="shared" si="2"/>
        <v>0</v>
      </c>
      <c r="X8" s="712"/>
      <c r="Y8" s="3460" t="s">
        <v>2132</v>
      </c>
      <c r="Z8" s="346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01" t="s">
        <v>2140</v>
      </c>
      <c r="Q15" s="1487" t="str">
        <f t="shared" si="6"/>
        <v>商业繁华度</v>
      </c>
      <c r="R15" s="714" t="s">
        <v>17</v>
      </c>
      <c r="S15" s="715">
        <f t="shared" si="0"/>
        <v>100</v>
      </c>
      <c r="T15" s="714" t="s">
        <v>17</v>
      </c>
      <c r="U15" s="715">
        <f t="shared" si="1"/>
        <v>100</v>
      </c>
      <c r="V15" s="714" t="s">
        <v>17</v>
      </c>
      <c r="W15" s="715">
        <f t="shared" si="2"/>
        <v>100</v>
      </c>
      <c r="X15" s="1490"/>
      <c r="Y15" s="349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02"/>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02"/>
      <c r="Q18" s="1487"/>
      <c r="R18" s="714"/>
      <c r="S18" s="715"/>
      <c r="T18" s="714"/>
      <c r="U18" s="715"/>
      <c r="V18" s="714"/>
      <c r="W18" s="715"/>
      <c r="X18" s="1490"/>
      <c r="Y18" s="349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02"/>
      <c r="Q20" s="1487"/>
      <c r="R20" s="714"/>
      <c r="S20" s="715"/>
      <c r="T20" s="714"/>
      <c r="U20" s="715"/>
      <c r="V20" s="714"/>
      <c r="W20" s="715"/>
      <c r="X20" s="1490"/>
      <c r="Y20" s="349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02"/>
      <c r="Q22" s="1487"/>
      <c r="R22" s="714"/>
      <c r="S22" s="715"/>
      <c r="T22" s="714"/>
      <c r="U22" s="715"/>
      <c r="V22" s="714"/>
      <c r="W22" s="715"/>
      <c r="X22" s="1490"/>
      <c r="Y22" s="349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02"/>
      <c r="Q23" s="1487" t="str">
        <f>B23</f>
        <v>自然及人文环境</v>
      </c>
      <c r="R23" s="714" t="s">
        <v>17</v>
      </c>
      <c r="S23" s="715">
        <f>F23</f>
        <v>100</v>
      </c>
      <c r="T23" s="714" t="s">
        <v>17</v>
      </c>
      <c r="U23" s="715">
        <f>H23</f>
        <v>100</v>
      </c>
      <c r="V23" s="714" t="s">
        <v>17</v>
      </c>
      <c r="W23" s="715">
        <f>J23</f>
        <v>100</v>
      </c>
      <c r="X23" s="1490"/>
      <c r="Y23" s="349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02"/>
      <c r="Q24" s="1487"/>
      <c r="R24" s="714"/>
      <c r="S24" s="715"/>
      <c r="T24" s="714"/>
      <c r="U24" s="715"/>
      <c r="V24" s="714"/>
      <c r="W24" s="715"/>
      <c r="X24" s="1490"/>
      <c r="Y24" s="349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02"/>
      <c r="Q25" s="1487" t="str">
        <f t="shared" ref="Q25:Q46" si="11">B25</f>
        <v>临街状况</v>
      </c>
      <c r="R25" s="714" t="s">
        <v>17</v>
      </c>
      <c r="S25" s="715">
        <f>F25</f>
        <v>100</v>
      </c>
      <c r="T25" s="714" t="s">
        <v>17</v>
      </c>
      <c r="U25" s="715">
        <f>H25</f>
        <v>100</v>
      </c>
      <c r="V25" s="714" t="s">
        <v>17</v>
      </c>
      <c r="W25" s="715">
        <f>J25</f>
        <v>100</v>
      </c>
      <c r="X25" s="1490"/>
      <c r="Y25" s="349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02"/>
      <c r="Q26" s="1487" t="str">
        <f t="shared" si="11"/>
        <v>平面位置/可视性</v>
      </c>
      <c r="R26" s="714" t="s">
        <v>17</v>
      </c>
      <c r="S26" s="715">
        <f>F26</f>
        <v>100</v>
      </c>
      <c r="T26" s="714" t="s">
        <v>17</v>
      </c>
      <c r="U26" s="715">
        <f>H26</f>
        <v>100</v>
      </c>
      <c r="V26" s="714" t="s">
        <v>17</v>
      </c>
      <c r="W26" s="715">
        <f>J26</f>
        <v>100</v>
      </c>
      <c r="X26" s="1490"/>
      <c r="Y26" s="349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02"/>
      <c r="Q27" s="1478" t="str">
        <f t="shared" si="11"/>
        <v>人流量</v>
      </c>
      <c r="R27" s="710" t="s">
        <v>17</v>
      </c>
      <c r="S27" s="711">
        <f>F27</f>
        <v>100</v>
      </c>
      <c r="T27" s="710" t="s">
        <v>17</v>
      </c>
      <c r="U27" s="711">
        <f>H27</f>
        <v>100</v>
      </c>
      <c r="V27" s="710" t="s">
        <v>17</v>
      </c>
      <c r="W27" s="711">
        <f>J27</f>
        <v>100</v>
      </c>
      <c r="X27" s="712"/>
      <c r="Y27" s="349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0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02"/>
      <c r="Q29" s="1487">
        <f t="shared" si="11"/>
        <v>111</v>
      </c>
      <c r="R29" s="714" t="s">
        <v>17</v>
      </c>
      <c r="S29" s="715">
        <f t="shared" si="12"/>
        <v>100</v>
      </c>
      <c r="T29" s="714" t="s">
        <v>17</v>
      </c>
      <c r="U29" s="715">
        <f t="shared" si="13"/>
        <v>100</v>
      </c>
      <c r="V29" s="714" t="s">
        <v>17</v>
      </c>
      <c r="W29" s="715">
        <f t="shared" si="14"/>
        <v>100</v>
      </c>
      <c r="X29" s="1490"/>
      <c r="Y29" s="349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96" t="s">
        <v>2145</v>
      </c>
      <c r="Q32" s="1487" t="str">
        <f t="shared" si="11"/>
        <v>商业类型</v>
      </c>
      <c r="R32" s="714" t="s">
        <v>17</v>
      </c>
      <c r="S32" s="715">
        <f t="shared" si="12"/>
        <v>100</v>
      </c>
      <c r="T32" s="714" t="s">
        <v>17</v>
      </c>
      <c r="U32" s="715">
        <f t="shared" si="13"/>
        <v>100</v>
      </c>
      <c r="V32" s="714" t="s">
        <v>17</v>
      </c>
      <c r="W32" s="715">
        <f t="shared" si="14"/>
        <v>100</v>
      </c>
      <c r="X32" s="1490"/>
      <c r="Y32" s="349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97"/>
      <c r="Q34" s="1487" t="str">
        <f t="shared" si="11"/>
        <v>建筑结构</v>
      </c>
      <c r="R34" s="714" t="s">
        <v>17</v>
      </c>
      <c r="S34" s="715">
        <f t="shared" si="12"/>
        <v>100</v>
      </c>
      <c r="T34" s="714" t="s">
        <v>17</v>
      </c>
      <c r="U34" s="715">
        <f t="shared" si="13"/>
        <v>100</v>
      </c>
      <c r="V34" s="714" t="s">
        <v>17</v>
      </c>
      <c r="W34" s="715">
        <f t="shared" si="14"/>
        <v>100</v>
      </c>
      <c r="X34" s="1490"/>
      <c r="Y34" s="349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97"/>
      <c r="Q35" s="1487" t="str">
        <f t="shared" si="11"/>
        <v>公共部分装修</v>
      </c>
      <c r="R35" s="714" t="s">
        <v>17</v>
      </c>
      <c r="S35" s="715">
        <f t="shared" si="12"/>
        <v>100</v>
      </c>
      <c r="T35" s="714" t="s">
        <v>17</v>
      </c>
      <c r="U35" s="715">
        <f t="shared" si="13"/>
        <v>100</v>
      </c>
      <c r="V35" s="714" t="s">
        <v>17</v>
      </c>
      <c r="W35" s="715">
        <f t="shared" si="14"/>
        <v>100</v>
      </c>
      <c r="X35" s="1490"/>
      <c r="Y35" s="349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7"/>
      <c r="Q36" s="1487" t="str">
        <f t="shared" si="11"/>
        <v>成新度</v>
      </c>
      <c r="R36" s="714" t="s">
        <v>17</v>
      </c>
      <c r="S36" s="715" t="e">
        <f t="shared" si="12"/>
        <v>#N/A</v>
      </c>
      <c r="T36" s="714" t="s">
        <v>17</v>
      </c>
      <c r="U36" s="715" t="e">
        <f t="shared" si="13"/>
        <v>#N/A</v>
      </c>
      <c r="V36" s="714" t="s">
        <v>17</v>
      </c>
      <c r="W36" s="715" t="e">
        <f t="shared" si="14"/>
        <v>#N/A</v>
      </c>
      <c r="X36" s="1490"/>
      <c r="Y36" s="349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97"/>
      <c r="Q37" s="1478"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97" t="s">
        <v>2145</v>
      </c>
      <c r="Q38" s="1487" t="str">
        <f t="shared" si="11"/>
        <v>业态</v>
      </c>
      <c r="R38" s="714" t="s">
        <v>17</v>
      </c>
      <c r="S38" s="715">
        <f t="shared" si="12"/>
        <v>100</v>
      </c>
      <c r="T38" s="714" t="s">
        <v>17</v>
      </c>
      <c r="U38" s="715">
        <f t="shared" si="13"/>
        <v>100</v>
      </c>
      <c r="V38" s="714" t="s">
        <v>17</v>
      </c>
      <c r="W38" s="715">
        <f t="shared" si="14"/>
        <v>100</v>
      </c>
      <c r="X38" s="1490"/>
      <c r="Y38" s="349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97"/>
      <c r="Q39" s="1487" t="str">
        <f t="shared" si="11"/>
        <v>层高</v>
      </c>
      <c r="R39" s="714" t="s">
        <v>17</v>
      </c>
      <c r="S39" s="715">
        <f t="shared" si="12"/>
        <v>100</v>
      </c>
      <c r="T39" s="714" t="s">
        <v>17</v>
      </c>
      <c r="U39" s="715">
        <f t="shared" si="13"/>
        <v>100</v>
      </c>
      <c r="V39" s="714" t="s">
        <v>17</v>
      </c>
      <c r="W39" s="715">
        <f t="shared" si="14"/>
        <v>100</v>
      </c>
      <c r="X39" s="1490"/>
      <c r="Y39" s="349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7"/>
      <c r="Q40" s="1487" t="str">
        <f t="shared" si="11"/>
        <v>单套建筑面积</v>
      </c>
      <c r="R40" s="714" t="s">
        <v>17</v>
      </c>
      <c r="S40" s="715">
        <f t="shared" si="12"/>
        <v>100</v>
      </c>
      <c r="T40" s="714" t="s">
        <v>17</v>
      </c>
      <c r="U40" s="715">
        <f t="shared" si="13"/>
        <v>100</v>
      </c>
      <c r="V40" s="714" t="s">
        <v>17</v>
      </c>
      <c r="W40" s="715">
        <f t="shared" si="14"/>
        <v>100</v>
      </c>
      <c r="X40" s="1490"/>
      <c r="Y40" s="349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97"/>
      <c r="Q42" s="1487" t="str">
        <f t="shared" si="11"/>
        <v>内部装修</v>
      </c>
      <c r="R42" s="714" t="s">
        <v>17</v>
      </c>
      <c r="S42" s="715">
        <f t="shared" si="12"/>
        <v>100</v>
      </c>
      <c r="T42" s="714" t="s">
        <v>17</v>
      </c>
      <c r="U42" s="715">
        <f t="shared" si="13"/>
        <v>100</v>
      </c>
      <c r="V42" s="714" t="s">
        <v>17</v>
      </c>
      <c r="W42" s="715">
        <f t="shared" si="14"/>
        <v>100</v>
      </c>
      <c r="X42" s="1490"/>
      <c r="Y42" s="349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97"/>
      <c r="Q43" s="1487" t="str">
        <f t="shared" si="11"/>
        <v>内部装修维护情况</v>
      </c>
      <c r="R43" s="714" t="s">
        <v>17</v>
      </c>
      <c r="S43" s="715">
        <f t="shared" si="12"/>
        <v>100</v>
      </c>
      <c r="T43" s="714" t="s">
        <v>17</v>
      </c>
      <c r="U43" s="715">
        <f t="shared" si="13"/>
        <v>100</v>
      </c>
      <c r="V43" s="714" t="s">
        <v>17</v>
      </c>
      <c r="W43" s="715">
        <f t="shared" si="14"/>
        <v>100</v>
      </c>
      <c r="X43" s="1490"/>
      <c r="Y43" s="349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7"/>
      <c r="Q44" s="1478">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7"/>
      <c r="Q45" s="1487">
        <f t="shared" si="11"/>
        <v>111</v>
      </c>
      <c r="R45" s="714" t="s">
        <v>17</v>
      </c>
      <c r="S45" s="715">
        <f t="shared" si="12"/>
        <v>100</v>
      </c>
      <c r="T45" s="714" t="s">
        <v>17</v>
      </c>
      <c r="U45" s="715">
        <f t="shared" si="13"/>
        <v>100</v>
      </c>
      <c r="V45" s="714" t="s">
        <v>17</v>
      </c>
      <c r="W45" s="715">
        <f t="shared" si="14"/>
        <v>100</v>
      </c>
      <c r="X45" s="1490"/>
      <c r="Y45" s="349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8"/>
      <c r="Q46" s="1487">
        <f t="shared" si="11"/>
        <v>111</v>
      </c>
      <c r="R46" s="714" t="s">
        <v>17</v>
      </c>
      <c r="S46" s="715">
        <f t="shared" si="12"/>
        <v>100</v>
      </c>
      <c r="T46" s="714" t="s">
        <v>17</v>
      </c>
      <c r="U46" s="715">
        <f t="shared" si="13"/>
        <v>100</v>
      </c>
      <c r="V46" s="714" t="s">
        <v>17</v>
      </c>
      <c r="W46" s="715">
        <f t="shared" si="14"/>
        <v>100</v>
      </c>
      <c r="X46" s="1490"/>
      <c r="Y46" s="350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2"/>
      <c r="M48" s="2903"/>
      <c r="N48" s="2894"/>
      <c r="O48" s="290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5380.46</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509" t="s">
        <v>2231</v>
      </c>
      <c r="Q4" s="3510"/>
      <c r="R4" s="3504" t="s">
        <v>2227</v>
      </c>
      <c r="S4" s="3505"/>
      <c r="T4" s="3504" t="s">
        <v>2228</v>
      </c>
      <c r="U4" s="3505"/>
      <c r="V4" s="3513" t="s">
        <v>2229</v>
      </c>
      <c r="W4" s="3513"/>
      <c r="X4" s="2095"/>
      <c r="Y4" s="3504" t="s">
        <v>2231</v>
      </c>
      <c r="Z4" s="3505"/>
      <c r="AA4" s="3503" t="s">
        <v>2227</v>
      </c>
      <c r="AB4" s="3503" t="s">
        <v>2228</v>
      </c>
      <c r="AC4" s="3506" t="s">
        <v>2229</v>
      </c>
    </row>
    <row r="5" spans="1:29" ht="15">
      <c r="A5" s="364"/>
      <c r="B5" s="365"/>
      <c r="C5" s="3468" t="s">
        <v>2122</v>
      </c>
      <c r="D5" s="3469"/>
      <c r="E5" s="3466" t="s">
        <v>2123</v>
      </c>
      <c r="F5" s="3467"/>
      <c r="G5" s="3468" t="s">
        <v>2124</v>
      </c>
      <c r="H5" s="3469"/>
      <c r="I5" s="3468" t="s">
        <v>2125</v>
      </c>
      <c r="J5" s="3469"/>
      <c r="K5" s="567"/>
      <c r="L5" s="2893"/>
      <c r="M5" s="2894"/>
      <c r="N5" s="2894"/>
      <c r="O5" s="2894"/>
      <c r="P5" s="3511"/>
      <c r="Q5" s="3482"/>
      <c r="R5" s="3464"/>
      <c r="S5" s="3465"/>
      <c r="T5" s="3464"/>
      <c r="U5" s="3465"/>
      <c r="V5" s="3487"/>
      <c r="W5" s="3487"/>
      <c r="X5" s="1490"/>
      <c r="Y5" s="3464"/>
      <c r="Z5" s="3465"/>
      <c r="AA5" s="3458"/>
      <c r="AB5" s="3458"/>
      <c r="AC5" s="3507"/>
    </row>
    <row r="6" spans="1:29" ht="15.75" thickBot="1">
      <c r="A6" s="366"/>
      <c r="B6" s="367"/>
      <c r="C6" s="3470" t="s">
        <v>2126</v>
      </c>
      <c r="D6" s="3471"/>
      <c r="E6" s="3472" t="s">
        <v>2126</v>
      </c>
      <c r="F6" s="3473"/>
      <c r="G6" s="3470" t="s">
        <v>2126</v>
      </c>
      <c r="H6" s="3471"/>
      <c r="I6" s="3470" t="s">
        <v>2126</v>
      </c>
      <c r="J6" s="3471"/>
      <c r="K6" s="567" t="s">
        <v>2127</v>
      </c>
      <c r="L6" s="2893"/>
      <c r="M6" s="2894"/>
      <c r="N6" s="2894"/>
      <c r="O6" s="2894"/>
      <c r="P6" s="3512"/>
      <c r="Q6" s="3484"/>
      <c r="R6" s="3464"/>
      <c r="S6" s="3465"/>
      <c r="T6" s="3485"/>
      <c r="U6" s="3486"/>
      <c r="V6" s="3487"/>
      <c r="W6" s="3487"/>
      <c r="X6" s="1490"/>
      <c r="Y6" s="3485"/>
      <c r="Z6" s="3486"/>
      <c r="AA6" s="3459"/>
      <c r="AB6" s="3459"/>
      <c r="AC6" s="3508"/>
    </row>
    <row r="7" spans="1:29" s="113" customFormat="1" ht="15.75" thickBot="1">
      <c r="A7" s="368" t="s">
        <v>2128</v>
      </c>
      <c r="B7" s="369"/>
      <c r="C7" s="370">
        <f>'数据-取费表'!B2</f>
        <v>44820</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4"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4" t="s">
        <v>2132</v>
      </c>
      <c r="Q8" s="3461"/>
      <c r="R8" s="710" t="s">
        <v>17</v>
      </c>
      <c r="S8" s="711">
        <f t="shared" si="0"/>
        <v>0</v>
      </c>
      <c r="T8" s="710" t="s">
        <v>17</v>
      </c>
      <c r="U8" s="711">
        <f t="shared" si="1"/>
        <v>0</v>
      </c>
      <c r="V8" s="710" t="s">
        <v>17</v>
      </c>
      <c r="W8" s="711">
        <f t="shared" si="2"/>
        <v>0</v>
      </c>
      <c r="X8" s="712"/>
      <c r="Y8" s="3460" t="s">
        <v>2132</v>
      </c>
      <c r="Z8" s="346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1" t="s">
        <v>2140</v>
      </c>
      <c r="Q15" s="1487" t="str">
        <f t="shared" si="6"/>
        <v>办公集聚程度</v>
      </c>
      <c r="R15" s="714" t="s">
        <v>17</v>
      </c>
      <c r="S15" s="715">
        <f t="shared" si="0"/>
        <v>100</v>
      </c>
      <c r="T15" s="714" t="s">
        <v>17</v>
      </c>
      <c r="U15" s="715">
        <f t="shared" si="1"/>
        <v>100</v>
      </c>
      <c r="V15" s="714" t="s">
        <v>17</v>
      </c>
      <c r="W15" s="715">
        <f t="shared" si="2"/>
        <v>100</v>
      </c>
      <c r="X15" s="1490"/>
      <c r="Y15" s="349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502"/>
      <c r="Q16" s="1487"/>
      <c r="R16" s="714"/>
      <c r="S16" s="715"/>
      <c r="T16" s="714"/>
      <c r="U16" s="715"/>
      <c r="V16" s="714"/>
      <c r="W16" s="715"/>
      <c r="X16" s="1490"/>
      <c r="Y16" s="349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502"/>
      <c r="Q18" s="1487"/>
      <c r="R18" s="714"/>
      <c r="S18" s="715"/>
      <c r="T18" s="714"/>
      <c r="U18" s="715"/>
      <c r="V18" s="714"/>
      <c r="W18" s="715"/>
      <c r="X18" s="1490"/>
      <c r="Y18" s="349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502"/>
      <c r="Q20" s="1487"/>
      <c r="R20" s="714"/>
      <c r="S20" s="715"/>
      <c r="T20" s="714"/>
      <c r="U20" s="715"/>
      <c r="V20" s="714"/>
      <c r="W20" s="715"/>
      <c r="X20" s="1490"/>
      <c r="Y20" s="349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502"/>
      <c r="Q22" s="1487"/>
      <c r="R22" s="714"/>
      <c r="S22" s="715"/>
      <c r="T22" s="714"/>
      <c r="U22" s="715"/>
      <c r="V22" s="714"/>
      <c r="W22" s="715"/>
      <c r="X22" s="1490"/>
      <c r="Y22" s="349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02"/>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502"/>
      <c r="Q24" s="1487"/>
      <c r="R24" s="714"/>
      <c r="S24" s="715"/>
      <c r="T24" s="714"/>
      <c r="U24" s="715"/>
      <c r="V24" s="714"/>
      <c r="W24" s="715"/>
      <c r="X24" s="1490"/>
      <c r="Y24" s="349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02"/>
      <c r="Q25" s="1487" t="str">
        <f>B25</f>
        <v>毗邻道路的类型与等级</v>
      </c>
      <c r="R25" s="714" t="s">
        <v>17</v>
      </c>
      <c r="S25" s="715">
        <f>F25</f>
        <v>100</v>
      </c>
      <c r="T25" s="714" t="s">
        <v>17</v>
      </c>
      <c r="U25" s="715">
        <f>H25</f>
        <v>100</v>
      </c>
      <c r="V25" s="714" t="s">
        <v>17</v>
      </c>
      <c r="W25" s="715">
        <f>J25</f>
        <v>100</v>
      </c>
      <c r="X25" s="1490"/>
      <c r="Y25" s="349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02"/>
      <c r="Q26" s="1487"/>
      <c r="R26" s="714"/>
      <c r="S26" s="715"/>
      <c r="T26" s="714"/>
      <c r="U26" s="715"/>
      <c r="V26" s="714"/>
      <c r="W26" s="715"/>
      <c r="X26" s="1490"/>
      <c r="Y26" s="349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02"/>
      <c r="Q27" s="1487" t="str">
        <f t="shared" ref="Q27:Q47" si="11">B27</f>
        <v>楼层</v>
      </c>
      <c r="R27" s="714" t="s">
        <v>17</v>
      </c>
      <c r="S27" s="715">
        <f>F27</f>
        <v>100</v>
      </c>
      <c r="T27" s="714" t="s">
        <v>17</v>
      </c>
      <c r="U27" s="715">
        <f>H27</f>
        <v>100</v>
      </c>
      <c r="V27" s="714" t="s">
        <v>17</v>
      </c>
      <c r="W27" s="715">
        <f>J27</f>
        <v>100</v>
      </c>
      <c r="X27" s="1490"/>
      <c r="Y27" s="349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502"/>
      <c r="Q28" s="1478" t="str">
        <f t="shared" si="11"/>
        <v>朝向</v>
      </c>
      <c r="R28" s="710" t="s">
        <v>17</v>
      </c>
      <c r="S28" s="711">
        <f>F28</f>
        <v>100</v>
      </c>
      <c r="T28" s="710" t="s">
        <v>17</v>
      </c>
      <c r="U28" s="711">
        <f>H28</f>
        <v>100</v>
      </c>
      <c r="V28" s="710" t="s">
        <v>17</v>
      </c>
      <c r="W28" s="711">
        <f>J28</f>
        <v>100</v>
      </c>
      <c r="X28" s="712"/>
      <c r="Y28" s="349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02"/>
      <c r="Q29" s="1487">
        <f t="shared" si="11"/>
        <v>111</v>
      </c>
      <c r="R29" s="714" t="s">
        <v>17</v>
      </c>
      <c r="S29" s="715">
        <f t="shared" ref="S29:S47" si="12">F29</f>
        <v>100</v>
      </c>
      <c r="T29" s="714" t="s">
        <v>17</v>
      </c>
      <c r="U29" s="715">
        <f t="shared" ref="U29:U47" si="13">H29</f>
        <v>100</v>
      </c>
      <c r="V29" s="714" t="s">
        <v>17</v>
      </c>
      <c r="W29" s="715">
        <f t="shared" ref="W29:W47" si="14">J29</f>
        <v>100</v>
      </c>
      <c r="X29" s="1490"/>
      <c r="Y29" s="349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02"/>
      <c r="Q32" s="1487">
        <f t="shared" si="11"/>
        <v>111</v>
      </c>
      <c r="R32" s="714" t="s">
        <v>17</v>
      </c>
      <c r="S32" s="715">
        <f t="shared" si="12"/>
        <v>100</v>
      </c>
      <c r="T32" s="714" t="s">
        <v>17</v>
      </c>
      <c r="U32" s="715">
        <f t="shared" si="13"/>
        <v>100</v>
      </c>
      <c r="V32" s="714" t="s">
        <v>17</v>
      </c>
      <c r="W32" s="715">
        <f t="shared" si="14"/>
        <v>100</v>
      </c>
      <c r="X32" s="1490"/>
      <c r="Y32" s="349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96" t="s">
        <v>2145</v>
      </c>
      <c r="Q33" s="1487" t="str">
        <f t="shared" si="11"/>
        <v>建筑类型</v>
      </c>
      <c r="R33" s="714" t="s">
        <v>17</v>
      </c>
      <c r="S33" s="715">
        <f t="shared" si="12"/>
        <v>100</v>
      </c>
      <c r="T33" s="714" t="s">
        <v>17</v>
      </c>
      <c r="U33" s="715">
        <f t="shared" si="13"/>
        <v>100</v>
      </c>
      <c r="V33" s="714" t="s">
        <v>17</v>
      </c>
      <c r="W33" s="715">
        <f t="shared" si="14"/>
        <v>100</v>
      </c>
      <c r="X33" s="1490"/>
      <c r="Y33" s="349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7"/>
      <c r="Q35" s="1487" t="str">
        <f t="shared" si="11"/>
        <v>建筑结构</v>
      </c>
      <c r="R35" s="714" t="s">
        <v>17</v>
      </c>
      <c r="S35" s="715">
        <f t="shared" si="12"/>
        <v>100</v>
      </c>
      <c r="T35" s="714" t="s">
        <v>17</v>
      </c>
      <c r="U35" s="715">
        <f t="shared" si="13"/>
        <v>100</v>
      </c>
      <c r="V35" s="714" t="s">
        <v>17</v>
      </c>
      <c r="W35" s="715">
        <f t="shared" si="14"/>
        <v>100</v>
      </c>
      <c r="X35" s="1490"/>
      <c r="Y35" s="349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7"/>
      <c r="Q36" s="1487" t="str">
        <f t="shared" si="11"/>
        <v>公共部分装修</v>
      </c>
      <c r="R36" s="714" t="s">
        <v>17</v>
      </c>
      <c r="S36" s="715">
        <f t="shared" si="12"/>
        <v>100</v>
      </c>
      <c r="T36" s="714" t="s">
        <v>17</v>
      </c>
      <c r="U36" s="715">
        <f t="shared" si="13"/>
        <v>100</v>
      </c>
      <c r="V36" s="714" t="s">
        <v>17</v>
      </c>
      <c r="W36" s="715">
        <f t="shared" si="14"/>
        <v>100</v>
      </c>
      <c r="X36" s="1490"/>
      <c r="Y36" s="349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7"/>
      <c r="Q37" s="1487" t="str">
        <f t="shared" si="11"/>
        <v>成新度</v>
      </c>
      <c r="R37" s="714" t="s">
        <v>17</v>
      </c>
      <c r="S37" s="715" t="e">
        <f t="shared" si="12"/>
        <v>#N/A</v>
      </c>
      <c r="T37" s="714" t="s">
        <v>17</v>
      </c>
      <c r="U37" s="715" t="e">
        <f t="shared" si="13"/>
        <v>#N/A</v>
      </c>
      <c r="V37" s="714" t="s">
        <v>17</v>
      </c>
      <c r="W37" s="715" t="e">
        <f t="shared" si="14"/>
        <v>#N/A</v>
      </c>
      <c r="X37" s="1490"/>
      <c r="Y37" s="349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7"/>
      <c r="Q38" s="1478"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7" t="s">
        <v>2145</v>
      </c>
      <c r="Q39" s="1487" t="str">
        <f t="shared" si="11"/>
        <v>物业管理</v>
      </c>
      <c r="R39" s="714" t="s">
        <v>17</v>
      </c>
      <c r="S39" s="715">
        <f t="shared" si="12"/>
        <v>100</v>
      </c>
      <c r="T39" s="714" t="s">
        <v>17</v>
      </c>
      <c r="U39" s="715">
        <f t="shared" si="13"/>
        <v>100</v>
      </c>
      <c r="V39" s="714" t="s">
        <v>17</v>
      </c>
      <c r="W39" s="715">
        <f t="shared" si="14"/>
        <v>100</v>
      </c>
      <c r="X39" s="1490"/>
      <c r="Y39" s="349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7"/>
      <c r="Q40" s="1487" t="str">
        <f t="shared" si="11"/>
        <v>市政基础设施</v>
      </c>
      <c r="R40" s="714" t="s">
        <v>17</v>
      </c>
      <c r="S40" s="715">
        <f t="shared" si="12"/>
        <v>100</v>
      </c>
      <c r="T40" s="714" t="s">
        <v>17</v>
      </c>
      <c r="U40" s="715">
        <f t="shared" si="13"/>
        <v>100</v>
      </c>
      <c r="V40" s="714" t="s">
        <v>17</v>
      </c>
      <c r="W40" s="715">
        <f t="shared" si="14"/>
        <v>100</v>
      </c>
      <c r="X40" s="1490"/>
      <c r="Y40" s="349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7"/>
      <c r="Q41" s="1487" t="str">
        <f t="shared" si="11"/>
        <v>层高</v>
      </c>
      <c r="R41" s="714" t="s">
        <v>17</v>
      </c>
      <c r="S41" s="715">
        <f t="shared" si="12"/>
        <v>100</v>
      </c>
      <c r="T41" s="714" t="s">
        <v>17</v>
      </c>
      <c r="U41" s="715">
        <f t="shared" si="13"/>
        <v>100</v>
      </c>
      <c r="V41" s="714" t="s">
        <v>17</v>
      </c>
      <c r="W41" s="715">
        <f t="shared" si="14"/>
        <v>100</v>
      </c>
      <c r="X41" s="1490"/>
      <c r="Y41" s="349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7"/>
      <c r="Q43" s="1487" t="str">
        <f t="shared" si="11"/>
        <v>内部装修</v>
      </c>
      <c r="R43" s="714" t="s">
        <v>17</v>
      </c>
      <c r="S43" s="715">
        <f t="shared" si="12"/>
        <v>100</v>
      </c>
      <c r="T43" s="714" t="s">
        <v>17</v>
      </c>
      <c r="U43" s="715">
        <f t="shared" si="13"/>
        <v>100</v>
      </c>
      <c r="V43" s="714" t="s">
        <v>17</v>
      </c>
      <c r="W43" s="715">
        <f t="shared" si="14"/>
        <v>100</v>
      </c>
      <c r="X43" s="1490"/>
      <c r="Y43" s="349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97"/>
      <c r="Q44" s="1487" t="str">
        <f t="shared" si="11"/>
        <v>内部装修维护情况</v>
      </c>
      <c r="R44" s="714" t="s">
        <v>17</v>
      </c>
      <c r="S44" s="715">
        <f t="shared" si="12"/>
        <v>100</v>
      </c>
      <c r="T44" s="714" t="s">
        <v>17</v>
      </c>
      <c r="U44" s="715">
        <f t="shared" si="13"/>
        <v>100</v>
      </c>
      <c r="V44" s="714" t="s">
        <v>17</v>
      </c>
      <c r="W44" s="715">
        <f t="shared" si="14"/>
        <v>100</v>
      </c>
      <c r="X44" s="1490"/>
      <c r="Y44" s="349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7"/>
      <c r="Q45" s="1478">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8"/>
      <c r="Q47" s="1487">
        <f t="shared" si="11"/>
        <v>111</v>
      </c>
      <c r="R47" s="714" t="s">
        <v>17</v>
      </c>
      <c r="S47" s="715">
        <f t="shared" si="12"/>
        <v>100</v>
      </c>
      <c r="T47" s="714" t="s">
        <v>17</v>
      </c>
      <c r="U47" s="715">
        <f t="shared" si="13"/>
        <v>100</v>
      </c>
      <c r="V47" s="714" t="s">
        <v>17</v>
      </c>
      <c r="W47" s="715">
        <f t="shared" si="14"/>
        <v>100</v>
      </c>
      <c r="X47" s="1490"/>
      <c r="Y47" s="350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2"/>
      <c r="M49" s="2894"/>
      <c r="N49" s="2894"/>
      <c r="O49" s="2894"/>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5380.46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1025"/>
      <c r="M5" s="1026"/>
      <c r="N5" s="1026"/>
      <c r="O5" s="1026"/>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1025"/>
      <c r="M6" s="1026"/>
      <c r="N6" s="1026"/>
      <c r="O6" s="1026"/>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44820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0" t="s">
        <v>2132</v>
      </c>
      <c r="Q8" s="3461"/>
      <c r="R8" s="710" t="s">
        <v>17</v>
      </c>
      <c r="S8" s="711">
        <f t="shared" si="0"/>
        <v>0</v>
      </c>
      <c r="T8" s="710" t="s">
        <v>17</v>
      </c>
      <c r="U8" s="711">
        <f t="shared" si="1"/>
        <v>0</v>
      </c>
      <c r="V8" s="710" t="s">
        <v>17</v>
      </c>
      <c r="W8" s="711">
        <f t="shared" si="2"/>
        <v>0</v>
      </c>
      <c r="X8" s="712"/>
      <c r="Y8" s="3460" t="s">
        <v>2132</v>
      </c>
      <c r="Z8" s="346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5"/>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5"/>
      <c r="Q18" s="1487"/>
      <c r="R18" s="714"/>
      <c r="S18" s="715"/>
      <c r="T18" s="714"/>
      <c r="U18" s="715"/>
      <c r="V18" s="714"/>
      <c r="W18" s="715"/>
      <c r="X18" s="1490"/>
      <c r="Y18" s="349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5"/>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5"/>
      <c r="Q20" s="1487"/>
      <c r="R20" s="714"/>
      <c r="S20" s="715"/>
      <c r="T20" s="714"/>
      <c r="U20" s="715"/>
      <c r="V20" s="714"/>
      <c r="W20" s="715"/>
      <c r="X20" s="1490"/>
      <c r="Y20" s="349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5"/>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5"/>
      <c r="Q22" s="1487"/>
      <c r="R22" s="714"/>
      <c r="S22" s="715"/>
      <c r="T22" s="714"/>
      <c r="U22" s="715"/>
      <c r="V22" s="714"/>
      <c r="W22" s="715"/>
      <c r="X22" s="1490"/>
      <c r="Y22" s="349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5"/>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5"/>
      <c r="Q24" s="1487"/>
      <c r="R24" s="714"/>
      <c r="S24" s="715"/>
      <c r="T24" s="714"/>
      <c r="U24" s="715"/>
      <c r="V24" s="714"/>
      <c r="W24" s="715"/>
      <c r="X24" s="1490"/>
      <c r="Y24" s="349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5"/>
      <c r="Q25" s="1487">
        <f>B25</f>
        <v>111</v>
      </c>
      <c r="R25" s="714" t="s">
        <v>17</v>
      </c>
      <c r="S25" s="715">
        <f>F25</f>
        <v>100</v>
      </c>
      <c r="T25" s="714" t="s">
        <v>17</v>
      </c>
      <c r="U25" s="715">
        <f>H25</f>
        <v>100</v>
      </c>
      <c r="V25" s="714" t="s">
        <v>17</v>
      </c>
      <c r="W25" s="715">
        <f>J25</f>
        <v>100</v>
      </c>
      <c r="X25" s="1490"/>
      <c r="Y25" s="349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5"/>
      <c r="Q26" s="1487">
        <f t="shared" ref="Q26:Q40" si="11">B26</f>
        <v>111</v>
      </c>
      <c r="R26" s="714" t="s">
        <v>17</v>
      </c>
      <c r="S26" s="715">
        <f>F26</f>
        <v>100</v>
      </c>
      <c r="T26" s="714" t="s">
        <v>17</v>
      </c>
      <c r="U26" s="715">
        <f>H26</f>
        <v>100</v>
      </c>
      <c r="V26" s="714" t="s">
        <v>17</v>
      </c>
      <c r="W26" s="715">
        <f>J26</f>
        <v>100</v>
      </c>
      <c r="X26" s="1490"/>
      <c r="Y26" s="349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5"/>
      <c r="Q27" s="1478">
        <f t="shared" si="11"/>
        <v>111</v>
      </c>
      <c r="R27" s="710" t="s">
        <v>17</v>
      </c>
      <c r="S27" s="711">
        <f>F27</f>
        <v>100</v>
      </c>
      <c r="T27" s="710" t="s">
        <v>17</v>
      </c>
      <c r="U27" s="711">
        <f>H27</f>
        <v>100</v>
      </c>
      <c r="V27" s="710" t="s">
        <v>17</v>
      </c>
      <c r="W27" s="711">
        <f>J27</f>
        <v>100</v>
      </c>
      <c r="X27" s="712"/>
      <c r="Y27" s="349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5"/>
      <c r="Q28" s="1487">
        <f t="shared" si="11"/>
        <v>111</v>
      </c>
      <c r="R28" s="714" t="s">
        <v>17</v>
      </c>
      <c r="S28" s="715">
        <f t="shared" ref="S28:S40" si="12">F28</f>
        <v>100</v>
      </c>
      <c r="T28" s="714" t="s">
        <v>17</v>
      </c>
      <c r="U28" s="715">
        <f t="shared" ref="U28:U40" si="13">H28</f>
        <v>100</v>
      </c>
      <c r="V28" s="714" t="s">
        <v>17</v>
      </c>
      <c r="W28" s="715">
        <f t="shared" ref="W28:W40" si="14">J28</f>
        <v>100</v>
      </c>
      <c r="X28" s="1490"/>
      <c r="Y28" s="349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9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9"/>
      <c r="Q31" s="1487" t="str">
        <f t="shared" si="11"/>
        <v>建筑结构</v>
      </c>
      <c r="R31" s="714" t="s">
        <v>17</v>
      </c>
      <c r="S31" s="715">
        <f t="shared" si="12"/>
        <v>100</v>
      </c>
      <c r="T31" s="714" t="s">
        <v>17</v>
      </c>
      <c r="U31" s="715">
        <f t="shared" si="13"/>
        <v>100</v>
      </c>
      <c r="V31" s="714" t="s">
        <v>17</v>
      </c>
      <c r="W31" s="715">
        <f t="shared" si="14"/>
        <v>100</v>
      </c>
      <c r="X31" s="1490"/>
      <c r="Y31" s="349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9"/>
      <c r="Q32" s="1487" t="str">
        <f t="shared" si="11"/>
        <v>公共部分装修</v>
      </c>
      <c r="R32" s="714" t="s">
        <v>17</v>
      </c>
      <c r="S32" s="715">
        <f t="shared" si="12"/>
        <v>100</v>
      </c>
      <c r="T32" s="714" t="s">
        <v>17</v>
      </c>
      <c r="U32" s="715">
        <f t="shared" si="13"/>
        <v>100</v>
      </c>
      <c r="V32" s="714" t="s">
        <v>17</v>
      </c>
      <c r="W32" s="715">
        <f t="shared" si="14"/>
        <v>100</v>
      </c>
      <c r="X32" s="1490"/>
      <c r="Y32" s="349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9"/>
      <c r="Q33" s="1487" t="str">
        <f t="shared" si="11"/>
        <v>成新度</v>
      </c>
      <c r="R33" s="714" t="s">
        <v>17</v>
      </c>
      <c r="S33" s="715" t="e">
        <f t="shared" si="12"/>
        <v>#N/A</v>
      </c>
      <c r="T33" s="714" t="s">
        <v>17</v>
      </c>
      <c r="U33" s="715" t="e">
        <f t="shared" si="13"/>
        <v>#N/A</v>
      </c>
      <c r="V33" s="714" t="s">
        <v>17</v>
      </c>
      <c r="W33" s="715" t="e">
        <f t="shared" si="14"/>
        <v>#N/A</v>
      </c>
      <c r="X33" s="1490"/>
      <c r="Y33" s="349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9"/>
      <c r="Q34" s="1478"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9" t="s">
        <v>2145</v>
      </c>
      <c r="Q35" s="1487" t="str">
        <f t="shared" si="11"/>
        <v>市政基础设施</v>
      </c>
      <c r="R35" s="714" t="s">
        <v>17</v>
      </c>
      <c r="S35" s="715">
        <f t="shared" si="12"/>
        <v>100</v>
      </c>
      <c r="T35" s="714" t="s">
        <v>17</v>
      </c>
      <c r="U35" s="715">
        <f t="shared" si="13"/>
        <v>100</v>
      </c>
      <c r="V35" s="714" t="s">
        <v>17</v>
      </c>
      <c r="W35" s="715">
        <f t="shared" si="14"/>
        <v>100</v>
      </c>
      <c r="X35" s="1490"/>
      <c r="Y35" s="349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9"/>
      <c r="Q36" s="1487" t="str">
        <f t="shared" si="11"/>
        <v>内部装修</v>
      </c>
      <c r="R36" s="714" t="s">
        <v>17</v>
      </c>
      <c r="S36" s="715">
        <f t="shared" si="12"/>
        <v>100</v>
      </c>
      <c r="T36" s="714" t="s">
        <v>17</v>
      </c>
      <c r="U36" s="715">
        <f t="shared" si="13"/>
        <v>100</v>
      </c>
      <c r="V36" s="714" t="s">
        <v>17</v>
      </c>
      <c r="W36" s="715">
        <f t="shared" si="14"/>
        <v>100</v>
      </c>
      <c r="X36" s="1490"/>
      <c r="Y36" s="349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9"/>
      <c r="Q37" s="1487" t="str">
        <f t="shared" si="11"/>
        <v>内部装修状况</v>
      </c>
      <c r="R37" s="714" t="s">
        <v>17</v>
      </c>
      <c r="S37" s="715">
        <f t="shared" si="12"/>
        <v>100</v>
      </c>
      <c r="T37" s="714" t="s">
        <v>17</v>
      </c>
      <c r="U37" s="715">
        <f t="shared" si="13"/>
        <v>100</v>
      </c>
      <c r="V37" s="714" t="s">
        <v>17</v>
      </c>
      <c r="W37" s="715">
        <f t="shared" si="14"/>
        <v>100</v>
      </c>
      <c r="X37" s="1490"/>
      <c r="Y37" s="349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9"/>
      <c r="Q39" s="1487">
        <f t="shared" si="11"/>
        <v>111</v>
      </c>
      <c r="R39" s="714" t="s">
        <v>17</v>
      </c>
      <c r="S39" s="715">
        <f t="shared" si="12"/>
        <v>100</v>
      </c>
      <c r="T39" s="714" t="s">
        <v>17</v>
      </c>
      <c r="U39" s="715">
        <f t="shared" si="13"/>
        <v>100</v>
      </c>
      <c r="V39" s="714" t="s">
        <v>17</v>
      </c>
      <c r="W39" s="715">
        <f t="shared" si="14"/>
        <v>100</v>
      </c>
      <c r="X39" s="1490"/>
      <c r="Y39" s="349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0"/>
      <c r="Q40" s="1487">
        <f t="shared" si="11"/>
        <v>111</v>
      </c>
      <c r="R40" s="714" t="s">
        <v>17</v>
      </c>
      <c r="S40" s="715">
        <f t="shared" si="12"/>
        <v>100</v>
      </c>
      <c r="T40" s="714" t="s">
        <v>17</v>
      </c>
      <c r="U40" s="715">
        <f t="shared" si="13"/>
        <v>100</v>
      </c>
      <c r="V40" s="714" t="s">
        <v>17</v>
      </c>
      <c r="W40" s="715">
        <f t="shared" si="14"/>
        <v>100</v>
      </c>
      <c r="X40" s="1490"/>
      <c r="Y40" s="350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估价对象为北京市房地产，为所有。根据《国有土地使用证》[]，估价对象（分摊）出让国有建设用地使用权面积为7960.6平方米，建筑面积为5380.46平方米。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估价对象为北京市房地产,属开发建设的工业项目，该项目尚在开发建设中。根据《国有土地使用证》[]，估价对象（分摊）出让国有建设用地使用权面积为7960.6平方米，规划建筑面积为5380.46平方米。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2022年9月16日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3"/>
      <c r="M5" s="2894"/>
      <c r="N5" s="2894"/>
      <c r="O5" s="2894"/>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2893"/>
      <c r="M6" s="2894"/>
      <c r="N6" s="2894"/>
      <c r="O6" s="2894"/>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44820</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60" t="s">
        <v>2132</v>
      </c>
      <c r="Q8" s="3461"/>
      <c r="R8" s="710" t="s">
        <v>17</v>
      </c>
      <c r="S8" s="711">
        <f t="shared" si="0"/>
        <v>0</v>
      </c>
      <c r="T8" s="710" t="s">
        <v>17</v>
      </c>
      <c r="U8" s="711">
        <f t="shared" si="1"/>
        <v>0</v>
      </c>
      <c r="V8" s="710" t="s">
        <v>17</v>
      </c>
      <c r="W8" s="711">
        <f t="shared" si="2"/>
        <v>0</v>
      </c>
      <c r="X8" s="712"/>
      <c r="Y8" s="3460" t="s">
        <v>2132</v>
      </c>
      <c r="Z8" s="346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95"/>
      <c r="Q15" s="1487"/>
      <c r="R15" s="714"/>
      <c r="S15" s="715"/>
      <c r="T15" s="714"/>
      <c r="U15" s="715"/>
      <c r="V15" s="714"/>
      <c r="W15" s="715"/>
      <c r="X15" s="1490"/>
      <c r="Y15" s="349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95"/>
      <c r="Q17" s="1487"/>
      <c r="R17" s="714"/>
      <c r="S17" s="715"/>
      <c r="T17" s="714"/>
      <c r="U17" s="715"/>
      <c r="V17" s="714"/>
      <c r="W17" s="715"/>
      <c r="X17" s="1490"/>
      <c r="Y17" s="349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95"/>
      <c r="Q19" s="1487"/>
      <c r="R19" s="714"/>
      <c r="S19" s="715"/>
      <c r="T19" s="714"/>
      <c r="U19" s="715"/>
      <c r="V19" s="714"/>
      <c r="W19" s="715"/>
      <c r="X19" s="1490"/>
      <c r="Y19" s="349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95"/>
      <c r="Q21" s="1487"/>
      <c r="R21" s="714"/>
      <c r="S21" s="715"/>
      <c r="T21" s="714"/>
      <c r="U21" s="715"/>
      <c r="V21" s="714"/>
      <c r="W21" s="715"/>
      <c r="X21" s="1490"/>
      <c r="Y21" s="349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5"/>
      <c r="Q24" s="1487">
        <f t="shared" ref="Q24:Q36"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9"/>
      <c r="Q28" s="1487" t="str">
        <f t="shared" si="11"/>
        <v>公共部分装修</v>
      </c>
      <c r="R28" s="714" t="s">
        <v>17</v>
      </c>
      <c r="S28" s="715">
        <f t="shared" si="12"/>
        <v>100</v>
      </c>
      <c r="T28" s="714" t="s">
        <v>17</v>
      </c>
      <c r="U28" s="715">
        <f t="shared" si="13"/>
        <v>100</v>
      </c>
      <c r="V28" s="714" t="s">
        <v>17</v>
      </c>
      <c r="W28" s="715">
        <f t="shared" si="14"/>
        <v>100</v>
      </c>
      <c r="X28" s="1490"/>
      <c r="Y28" s="349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9"/>
      <c r="Q29" s="1487" t="str">
        <f t="shared" si="11"/>
        <v>成新率</v>
      </c>
      <c r="R29" s="714" t="s">
        <v>17</v>
      </c>
      <c r="S29" s="715" t="e">
        <f t="shared" si="12"/>
        <v>#N/A</v>
      </c>
      <c r="T29" s="714" t="s">
        <v>17</v>
      </c>
      <c r="U29" s="715" t="e">
        <f t="shared" si="13"/>
        <v>#N/A</v>
      </c>
      <c r="V29" s="714" t="s">
        <v>17</v>
      </c>
      <c r="W29" s="715" t="e">
        <f t="shared" si="14"/>
        <v>#N/A</v>
      </c>
      <c r="X29" s="1490"/>
      <c r="Y29" s="349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9"/>
      <c r="Q30" s="1487" t="str">
        <f t="shared" si="11"/>
        <v>物业等级</v>
      </c>
      <c r="R30" s="714" t="s">
        <v>17</v>
      </c>
      <c r="S30" s="715">
        <f t="shared" si="12"/>
        <v>100</v>
      </c>
      <c r="T30" s="714" t="s">
        <v>17</v>
      </c>
      <c r="U30" s="715">
        <f t="shared" si="13"/>
        <v>100</v>
      </c>
      <c r="V30" s="714" t="s">
        <v>17</v>
      </c>
      <c r="W30" s="715">
        <f t="shared" si="14"/>
        <v>100</v>
      </c>
      <c r="X30" s="1490"/>
      <c r="Y30" s="349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9"/>
      <c r="Q31" s="1478"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9" t="s">
        <v>2145</v>
      </c>
      <c r="Q32" s="1487" t="str">
        <f t="shared" si="11"/>
        <v>车位类型</v>
      </c>
      <c r="R32" s="714" t="s">
        <v>17</v>
      </c>
      <c r="S32" s="715">
        <f t="shared" si="12"/>
        <v>100</v>
      </c>
      <c r="T32" s="714" t="s">
        <v>17</v>
      </c>
      <c r="U32" s="715">
        <f t="shared" si="13"/>
        <v>100</v>
      </c>
      <c r="V32" s="714" t="s">
        <v>17</v>
      </c>
      <c r="W32" s="715">
        <f t="shared" si="14"/>
        <v>100</v>
      </c>
      <c r="X32" s="1490"/>
      <c r="Y32" s="349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9"/>
      <c r="Q33" s="1487" t="str">
        <f t="shared" si="11"/>
        <v>是否直接入户</v>
      </c>
      <c r="R33" s="714" t="s">
        <v>17</v>
      </c>
      <c r="S33" s="715">
        <f t="shared" si="12"/>
        <v>100</v>
      </c>
      <c r="T33" s="714" t="s">
        <v>17</v>
      </c>
      <c r="U33" s="715">
        <f t="shared" si="13"/>
        <v>100</v>
      </c>
      <c r="V33" s="714" t="s">
        <v>17</v>
      </c>
      <c r="W33" s="715">
        <f t="shared" si="14"/>
        <v>100</v>
      </c>
      <c r="X33" s="1490"/>
      <c r="Y33" s="349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9"/>
      <c r="Q36" s="1487">
        <f t="shared" si="11"/>
        <v>111</v>
      </c>
      <c r="R36" s="714" t="s">
        <v>17</v>
      </c>
      <c r="S36" s="715">
        <f t="shared" si="12"/>
        <v>100</v>
      </c>
      <c r="T36" s="714" t="s">
        <v>17</v>
      </c>
      <c r="U36" s="715">
        <f t="shared" si="13"/>
        <v>100</v>
      </c>
      <c r="V36" s="714" t="s">
        <v>17</v>
      </c>
      <c r="W36" s="715">
        <f t="shared" si="14"/>
        <v>100</v>
      </c>
      <c r="X36" s="1490"/>
      <c r="Y36" s="349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92" t="str">
        <f>A37</f>
        <v>成交单价</v>
      </c>
      <c r="Q37" s="3492"/>
      <c r="R37" s="3493">
        <f>E37</f>
        <v>0</v>
      </c>
      <c r="S37" s="3493"/>
      <c r="T37" s="3493">
        <f>G37</f>
        <v>0</v>
      </c>
      <c r="U37" s="3493"/>
      <c r="V37" s="3493">
        <f>I37</f>
        <v>0</v>
      </c>
      <c r="W37" s="3493"/>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2"/>
      <c r="M38" s="2903"/>
      <c r="N38" s="2903"/>
      <c r="O38" s="2903"/>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3"/>
      <c r="M5" s="2894"/>
      <c r="N5" s="2894"/>
      <c r="O5" s="2894"/>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2893"/>
      <c r="M6" s="2894"/>
      <c r="N6" s="2894"/>
      <c r="O6" s="2894"/>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44820</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60" t="s">
        <v>2132</v>
      </c>
      <c r="Q8" s="3461"/>
      <c r="R8" s="710" t="s">
        <v>17</v>
      </c>
      <c r="S8" s="711">
        <f t="shared" si="0"/>
        <v>0</v>
      </c>
      <c r="T8" s="710" t="s">
        <v>17</v>
      </c>
      <c r="U8" s="711">
        <f t="shared" si="1"/>
        <v>0</v>
      </c>
      <c r="V8" s="710" t="s">
        <v>17</v>
      </c>
      <c r="W8" s="711">
        <f t="shared" si="2"/>
        <v>0</v>
      </c>
      <c r="X8" s="712"/>
      <c r="Y8" s="3460" t="s">
        <v>2132</v>
      </c>
      <c r="Z8" s="346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95"/>
      <c r="Q15" s="1487"/>
      <c r="R15" s="714"/>
      <c r="S15" s="715"/>
      <c r="T15" s="714"/>
      <c r="U15" s="715"/>
      <c r="V15" s="714"/>
      <c r="W15" s="715"/>
      <c r="X15" s="1490"/>
      <c r="Y15" s="349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95"/>
      <c r="Q17" s="1487"/>
      <c r="R17" s="714"/>
      <c r="S17" s="715"/>
      <c r="T17" s="714"/>
      <c r="U17" s="715"/>
      <c r="V17" s="714"/>
      <c r="W17" s="715"/>
      <c r="X17" s="1490"/>
      <c r="Y17" s="349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95"/>
      <c r="Q19" s="1487"/>
      <c r="R19" s="714"/>
      <c r="S19" s="715"/>
      <c r="T19" s="714"/>
      <c r="U19" s="715"/>
      <c r="V19" s="714"/>
      <c r="W19" s="715"/>
      <c r="X19" s="1490"/>
      <c r="Y19" s="349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95"/>
      <c r="Q21" s="1487"/>
      <c r="R21" s="714"/>
      <c r="S21" s="715"/>
      <c r="T21" s="714"/>
      <c r="U21" s="715"/>
      <c r="V21" s="714"/>
      <c r="W21" s="715"/>
      <c r="X21" s="1490"/>
      <c r="Y21" s="349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5"/>
      <c r="Q24" s="1487">
        <f t="shared" ref="Q24:Q34"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9"/>
      <c r="Q28" s="1487" t="str">
        <f t="shared" si="11"/>
        <v>物业等级</v>
      </c>
      <c r="R28" s="714" t="s">
        <v>17</v>
      </c>
      <c r="S28" s="715">
        <f t="shared" si="12"/>
        <v>100</v>
      </c>
      <c r="T28" s="714" t="s">
        <v>17</v>
      </c>
      <c r="U28" s="715">
        <f t="shared" si="13"/>
        <v>100</v>
      </c>
      <c r="V28" s="714" t="s">
        <v>17</v>
      </c>
      <c r="W28" s="715">
        <f t="shared" si="14"/>
        <v>100</v>
      </c>
      <c r="X28" s="1490"/>
      <c r="Y28" s="349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9"/>
      <c r="Q29" s="1487" t="str">
        <f t="shared" si="11"/>
        <v>有无电梯</v>
      </c>
      <c r="R29" s="714" t="s">
        <v>17</v>
      </c>
      <c r="S29" s="715">
        <f t="shared" si="12"/>
        <v>100</v>
      </c>
      <c r="T29" s="714" t="s">
        <v>17</v>
      </c>
      <c r="U29" s="715">
        <f t="shared" si="13"/>
        <v>100</v>
      </c>
      <c r="V29" s="714" t="s">
        <v>17</v>
      </c>
      <c r="W29" s="715">
        <f t="shared" si="14"/>
        <v>100</v>
      </c>
      <c r="X29" s="1490"/>
      <c r="Y29" s="349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9"/>
      <c r="Q30" s="1487" t="str">
        <f t="shared" si="11"/>
        <v>建筑面积</v>
      </c>
      <c r="R30" s="714" t="s">
        <v>17</v>
      </c>
      <c r="S30" s="715" t="e">
        <f t="shared" si="12"/>
        <v>#N/A</v>
      </c>
      <c r="T30" s="714" t="s">
        <v>17</v>
      </c>
      <c r="U30" s="715" t="e">
        <f t="shared" si="13"/>
        <v>#N/A</v>
      </c>
      <c r="V30" s="714" t="s">
        <v>17</v>
      </c>
      <c r="W30" s="715" t="e">
        <f t="shared" si="14"/>
        <v>#N/A</v>
      </c>
      <c r="X30" s="1490"/>
      <c r="Y30" s="349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9"/>
      <c r="Q31" s="1478"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9" t="s">
        <v>2145</v>
      </c>
      <c r="Q32" s="1487">
        <f t="shared" si="11"/>
        <v>111</v>
      </c>
      <c r="R32" s="714" t="s">
        <v>17</v>
      </c>
      <c r="S32" s="715">
        <f t="shared" si="12"/>
        <v>100</v>
      </c>
      <c r="T32" s="714" t="s">
        <v>17</v>
      </c>
      <c r="U32" s="715">
        <f t="shared" si="13"/>
        <v>100</v>
      </c>
      <c r="V32" s="714" t="s">
        <v>17</v>
      </c>
      <c r="W32" s="715">
        <f t="shared" si="14"/>
        <v>100</v>
      </c>
      <c r="X32" s="1490"/>
      <c r="Y32" s="349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9"/>
      <c r="Q33" s="1487">
        <f t="shared" si="11"/>
        <v>111</v>
      </c>
      <c r="R33" s="714" t="s">
        <v>17</v>
      </c>
      <c r="S33" s="715">
        <f t="shared" si="12"/>
        <v>100</v>
      </c>
      <c r="T33" s="714" t="s">
        <v>17</v>
      </c>
      <c r="U33" s="715">
        <f t="shared" si="13"/>
        <v>100</v>
      </c>
      <c r="V33" s="714" t="s">
        <v>17</v>
      </c>
      <c r="W33" s="715">
        <f t="shared" si="14"/>
        <v>100</v>
      </c>
      <c r="X33" s="1490"/>
      <c r="Y33" s="349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2"/>
      <c r="M36" s="2903"/>
      <c r="N36" s="2894"/>
      <c r="O36" s="2903"/>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30" ht="15">
      <c r="A5" s="364"/>
      <c r="B5" s="365"/>
      <c r="C5" s="3468" t="s">
        <v>2122</v>
      </c>
      <c r="D5" s="3469"/>
      <c r="E5" s="3466" t="s">
        <v>2123</v>
      </c>
      <c r="F5" s="3467"/>
      <c r="G5" s="3468" t="s">
        <v>2124</v>
      </c>
      <c r="H5" s="3469"/>
      <c r="I5" s="3468" t="s">
        <v>2125</v>
      </c>
      <c r="J5" s="3469"/>
      <c r="K5" s="567"/>
      <c r="L5" s="2893"/>
      <c r="M5" s="2894"/>
      <c r="N5" s="2894"/>
      <c r="O5" s="2894"/>
      <c r="P5" s="3481"/>
      <c r="Q5" s="3482"/>
      <c r="R5" s="3464"/>
      <c r="S5" s="3465"/>
      <c r="T5" s="3464"/>
      <c r="U5" s="3465"/>
      <c r="V5" s="3487"/>
      <c r="W5" s="3487"/>
      <c r="X5" s="1490"/>
      <c r="Y5" s="3464"/>
      <c r="Z5" s="3465"/>
      <c r="AA5" s="3458"/>
      <c r="AB5" s="3458"/>
      <c r="AC5" s="3458"/>
    </row>
    <row r="6" spans="1:30" ht="15.75" thickBot="1">
      <c r="A6" s="366"/>
      <c r="B6" s="367"/>
      <c r="C6" s="3470" t="s">
        <v>2126</v>
      </c>
      <c r="D6" s="3471"/>
      <c r="E6" s="3472" t="s">
        <v>2126</v>
      </c>
      <c r="F6" s="3473"/>
      <c r="G6" s="3470" t="s">
        <v>2126</v>
      </c>
      <c r="H6" s="3471"/>
      <c r="I6" s="3470" t="s">
        <v>2126</v>
      </c>
      <c r="J6" s="3471"/>
      <c r="K6" s="567" t="s">
        <v>2127</v>
      </c>
      <c r="L6" s="2893"/>
      <c r="M6" s="2894"/>
      <c r="N6" s="2894"/>
      <c r="O6" s="2894"/>
      <c r="P6" s="3483"/>
      <c r="Q6" s="3484"/>
      <c r="R6" s="3464"/>
      <c r="S6" s="3465"/>
      <c r="T6" s="3485"/>
      <c r="U6" s="3486"/>
      <c r="V6" s="3487"/>
      <c r="W6" s="3487"/>
      <c r="X6" s="1490"/>
      <c r="Y6" s="3485"/>
      <c r="Z6" s="3486"/>
      <c r="AA6" s="3459"/>
      <c r="AB6" s="3459"/>
      <c r="AC6" s="3459"/>
    </row>
    <row r="7" spans="1:30" s="113" customFormat="1" ht="15.75" thickBot="1">
      <c r="A7" s="368" t="s">
        <v>2128</v>
      </c>
      <c r="B7" s="369"/>
      <c r="C7" s="370">
        <f>'数据-取费表'!B2</f>
        <v>44820</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60" t="s">
        <v>2132</v>
      </c>
      <c r="Q8" s="3461"/>
      <c r="R8" s="710" t="s">
        <v>17</v>
      </c>
      <c r="S8" s="711">
        <f t="shared" si="0"/>
        <v>0</v>
      </c>
      <c r="T8" s="710" t="s">
        <v>17</v>
      </c>
      <c r="U8" s="711">
        <f t="shared" si="1"/>
        <v>0</v>
      </c>
      <c r="V8" s="710" t="s">
        <v>17</v>
      </c>
      <c r="W8" s="711">
        <f t="shared" si="2"/>
        <v>0</v>
      </c>
      <c r="X8" s="712"/>
      <c r="Y8" s="3460" t="s">
        <v>2132</v>
      </c>
      <c r="Z8" s="346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129</v>
      </c>
      <c r="G10" s="422"/>
      <c r="H10" s="132">
        <f>ROUND(100/'数据-取费表'!G16,0)</f>
        <v>129</v>
      </c>
      <c r="I10" s="422"/>
      <c r="J10" s="132">
        <f>ROUND(100/'数据-取费表'!G16,0)</f>
        <v>129</v>
      </c>
      <c r="K10" s="628"/>
      <c r="L10" s="2897"/>
      <c r="M10" s="2898"/>
      <c r="N10" s="2898"/>
      <c r="O10" s="2951"/>
      <c r="P10" s="3492"/>
      <c r="Q10" s="1478" t="str">
        <f t="shared" si="6"/>
        <v>土地使用年限（年）</v>
      </c>
      <c r="R10" s="710" t="s">
        <v>17</v>
      </c>
      <c r="S10" s="711">
        <f t="shared" si="0"/>
        <v>129</v>
      </c>
      <c r="T10" s="710" t="s">
        <v>17</v>
      </c>
      <c r="U10" s="711">
        <f t="shared" si="1"/>
        <v>129</v>
      </c>
      <c r="V10" s="710" t="s">
        <v>17</v>
      </c>
      <c r="W10" s="711">
        <f t="shared" si="2"/>
        <v>129</v>
      </c>
      <c r="X10" s="712"/>
      <c r="Y10" s="3404"/>
      <c r="Z10" s="55" t="str">
        <f t="shared" si="7"/>
        <v>土地使用年限（年）</v>
      </c>
      <c r="AA10" s="713">
        <f t="shared" si="3"/>
        <v>0.77519379844961245</v>
      </c>
      <c r="AB10" s="713">
        <f t="shared" si="4"/>
        <v>0.77519379844961245</v>
      </c>
      <c r="AC10" s="713">
        <f t="shared" si="5"/>
        <v>0.77519379844961245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92"/>
      <c r="Q12" s="1478" t="str">
        <f t="shared" si="6"/>
        <v>配建</v>
      </c>
      <c r="R12" s="710" t="s">
        <v>17</v>
      </c>
      <c r="S12" s="711">
        <f t="shared" si="0"/>
        <v>100</v>
      </c>
      <c r="T12" s="710" t="s">
        <v>17</v>
      </c>
      <c r="U12" s="711">
        <f t="shared" si="1"/>
        <v>100</v>
      </c>
      <c r="V12" s="710" t="s">
        <v>17</v>
      </c>
      <c r="W12" s="711">
        <f t="shared" si="2"/>
        <v>100</v>
      </c>
      <c r="X12" s="712"/>
      <c r="Y12" s="340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4" t="s">
        <v>2140</v>
      </c>
      <c r="Q15" s="1487" t="str">
        <f t="shared" si="6"/>
        <v>居住社区成熟度</v>
      </c>
      <c r="R15" s="714" t="s">
        <v>17</v>
      </c>
      <c r="S15" s="715">
        <f t="shared" si="0"/>
        <v>100</v>
      </c>
      <c r="T15" s="714" t="s">
        <v>17</v>
      </c>
      <c r="U15" s="715">
        <f t="shared" si="1"/>
        <v>100</v>
      </c>
      <c r="V15" s="714" t="s">
        <v>17</v>
      </c>
      <c r="W15" s="715">
        <f t="shared" si="2"/>
        <v>100</v>
      </c>
      <c r="X15" s="1490"/>
      <c r="Y15" s="349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95"/>
      <c r="Q16" s="1487"/>
      <c r="R16" s="714"/>
      <c r="S16" s="715"/>
      <c r="T16" s="714"/>
      <c r="U16" s="715"/>
      <c r="V16" s="714"/>
      <c r="W16" s="715"/>
      <c r="X16" s="1490"/>
      <c r="Y16" s="349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5"/>
      <c r="Q17" s="1487" t="str">
        <f>B17</f>
        <v>商业繁华度</v>
      </c>
      <c r="R17" s="714" t="s">
        <v>17</v>
      </c>
      <c r="S17" s="715">
        <f>F17</f>
        <v>100</v>
      </c>
      <c r="T17" s="714" t="s">
        <v>17</v>
      </c>
      <c r="U17" s="715">
        <f>H17</f>
        <v>100</v>
      </c>
      <c r="V17" s="714" t="s">
        <v>17</v>
      </c>
      <c r="W17" s="715">
        <f>J17</f>
        <v>100</v>
      </c>
      <c r="X17" s="1490"/>
      <c r="Y17" s="349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95"/>
      <c r="Q18" s="1487"/>
      <c r="R18" s="714"/>
      <c r="S18" s="715"/>
      <c r="T18" s="714"/>
      <c r="U18" s="715"/>
      <c r="V18" s="714"/>
      <c r="W18" s="715"/>
      <c r="X18" s="1490"/>
      <c r="Y18" s="349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5"/>
      <c r="Q19" s="1487" t="str">
        <f>B19</f>
        <v>办公集聚程度</v>
      </c>
      <c r="R19" s="714" t="s">
        <v>17</v>
      </c>
      <c r="S19" s="715">
        <f>F19</f>
        <v>100</v>
      </c>
      <c r="T19" s="714" t="s">
        <v>17</v>
      </c>
      <c r="U19" s="715">
        <f>H19</f>
        <v>100</v>
      </c>
      <c r="V19" s="714" t="s">
        <v>17</v>
      </c>
      <c r="W19" s="715">
        <f>J19</f>
        <v>100</v>
      </c>
      <c r="X19" s="1490"/>
      <c r="Y19" s="349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95"/>
      <c r="Q20" s="1487"/>
      <c r="R20" s="714"/>
      <c r="S20" s="715"/>
      <c r="T20" s="714"/>
      <c r="U20" s="715"/>
      <c r="V20" s="714"/>
      <c r="W20" s="715"/>
      <c r="X20" s="1490"/>
      <c r="Y20" s="349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5"/>
      <c r="Q21" s="1487" t="str">
        <f>B21</f>
        <v>交通便捷度</v>
      </c>
      <c r="R21" s="714" t="s">
        <v>17</v>
      </c>
      <c r="S21" s="715">
        <f>F21</f>
        <v>100</v>
      </c>
      <c r="T21" s="714" t="s">
        <v>17</v>
      </c>
      <c r="U21" s="715">
        <f>H21</f>
        <v>100</v>
      </c>
      <c r="V21" s="714" t="s">
        <v>17</v>
      </c>
      <c r="W21" s="715">
        <f>J21</f>
        <v>100</v>
      </c>
      <c r="X21" s="1490"/>
      <c r="Y21" s="349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95"/>
      <c r="Q22" s="1487"/>
      <c r="R22" s="714"/>
      <c r="S22" s="715"/>
      <c r="T22" s="714"/>
      <c r="U22" s="715"/>
      <c r="V22" s="714"/>
      <c r="W22" s="715"/>
      <c r="X22" s="1490"/>
      <c r="Y22" s="349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5"/>
      <c r="Q23" s="1487" t="str">
        <f t="shared" ref="Q23:Q37" si="8">B23</f>
        <v>区域土地利用方向</v>
      </c>
      <c r="R23" s="714" t="s">
        <v>17</v>
      </c>
      <c r="S23" s="715">
        <f>F23</f>
        <v>100</v>
      </c>
      <c r="T23" s="714" t="s">
        <v>17</v>
      </c>
      <c r="U23" s="715">
        <f>H23</f>
        <v>100</v>
      </c>
      <c r="V23" s="714" t="s">
        <v>17</v>
      </c>
      <c r="W23" s="715">
        <f>J23</f>
        <v>100</v>
      </c>
      <c r="X23" s="1490"/>
      <c r="Y23" s="349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95"/>
      <c r="Q24" s="1487"/>
      <c r="R24" s="714"/>
      <c r="S24" s="715"/>
      <c r="T24" s="714"/>
      <c r="U24" s="715"/>
      <c r="V24" s="714"/>
      <c r="W24" s="715"/>
      <c r="X24" s="1490"/>
      <c r="Y24" s="349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5"/>
      <c r="Q25" s="1487" t="str">
        <f t="shared" si="8"/>
        <v>自然及人文环境状况</v>
      </c>
      <c r="R25" s="714" t="s">
        <v>17</v>
      </c>
      <c r="S25" s="715">
        <f>F25</f>
        <v>100</v>
      </c>
      <c r="T25" s="714" t="s">
        <v>17</v>
      </c>
      <c r="U25" s="715">
        <f>H25</f>
        <v>100</v>
      </c>
      <c r="V25" s="714" t="s">
        <v>17</v>
      </c>
      <c r="W25" s="715">
        <f>J25</f>
        <v>100</v>
      </c>
      <c r="X25" s="1490"/>
      <c r="Y25" s="349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95"/>
      <c r="Q26" s="1487"/>
      <c r="R26" s="714"/>
      <c r="S26" s="715"/>
      <c r="T26" s="714"/>
      <c r="U26" s="715"/>
      <c r="V26" s="714"/>
      <c r="W26" s="715"/>
      <c r="X26" s="1490"/>
      <c r="Y26" s="349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5"/>
      <c r="Q27" s="1478" t="str">
        <f t="shared" si="8"/>
        <v>公共配套设施</v>
      </c>
      <c r="R27" s="710" t="s">
        <v>17</v>
      </c>
      <c r="S27" s="711">
        <f>F27</f>
        <v>100</v>
      </c>
      <c r="T27" s="710" t="s">
        <v>17</v>
      </c>
      <c r="U27" s="711">
        <f>H27</f>
        <v>100</v>
      </c>
      <c r="V27" s="710" t="s">
        <v>17</v>
      </c>
      <c r="W27" s="711">
        <f>J27</f>
        <v>100</v>
      </c>
      <c r="X27" s="712"/>
      <c r="Y27" s="349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95"/>
      <c r="Q28" s="1478"/>
      <c r="R28" s="710"/>
      <c r="S28" s="711"/>
      <c r="T28" s="710"/>
      <c r="U28" s="711"/>
      <c r="V28" s="710"/>
      <c r="W28" s="711"/>
      <c r="X28" s="712"/>
      <c r="Y28" s="349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5"/>
      <c r="Q29" s="1478" t="str">
        <f t="shared" ref="Q29" si="9">B29</f>
        <v>基础设施水平</v>
      </c>
      <c r="R29" s="710" t="s">
        <v>17</v>
      </c>
      <c r="S29" s="711">
        <f>F29</f>
        <v>100</v>
      </c>
      <c r="T29" s="710" t="s">
        <v>17</v>
      </c>
      <c r="U29" s="711">
        <f>H29</f>
        <v>100</v>
      </c>
      <c r="V29" s="710" t="s">
        <v>17</v>
      </c>
      <c r="W29" s="711">
        <f>J29</f>
        <v>100</v>
      </c>
      <c r="X29" s="712"/>
      <c r="Y29" s="349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95"/>
      <c r="Q30" s="1478"/>
      <c r="R30" s="710"/>
      <c r="S30" s="711"/>
      <c r="T30" s="710"/>
      <c r="U30" s="711"/>
      <c r="V30" s="710"/>
      <c r="W30" s="711"/>
      <c r="X30" s="712"/>
      <c r="Y30" s="349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5"/>
      <c r="Q32" s="1487" t="str">
        <f t="shared" si="8"/>
        <v>毗邻道路的类型与等级</v>
      </c>
      <c r="R32" s="714" t="s">
        <v>17</v>
      </c>
      <c r="S32" s="715">
        <f t="shared" si="10"/>
        <v>100</v>
      </c>
      <c r="T32" s="714" t="s">
        <v>17</v>
      </c>
      <c r="U32" s="715">
        <f t="shared" si="11"/>
        <v>100</v>
      </c>
      <c r="V32" s="714" t="s">
        <v>17</v>
      </c>
      <c r="W32" s="715">
        <f t="shared" si="12"/>
        <v>100</v>
      </c>
      <c r="X32" s="1490"/>
      <c r="Y32" s="349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95"/>
      <c r="Q33" s="1487"/>
      <c r="R33" s="714"/>
      <c r="S33" s="715"/>
      <c r="T33" s="714"/>
      <c r="U33" s="715"/>
      <c r="V33" s="714"/>
      <c r="W33" s="715"/>
      <c r="X33" s="1490"/>
      <c r="Y33" s="349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5"/>
      <c r="Q34" s="1487" t="str">
        <f t="shared" si="8"/>
        <v>土地级别</v>
      </c>
      <c r="R34" s="714" t="s">
        <v>17</v>
      </c>
      <c r="S34" s="715">
        <f t="shared" si="10"/>
        <v>100</v>
      </c>
      <c r="T34" s="714" t="s">
        <v>17</v>
      </c>
      <c r="U34" s="715">
        <f t="shared" si="11"/>
        <v>100</v>
      </c>
      <c r="V34" s="714" t="s">
        <v>17</v>
      </c>
      <c r="W34" s="715">
        <f t="shared" si="12"/>
        <v>100</v>
      </c>
      <c r="X34" s="1490"/>
      <c r="Y34" s="349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5"/>
      <c r="Q35" s="1487">
        <f t="shared" si="8"/>
        <v>111</v>
      </c>
      <c r="R35" s="714" t="s">
        <v>17</v>
      </c>
      <c r="S35" s="715">
        <f t="shared" si="10"/>
        <v>100</v>
      </c>
      <c r="T35" s="714" t="s">
        <v>17</v>
      </c>
      <c r="U35" s="715">
        <f t="shared" si="11"/>
        <v>100</v>
      </c>
      <c r="V35" s="714" t="s">
        <v>17</v>
      </c>
      <c r="W35" s="715">
        <f t="shared" si="12"/>
        <v>100</v>
      </c>
      <c r="X35" s="1490"/>
      <c r="Y35" s="349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8" t="s">
        <v>2145</v>
      </c>
      <c r="Q36" s="1487">
        <f t="shared" si="8"/>
        <v>111</v>
      </c>
      <c r="R36" s="714" t="s">
        <v>17</v>
      </c>
      <c r="S36" s="715">
        <f t="shared" si="10"/>
        <v>100</v>
      </c>
      <c r="T36" s="714" t="s">
        <v>17</v>
      </c>
      <c r="U36" s="715">
        <f t="shared" si="11"/>
        <v>100</v>
      </c>
      <c r="V36" s="714" t="s">
        <v>17</v>
      </c>
      <c r="W36" s="715">
        <f t="shared" si="12"/>
        <v>100</v>
      </c>
      <c r="X36" s="1490"/>
      <c r="Y36" s="349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9"/>
      <c r="Q37" s="1487">
        <f t="shared" si="8"/>
        <v>111</v>
      </c>
      <c r="R37" s="717" t="s">
        <v>17</v>
      </c>
      <c r="S37" s="718">
        <f t="shared" si="10"/>
        <v>100</v>
      </c>
      <c r="T37" s="717" t="s">
        <v>17</v>
      </c>
      <c r="U37" s="718">
        <f t="shared" si="11"/>
        <v>100</v>
      </c>
      <c r="V37" s="717" t="s">
        <v>17</v>
      </c>
      <c r="W37" s="718">
        <f t="shared" si="12"/>
        <v>100</v>
      </c>
      <c r="X37" s="719"/>
      <c r="Y37" s="349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9"/>
      <c r="Q38" s="1487" t="str">
        <f>B38</f>
        <v>宗地面积</v>
      </c>
      <c r="R38" s="714" t="s">
        <v>17</v>
      </c>
      <c r="S38" s="715" t="e">
        <f t="shared" si="10"/>
        <v>#N/A</v>
      </c>
      <c r="T38" s="714" t="s">
        <v>17</v>
      </c>
      <c r="U38" s="715" t="e">
        <f t="shared" si="11"/>
        <v>#N/A</v>
      </c>
      <c r="V38" s="714" t="s">
        <v>17</v>
      </c>
      <c r="W38" s="715" t="e">
        <f t="shared" si="12"/>
        <v>#N/A</v>
      </c>
      <c r="X38" s="1490"/>
      <c r="Y38" s="349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99"/>
      <c r="Q39" s="1487" t="str">
        <f t="shared" ref="Q39:Q45" si="14">B39</f>
        <v>宗地形状</v>
      </c>
      <c r="R39" s="714" t="s">
        <v>17</v>
      </c>
      <c r="S39" s="715">
        <f t="shared" si="10"/>
        <v>100</v>
      </c>
      <c r="T39" s="714" t="s">
        <v>17</v>
      </c>
      <c r="U39" s="715">
        <f t="shared" si="11"/>
        <v>100</v>
      </c>
      <c r="V39" s="714" t="s">
        <v>17</v>
      </c>
      <c r="W39" s="715">
        <f t="shared" si="12"/>
        <v>100</v>
      </c>
      <c r="X39" s="1490"/>
      <c r="Y39" s="349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99"/>
      <c r="Q40" s="1487" t="str">
        <f t="shared" si="14"/>
        <v>临街宽度及深度</v>
      </c>
      <c r="R40" s="714" t="s">
        <v>17</v>
      </c>
      <c r="S40" s="715">
        <f t="shared" si="10"/>
        <v>100</v>
      </c>
      <c r="T40" s="714" t="s">
        <v>17</v>
      </c>
      <c r="U40" s="715">
        <f t="shared" si="11"/>
        <v>100</v>
      </c>
      <c r="V40" s="714" t="s">
        <v>17</v>
      </c>
      <c r="W40" s="715">
        <f t="shared" si="12"/>
        <v>100</v>
      </c>
      <c r="X40" s="1490"/>
      <c r="Y40" s="349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99"/>
      <c r="Q41" s="1487"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99" t="s">
        <v>2145</v>
      </c>
      <c r="Q42" s="1487" t="str">
        <f t="shared" si="14"/>
        <v>工程地质条件</v>
      </c>
      <c r="R42" s="714" t="s">
        <v>17</v>
      </c>
      <c r="S42" s="715">
        <f t="shared" si="10"/>
        <v>100</v>
      </c>
      <c r="T42" s="714" t="s">
        <v>17</v>
      </c>
      <c r="U42" s="715">
        <f t="shared" si="11"/>
        <v>100</v>
      </c>
      <c r="V42" s="714" t="s">
        <v>17</v>
      </c>
      <c r="W42" s="715">
        <f t="shared" si="12"/>
        <v>100</v>
      </c>
      <c r="X42" s="1490"/>
      <c r="Y42" s="349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9"/>
      <c r="Q43" s="1487">
        <f t="shared" si="14"/>
        <v>111</v>
      </c>
      <c r="R43" s="714" t="s">
        <v>17</v>
      </c>
      <c r="S43" s="715">
        <f t="shared" si="10"/>
        <v>100</v>
      </c>
      <c r="T43" s="714" t="s">
        <v>17</v>
      </c>
      <c r="U43" s="715">
        <f t="shared" si="11"/>
        <v>100</v>
      </c>
      <c r="V43" s="714" t="s">
        <v>17</v>
      </c>
      <c r="W43" s="715">
        <f t="shared" si="12"/>
        <v>100</v>
      </c>
      <c r="X43" s="1490"/>
      <c r="Y43" s="349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9"/>
      <c r="Q44" s="1487">
        <f t="shared" si="14"/>
        <v>111</v>
      </c>
      <c r="R44" s="714" t="s">
        <v>17</v>
      </c>
      <c r="S44" s="715">
        <f t="shared" si="10"/>
        <v>100</v>
      </c>
      <c r="T44" s="714" t="s">
        <v>17</v>
      </c>
      <c r="U44" s="715">
        <f t="shared" si="11"/>
        <v>100</v>
      </c>
      <c r="V44" s="714" t="s">
        <v>17</v>
      </c>
      <c r="W44" s="715">
        <f t="shared" si="12"/>
        <v>100</v>
      </c>
      <c r="X44" s="1490"/>
      <c r="Y44" s="349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9"/>
      <c r="Q45" s="1487">
        <f t="shared" si="14"/>
        <v>111</v>
      </c>
      <c r="R45" s="717" t="s">
        <v>17</v>
      </c>
      <c r="S45" s="718">
        <f t="shared" si="10"/>
        <v>100</v>
      </c>
      <c r="T45" s="717" t="s">
        <v>17</v>
      </c>
      <c r="U45" s="718">
        <f t="shared" si="11"/>
        <v>100</v>
      </c>
      <c r="V45" s="717" t="s">
        <v>17</v>
      </c>
      <c r="W45" s="718">
        <f t="shared" si="12"/>
        <v>100</v>
      </c>
      <c r="X45" s="719"/>
      <c r="Y45" s="349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92" t="str">
        <f>A46</f>
        <v>成交单价</v>
      </c>
      <c r="Q46" s="3492"/>
      <c r="R46" s="3487">
        <f>E46</f>
        <v>0</v>
      </c>
      <c r="S46" s="3487"/>
      <c r="T46" s="3487">
        <f>G46</f>
        <v>0</v>
      </c>
      <c r="U46" s="3487"/>
      <c r="V46" s="3487">
        <f>I46</f>
        <v>0</v>
      </c>
      <c r="W46" s="3487"/>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2"/>
      <c r="M47" s="2903"/>
      <c r="N47" s="2903"/>
      <c r="O47" s="2903"/>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5380.46</v>
      </c>
      <c r="F56" s="998" t="e">
        <f t="shared" ref="F56:F64" si="15">ROUND(B56*E56/10000,0)</f>
        <v>#DIV/0!</v>
      </c>
      <c r="G56" s="3474"/>
      <c r="H56" s="3492"/>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5380.46</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380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706</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tr">
        <f>sheet1!A2</f>
        <v xml:space="preserve">北京经济技术开发区亦庄新城0605街区B2-1-7-1地块工业项目   </v>
      </c>
      <c r="F5" s="3467"/>
      <c r="G5" s="3468" t="str">
        <f>sheet1!A3</f>
        <v xml:space="preserve">北京经济技术开发区亦庄新城YZ00-0606-0101地块工业项目   </v>
      </c>
      <c r="H5" s="3469"/>
      <c r="I5" s="3468" t="str">
        <f>sheet1!A15</f>
        <v xml:space="preserve">北京经济技术开发区路东区D9M3地块    </v>
      </c>
      <c r="J5" s="3469"/>
      <c r="K5" s="567"/>
      <c r="L5" s="2893"/>
      <c r="M5" s="2894"/>
      <c r="N5" s="2894"/>
      <c r="O5" s="2894"/>
      <c r="P5" s="3481"/>
      <c r="Q5" s="3482"/>
      <c r="R5" s="3464"/>
      <c r="S5" s="3465"/>
      <c r="T5" s="3464"/>
      <c r="U5" s="3465"/>
      <c r="V5" s="3487"/>
      <c r="W5" s="3487"/>
      <c r="X5" s="1490"/>
      <c r="Y5" s="3464"/>
      <c r="Z5" s="3465"/>
      <c r="AA5" s="3458"/>
      <c r="AB5" s="3458"/>
      <c r="AC5" s="3458"/>
    </row>
    <row r="6" spans="1:29" ht="15.75" thickBot="1">
      <c r="A6" s="366"/>
      <c r="B6" s="367"/>
      <c r="C6" s="3523" t="s">
        <v>2376</v>
      </c>
      <c r="D6" s="3524"/>
      <c r="E6" s="3525" t="s">
        <v>2376</v>
      </c>
      <c r="F6" s="3526"/>
      <c r="G6" s="3523" t="s">
        <v>2376</v>
      </c>
      <c r="H6" s="3524"/>
      <c r="I6" s="3523" t="s">
        <v>2376</v>
      </c>
      <c r="J6" s="3524"/>
      <c r="K6" s="567" t="s">
        <v>2127</v>
      </c>
      <c r="L6" s="2893"/>
      <c r="M6" s="2894"/>
      <c r="N6" s="2894"/>
      <c r="O6" s="2894"/>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44820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98.5</v>
      </c>
      <c r="K7" s="568"/>
      <c r="L7" s="2895"/>
      <c r="M7" s="2896"/>
      <c r="N7" s="2896"/>
      <c r="O7" s="2896"/>
      <c r="P7" s="3460" t="s">
        <v>2129</v>
      </c>
      <c r="Q7" s="3488"/>
      <c r="R7" s="710" t="s">
        <v>17</v>
      </c>
      <c r="S7" s="711">
        <f t="shared" ref="S7:S15" si="0">F7</f>
        <v>100</v>
      </c>
      <c r="T7" s="710" t="s">
        <v>17</v>
      </c>
      <c r="U7" s="711">
        <f t="shared" ref="U7:U15" si="1">H7</f>
        <v>100</v>
      </c>
      <c r="V7" s="710" t="s">
        <v>17</v>
      </c>
      <c r="W7" s="711">
        <f t="shared" ref="W7:W15" si="2">J7</f>
        <v>98.5</v>
      </c>
      <c r="X7" s="712"/>
      <c r="Y7" s="3460" t="s">
        <v>2129</v>
      </c>
      <c r="Z7" s="3461"/>
      <c r="AA7" s="713">
        <f>D7/F7</f>
        <v>1</v>
      </c>
      <c r="AB7" s="713">
        <f>D7/H7</f>
        <v>1</v>
      </c>
      <c r="AC7" s="713">
        <f>D7/J7</f>
        <v>1.015228426395939</v>
      </c>
    </row>
    <row r="8" spans="1:29" s="113" customFormat="1" ht="15.75" thickBot="1">
      <c r="A8" s="368" t="s">
        <v>2130</v>
      </c>
      <c r="B8" s="369"/>
      <c r="C8" s="374" t="s">
        <v>2131</v>
      </c>
      <c r="D8" s="371">
        <v>100</v>
      </c>
      <c r="E8" s="374" t="s">
        <v>3278</v>
      </c>
      <c r="F8" s="373">
        <f>SUMIF(68:68,E8,69:69)-SUMIF(68:68,C8,69:69)+100</f>
        <v>100</v>
      </c>
      <c r="G8" s="374" t="s">
        <v>3278</v>
      </c>
      <c r="H8" s="371">
        <f>SUMIF(68:68,G8,69:69)-SUMIF(68:68,C8,69:69)+100</f>
        <v>100</v>
      </c>
      <c r="I8" s="374" t="s">
        <v>3278</v>
      </c>
      <c r="J8" s="371">
        <f>SUMIF(68:68,I8,69:69)-SUMIF(68:68,C8,69:69)+100</f>
        <v>100</v>
      </c>
      <c r="K8" s="568"/>
      <c r="L8" s="2895"/>
      <c r="M8" s="2896"/>
      <c r="N8" s="2896"/>
      <c r="O8" s="2896"/>
      <c r="P8" s="3460" t="s">
        <v>2132</v>
      </c>
      <c r="Q8" s="3461"/>
      <c r="R8" s="710" t="s">
        <v>17</v>
      </c>
      <c r="S8" s="711">
        <f t="shared" si="0"/>
        <v>100</v>
      </c>
      <c r="T8" s="710" t="s">
        <v>17</v>
      </c>
      <c r="U8" s="711">
        <f t="shared" si="1"/>
        <v>100</v>
      </c>
      <c r="V8" s="710" t="s">
        <v>17</v>
      </c>
      <c r="W8" s="711">
        <f t="shared" si="2"/>
        <v>100</v>
      </c>
      <c r="X8" s="712"/>
      <c r="Y8" s="3460" t="s">
        <v>2132</v>
      </c>
      <c r="Z8" s="3461"/>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5"/>
      <c r="M9" s="2896"/>
      <c r="N9" s="2896"/>
      <c r="O9" s="2950"/>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129</v>
      </c>
      <c r="G10" s="391"/>
      <c r="H10" s="132">
        <f>ROUND(100/'数据-取费表'!G16,0)</f>
        <v>129</v>
      </c>
      <c r="I10" s="391"/>
      <c r="J10" s="132">
        <f>ROUND(100/'数据-取费表'!G16,0)</f>
        <v>129</v>
      </c>
      <c r="K10" s="628"/>
      <c r="L10" s="2897"/>
      <c r="M10" s="2898"/>
      <c r="N10" s="2898"/>
      <c r="O10" s="2951"/>
      <c r="P10" s="3492"/>
      <c r="Q10" s="1478" t="str">
        <f t="shared" si="6"/>
        <v>土地使用年限（年）</v>
      </c>
      <c r="R10" s="710" t="s">
        <v>17</v>
      </c>
      <c r="S10" s="711">
        <f t="shared" si="0"/>
        <v>129</v>
      </c>
      <c r="T10" s="710" t="s">
        <v>17</v>
      </c>
      <c r="U10" s="711">
        <f t="shared" si="1"/>
        <v>129</v>
      </c>
      <c r="V10" s="710" t="s">
        <v>17</v>
      </c>
      <c r="W10" s="711">
        <f t="shared" si="2"/>
        <v>129</v>
      </c>
      <c r="X10" s="712"/>
      <c r="Y10" s="3404"/>
      <c r="Z10" s="55" t="str">
        <f t="shared" si="7"/>
        <v>土地使用年限（年）</v>
      </c>
      <c r="AA10" s="713">
        <f t="shared" si="3"/>
        <v>0.77519379844961245</v>
      </c>
      <c r="AB10" s="713">
        <f t="shared" si="4"/>
        <v>0.77519379844961245</v>
      </c>
      <c r="AC10" s="713">
        <f t="shared" si="5"/>
        <v>0.77519379844961245</v>
      </c>
    </row>
    <row r="11" spans="1:29" ht="15">
      <c r="A11" s="387"/>
      <c r="B11" s="381" t="s">
        <v>2138</v>
      </c>
      <c r="C11" s="388">
        <f>'数据-汇总表'!I6</f>
        <v>0.68</v>
      </c>
      <c r="D11" s="132">
        <v>100</v>
      </c>
      <c r="E11" s="388">
        <v>1.54</v>
      </c>
      <c r="F11" s="132">
        <f>LOOKUP(E11,75:75,76:76)-LOOKUP(C11,75:75,76:76)+100</f>
        <v>98</v>
      </c>
      <c r="G11" s="389">
        <v>0.9</v>
      </c>
      <c r="H11" s="132">
        <f>LOOKUP(G11,75:75,76:76)-LOOKUP(C11,75:75,76:76)+100</f>
        <v>100</v>
      </c>
      <c r="I11" s="388">
        <v>1.5</v>
      </c>
      <c r="J11" s="132">
        <f>LOOKUP(I11,75:75,76:76)-LOOKUP(C11,75:75,76:76)+100</f>
        <v>98</v>
      </c>
      <c r="K11" s="629">
        <v>2</v>
      </c>
      <c r="L11" s="2899"/>
      <c r="M11" s="2894"/>
      <c r="N11" s="2894"/>
      <c r="O11" s="2952"/>
      <c r="P11" s="3492"/>
      <c r="Q11" s="1478" t="str">
        <f t="shared" si="6"/>
        <v>容积率</v>
      </c>
      <c r="R11" s="710" t="s">
        <v>17</v>
      </c>
      <c r="S11" s="711">
        <f t="shared" si="0"/>
        <v>98</v>
      </c>
      <c r="T11" s="710" t="s">
        <v>17</v>
      </c>
      <c r="U11" s="711">
        <f t="shared" si="1"/>
        <v>100</v>
      </c>
      <c r="V11" s="710" t="s">
        <v>17</v>
      </c>
      <c r="W11" s="711">
        <f t="shared" si="2"/>
        <v>98</v>
      </c>
      <c r="X11" s="712"/>
      <c r="Y11" s="3404"/>
      <c r="Z11" s="55" t="str">
        <f t="shared" si="7"/>
        <v>容积率</v>
      </c>
      <c r="AA11" s="713">
        <f t="shared" si="3"/>
        <v>1.0204081632653061</v>
      </c>
      <c r="AB11" s="713">
        <f t="shared" si="4"/>
        <v>1</v>
      </c>
      <c r="AC11" s="713">
        <f t="shared" si="5"/>
        <v>1.0204081632653061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586"/>
      <c r="C16" s="406" t="s">
        <v>3203</v>
      </c>
      <c r="D16" s="407"/>
      <c r="E16" s="406" t="s">
        <v>3203</v>
      </c>
      <c r="F16" s="407"/>
      <c r="G16" s="406" t="s">
        <v>3203</v>
      </c>
      <c r="H16" s="409"/>
      <c r="I16" s="406" t="s">
        <v>3203</v>
      </c>
      <c r="J16" s="407"/>
      <c r="K16" s="628"/>
      <c r="L16" s="2900"/>
      <c r="M16" s="2894"/>
      <c r="N16" s="2894"/>
      <c r="O16" s="2952"/>
      <c r="P16" s="3495"/>
      <c r="Q16" s="1487"/>
      <c r="R16" s="714"/>
      <c r="S16" s="715"/>
      <c r="T16" s="714"/>
      <c r="U16" s="715"/>
      <c r="V16" s="714"/>
      <c r="W16" s="715"/>
      <c r="X16" s="1490"/>
      <c r="Y16" s="349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588"/>
      <c r="C18" s="406" t="s">
        <v>3203</v>
      </c>
      <c r="D18" s="407"/>
      <c r="E18" s="406" t="s">
        <v>3203</v>
      </c>
      <c r="F18" s="407"/>
      <c r="G18" s="406" t="s">
        <v>3203</v>
      </c>
      <c r="H18" s="407"/>
      <c r="I18" s="406" t="s">
        <v>3203</v>
      </c>
      <c r="J18" s="407"/>
      <c r="K18" s="628"/>
      <c r="L18" s="2900"/>
      <c r="M18" s="2894"/>
      <c r="N18" s="2894"/>
      <c r="O18" s="2952"/>
      <c r="P18" s="3495"/>
      <c r="Q18" s="1487"/>
      <c r="R18" s="714"/>
      <c r="S18" s="715"/>
      <c r="T18" s="714"/>
      <c r="U18" s="715"/>
      <c r="V18" s="714"/>
      <c r="W18" s="715"/>
      <c r="X18" s="1490"/>
      <c r="Y18" s="349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5"/>
      <c r="Q19" s="1487" t="str">
        <f t="shared" ref="Q19:Q33" si="8">B19</f>
        <v>区域土地利用方向</v>
      </c>
      <c r="R19" s="714" t="s">
        <v>17</v>
      </c>
      <c r="S19" s="715">
        <f>F19</f>
        <v>100</v>
      </c>
      <c r="T19" s="714" t="s">
        <v>17</v>
      </c>
      <c r="U19" s="715">
        <f>H19</f>
        <v>100</v>
      </c>
      <c r="V19" s="714" t="s">
        <v>17</v>
      </c>
      <c r="W19" s="715">
        <f>J19</f>
        <v>100</v>
      </c>
      <c r="X19" s="1490"/>
      <c r="Y19" s="3495"/>
      <c r="Z19" s="1491" t="str">
        <f>Q19</f>
        <v>区域土地利用方向</v>
      </c>
      <c r="AA19" s="1488">
        <f t="shared" si="3"/>
        <v>1</v>
      </c>
      <c r="AB19" s="1488">
        <f t="shared" si="4"/>
        <v>1</v>
      </c>
      <c r="AC19" s="1488">
        <f t="shared" si="5"/>
        <v>1</v>
      </c>
    </row>
    <row r="20" spans="1:29" ht="15">
      <c r="A20" s="364"/>
      <c r="B20" s="588"/>
      <c r="C20" s="406" t="s">
        <v>3203</v>
      </c>
      <c r="D20" s="407"/>
      <c r="E20" s="406" t="s">
        <v>3203</v>
      </c>
      <c r="F20" s="407"/>
      <c r="G20" s="406" t="s">
        <v>3203</v>
      </c>
      <c r="H20" s="407"/>
      <c r="I20" s="406" t="s">
        <v>3203</v>
      </c>
      <c r="J20" s="407"/>
      <c r="K20" s="751"/>
      <c r="L20" s="2900"/>
      <c r="M20" s="2894"/>
      <c r="N20" s="2894"/>
      <c r="O20" s="2952"/>
      <c r="P20" s="3495"/>
      <c r="Q20" s="1487"/>
      <c r="R20" s="714"/>
      <c r="S20" s="715"/>
      <c r="T20" s="714"/>
      <c r="U20" s="715"/>
      <c r="V20" s="714"/>
      <c r="W20" s="715"/>
      <c r="X20" s="1490"/>
      <c r="Y20" s="349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5"/>
      <c r="Q21" s="1487" t="str">
        <f t="shared" si="8"/>
        <v>环境状况</v>
      </c>
      <c r="R21" s="714" t="s">
        <v>17</v>
      </c>
      <c r="S21" s="715">
        <f>F21</f>
        <v>100</v>
      </c>
      <c r="T21" s="714" t="s">
        <v>17</v>
      </c>
      <c r="U21" s="715">
        <f>H21</f>
        <v>100</v>
      </c>
      <c r="V21" s="714" t="s">
        <v>17</v>
      </c>
      <c r="W21" s="715">
        <f>J21</f>
        <v>100</v>
      </c>
      <c r="X21" s="1490"/>
      <c r="Y21" s="3495"/>
      <c r="Z21" s="1491" t="str">
        <f>Q21</f>
        <v>环境状况</v>
      </c>
      <c r="AA21" s="1488">
        <f t="shared" si="3"/>
        <v>1</v>
      </c>
      <c r="AB21" s="1488">
        <f t="shared" si="4"/>
        <v>1</v>
      </c>
      <c r="AC21" s="1488">
        <f t="shared" si="5"/>
        <v>1</v>
      </c>
    </row>
    <row r="22" spans="1:29" ht="15">
      <c r="A22" s="364"/>
      <c r="B22" s="588"/>
      <c r="C22" s="406" t="s">
        <v>3203</v>
      </c>
      <c r="D22" s="407"/>
      <c r="E22" s="406" t="s">
        <v>3203</v>
      </c>
      <c r="F22" s="407"/>
      <c r="G22" s="406" t="s">
        <v>3203</v>
      </c>
      <c r="H22" s="407"/>
      <c r="I22" s="406" t="s">
        <v>3203</v>
      </c>
      <c r="J22" s="407"/>
      <c r="K22" s="628"/>
      <c r="L22" s="2900"/>
      <c r="M22" s="2894"/>
      <c r="N22" s="2894"/>
      <c r="O22" s="2952"/>
      <c r="P22" s="3495"/>
      <c r="Q22" s="1487"/>
      <c r="R22" s="714"/>
      <c r="S22" s="715"/>
      <c r="T22" s="714"/>
      <c r="U22" s="715"/>
      <c r="V22" s="714"/>
      <c r="W22" s="715"/>
      <c r="X22" s="1490"/>
      <c r="Y22" s="349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5"/>
      <c r="Q23" s="1478" t="str">
        <f t="shared" si="8"/>
        <v>公共配套设施</v>
      </c>
      <c r="R23" s="710" t="s">
        <v>17</v>
      </c>
      <c r="S23" s="711">
        <f>F23</f>
        <v>100</v>
      </c>
      <c r="T23" s="710" t="s">
        <v>17</v>
      </c>
      <c r="U23" s="711">
        <f>H23</f>
        <v>100</v>
      </c>
      <c r="V23" s="710" t="s">
        <v>17</v>
      </c>
      <c r="W23" s="711">
        <f>J23</f>
        <v>100</v>
      </c>
      <c r="X23" s="712"/>
      <c r="Y23" s="3495"/>
      <c r="Z23" s="55" t="str">
        <f>Q23</f>
        <v>公共配套设施</v>
      </c>
      <c r="AA23" s="1488">
        <f>D23/F23</f>
        <v>1</v>
      </c>
      <c r="AB23" s="1488">
        <f>D23/H23</f>
        <v>1</v>
      </c>
      <c r="AC23" s="1488">
        <f>D23/J23</f>
        <v>1</v>
      </c>
    </row>
    <row r="24" spans="1:29" s="113" customFormat="1" ht="15">
      <c r="A24" s="605"/>
      <c r="B24" s="588"/>
      <c r="C24" s="2115" t="s">
        <v>3203</v>
      </c>
      <c r="D24" s="407"/>
      <c r="E24" s="2115" t="s">
        <v>3203</v>
      </c>
      <c r="F24" s="407"/>
      <c r="G24" s="2115" t="s">
        <v>3203</v>
      </c>
      <c r="H24" s="407"/>
      <c r="I24" s="2115" t="s">
        <v>3203</v>
      </c>
      <c r="J24" s="407"/>
      <c r="K24" s="628"/>
      <c r="L24" s="2895"/>
      <c r="M24" s="2896"/>
      <c r="N24" s="2896"/>
      <c r="O24" s="2950"/>
      <c r="P24" s="3495"/>
      <c r="Q24" s="1478"/>
      <c r="R24" s="710"/>
      <c r="S24" s="711"/>
      <c r="T24" s="710"/>
      <c r="U24" s="711"/>
      <c r="V24" s="710"/>
      <c r="W24" s="711"/>
      <c r="X24" s="712"/>
      <c r="Y24" s="349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5"/>
      <c r="Q25" s="1478" t="str">
        <f t="shared" ref="Q25" si="9">B25</f>
        <v>基础设施水平</v>
      </c>
      <c r="R25" s="710" t="s">
        <v>17</v>
      </c>
      <c r="S25" s="711">
        <f>F25</f>
        <v>100</v>
      </c>
      <c r="T25" s="710" t="s">
        <v>17</v>
      </c>
      <c r="U25" s="711">
        <f>H25</f>
        <v>100</v>
      </c>
      <c r="V25" s="710" t="s">
        <v>17</v>
      </c>
      <c r="W25" s="711">
        <f>J25</f>
        <v>100</v>
      </c>
      <c r="X25" s="712"/>
      <c r="Y25" s="3495"/>
      <c r="Z25" s="55" t="str">
        <f>Q25</f>
        <v>基础设施水平</v>
      </c>
      <c r="AA25" s="1488">
        <f>D25/F25</f>
        <v>1</v>
      </c>
      <c r="AB25" s="1488">
        <f>D25/H25</f>
        <v>1</v>
      </c>
      <c r="AC25" s="1488">
        <f>D25/J25</f>
        <v>1</v>
      </c>
    </row>
    <row r="26" spans="1:29" s="113" customFormat="1" ht="15">
      <c r="A26" s="605"/>
      <c r="B26" s="588"/>
      <c r="C26" s="2115" t="s">
        <v>3204</v>
      </c>
      <c r="D26" s="407"/>
      <c r="E26" s="2115" t="s">
        <v>3204</v>
      </c>
      <c r="F26" s="407"/>
      <c r="G26" s="2115" t="s">
        <v>3204</v>
      </c>
      <c r="H26" s="407"/>
      <c r="I26" s="2115" t="s">
        <v>3204</v>
      </c>
      <c r="J26" s="407"/>
      <c r="K26" s="628"/>
      <c r="L26" s="2895"/>
      <c r="M26" s="2896"/>
      <c r="N26" s="2896"/>
      <c r="O26" s="2950"/>
      <c r="P26" s="3495"/>
      <c r="Q26" s="1478"/>
      <c r="R26" s="710"/>
      <c r="S26" s="711"/>
      <c r="T26" s="710"/>
      <c r="U26" s="711"/>
      <c r="V26" s="710"/>
      <c r="W26" s="711"/>
      <c r="X26" s="712"/>
      <c r="Y26" s="349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5"/>
      <c r="Q28" s="1487" t="str">
        <f t="shared" si="8"/>
        <v>毗邻道路的类型与等级</v>
      </c>
      <c r="R28" s="714" t="s">
        <v>17</v>
      </c>
      <c r="S28" s="715">
        <f t="shared" si="10"/>
        <v>100</v>
      </c>
      <c r="T28" s="714" t="s">
        <v>17</v>
      </c>
      <c r="U28" s="715">
        <f t="shared" si="11"/>
        <v>100</v>
      </c>
      <c r="V28" s="714" t="s">
        <v>17</v>
      </c>
      <c r="W28" s="715">
        <f t="shared" si="12"/>
        <v>100</v>
      </c>
      <c r="X28" s="1490"/>
      <c r="Y28" s="349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95"/>
      <c r="Q29" s="1487"/>
      <c r="R29" s="714"/>
      <c r="S29" s="715"/>
      <c r="T29" s="714"/>
      <c r="U29" s="715"/>
      <c r="V29" s="714"/>
      <c r="W29" s="715"/>
      <c r="X29" s="1490"/>
      <c r="Y29" s="349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5"/>
      <c r="Q30" s="1487" t="str">
        <f t="shared" si="8"/>
        <v>土地级别</v>
      </c>
      <c r="R30" s="714" t="s">
        <v>17</v>
      </c>
      <c r="S30" s="715">
        <f t="shared" si="10"/>
        <v>100</v>
      </c>
      <c r="T30" s="714" t="s">
        <v>17</v>
      </c>
      <c r="U30" s="715">
        <f t="shared" si="11"/>
        <v>100</v>
      </c>
      <c r="V30" s="714" t="s">
        <v>17</v>
      </c>
      <c r="W30" s="715">
        <f t="shared" si="12"/>
        <v>100</v>
      </c>
      <c r="X30" s="1490"/>
      <c r="Y30" s="349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5"/>
      <c r="Q31" s="1487">
        <f t="shared" si="8"/>
        <v>111</v>
      </c>
      <c r="R31" s="714" t="s">
        <v>17</v>
      </c>
      <c r="S31" s="715">
        <f t="shared" si="10"/>
        <v>100</v>
      </c>
      <c r="T31" s="714" t="s">
        <v>17</v>
      </c>
      <c r="U31" s="715">
        <f t="shared" si="11"/>
        <v>100</v>
      </c>
      <c r="V31" s="714" t="s">
        <v>17</v>
      </c>
      <c r="W31" s="715">
        <f t="shared" si="12"/>
        <v>100</v>
      </c>
      <c r="X31" s="1490"/>
      <c r="Y31" s="349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8" t="s">
        <v>2145</v>
      </c>
      <c r="Q32" s="1487">
        <f t="shared" si="8"/>
        <v>111</v>
      </c>
      <c r="R32" s="714" t="s">
        <v>17</v>
      </c>
      <c r="S32" s="715">
        <f t="shared" si="10"/>
        <v>100</v>
      </c>
      <c r="T32" s="714" t="s">
        <v>17</v>
      </c>
      <c r="U32" s="715">
        <f t="shared" si="11"/>
        <v>100</v>
      </c>
      <c r="V32" s="714" t="s">
        <v>17</v>
      </c>
      <c r="W32" s="715">
        <f t="shared" si="12"/>
        <v>100</v>
      </c>
      <c r="X32" s="1490"/>
      <c r="Y32" s="349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9"/>
      <c r="Q33" s="1487">
        <f t="shared" si="8"/>
        <v>111</v>
      </c>
      <c r="R33" s="717" t="s">
        <v>17</v>
      </c>
      <c r="S33" s="718">
        <f t="shared" si="10"/>
        <v>100</v>
      </c>
      <c r="T33" s="717" t="s">
        <v>17</v>
      </c>
      <c r="U33" s="718">
        <f t="shared" si="11"/>
        <v>100</v>
      </c>
      <c r="V33" s="717" t="s">
        <v>17</v>
      </c>
      <c r="W33" s="718">
        <f t="shared" si="12"/>
        <v>100</v>
      </c>
      <c r="X33" s="719"/>
      <c r="Y33" s="3499"/>
      <c r="Z33" s="720">
        <f t="shared" si="13"/>
        <v>111</v>
      </c>
      <c r="AA33" s="1488">
        <f t="shared" si="3"/>
        <v>1</v>
      </c>
      <c r="AB33" s="1488">
        <f t="shared" si="4"/>
        <v>1</v>
      </c>
      <c r="AC33" s="1488">
        <f t="shared" si="5"/>
        <v>1</v>
      </c>
    </row>
    <row r="34" spans="1:31" ht="15">
      <c r="A34" s="399" t="s">
        <v>2143</v>
      </c>
      <c r="B34" s="415" t="s">
        <v>2331</v>
      </c>
      <c r="C34" s="635">
        <f>'数据-基础表'!A3</f>
        <v>7960.6</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0"/>
      <c r="M34" s="2894"/>
      <c r="N34" s="2894"/>
      <c r="O34" s="2952"/>
      <c r="P34" s="3499"/>
      <c r="Q34" s="1487" t="str">
        <f>B34</f>
        <v>宗地面积</v>
      </c>
      <c r="R34" s="714" t="s">
        <v>17</v>
      </c>
      <c r="S34" s="715">
        <f t="shared" si="10"/>
        <v>99</v>
      </c>
      <c r="T34" s="714" t="s">
        <v>17</v>
      </c>
      <c r="U34" s="715">
        <f t="shared" si="11"/>
        <v>97</v>
      </c>
      <c r="V34" s="714" t="s">
        <v>17</v>
      </c>
      <c r="W34" s="715">
        <f t="shared" si="12"/>
        <v>100</v>
      </c>
      <c r="X34" s="1490"/>
      <c r="Y34" s="3499"/>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99"/>
      <c r="Q35" s="1487" t="str">
        <f t="shared" ref="Q35:Q40" si="14">B35</f>
        <v>宗地形状</v>
      </c>
      <c r="R35" s="714" t="s">
        <v>17</v>
      </c>
      <c r="S35" s="715">
        <f t="shared" si="10"/>
        <v>100</v>
      </c>
      <c r="T35" s="714" t="s">
        <v>17</v>
      </c>
      <c r="U35" s="715">
        <f t="shared" si="11"/>
        <v>100</v>
      </c>
      <c r="V35" s="714" t="s">
        <v>17</v>
      </c>
      <c r="W35" s="715">
        <f t="shared" si="12"/>
        <v>100</v>
      </c>
      <c r="X35" s="1490"/>
      <c r="Y35" s="349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99"/>
      <c r="Q36" s="1487"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99" t="s">
        <v>2145</v>
      </c>
      <c r="Q37" s="1487" t="str">
        <f t="shared" si="14"/>
        <v>工程地质条件</v>
      </c>
      <c r="R37" s="714" t="s">
        <v>17</v>
      </c>
      <c r="S37" s="715">
        <f t="shared" si="10"/>
        <v>100</v>
      </c>
      <c r="T37" s="714" t="s">
        <v>17</v>
      </c>
      <c r="U37" s="715">
        <f t="shared" si="11"/>
        <v>100</v>
      </c>
      <c r="V37" s="714" t="s">
        <v>17</v>
      </c>
      <c r="W37" s="715">
        <f t="shared" si="12"/>
        <v>100</v>
      </c>
      <c r="X37" s="1490"/>
      <c r="Y37" s="349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9"/>
      <c r="Q38" s="1487">
        <f t="shared" si="14"/>
        <v>111</v>
      </c>
      <c r="R38" s="714" t="s">
        <v>17</v>
      </c>
      <c r="S38" s="715">
        <f t="shared" si="10"/>
        <v>100</v>
      </c>
      <c r="T38" s="714" t="s">
        <v>17</v>
      </c>
      <c r="U38" s="715">
        <f t="shared" si="11"/>
        <v>100</v>
      </c>
      <c r="V38" s="714" t="s">
        <v>17</v>
      </c>
      <c r="W38" s="715">
        <f t="shared" si="12"/>
        <v>100</v>
      </c>
      <c r="X38" s="1490"/>
      <c r="Y38" s="349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9"/>
      <c r="Q39" s="1487">
        <f t="shared" si="14"/>
        <v>111</v>
      </c>
      <c r="R39" s="714" t="s">
        <v>17</v>
      </c>
      <c r="S39" s="715">
        <f t="shared" si="10"/>
        <v>100</v>
      </c>
      <c r="T39" s="714" t="s">
        <v>17</v>
      </c>
      <c r="U39" s="715">
        <f t="shared" si="11"/>
        <v>100</v>
      </c>
      <c r="V39" s="714" t="s">
        <v>17</v>
      </c>
      <c r="W39" s="715">
        <f t="shared" si="12"/>
        <v>100</v>
      </c>
      <c r="X39" s="1490"/>
      <c r="Y39" s="349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9"/>
      <c r="Q40" s="1487">
        <f t="shared" si="14"/>
        <v>111</v>
      </c>
      <c r="R40" s="717" t="s">
        <v>17</v>
      </c>
      <c r="S40" s="718">
        <f t="shared" si="10"/>
        <v>100</v>
      </c>
      <c r="T40" s="717" t="s">
        <v>17</v>
      </c>
      <c r="U40" s="718">
        <f t="shared" si="11"/>
        <v>100</v>
      </c>
      <c r="V40" s="717" t="s">
        <v>17</v>
      </c>
      <c r="W40" s="718">
        <f t="shared" si="12"/>
        <v>100</v>
      </c>
      <c r="X40" s="719"/>
      <c r="Y40" s="3499"/>
      <c r="Z40" s="720">
        <f t="shared" si="13"/>
        <v>111</v>
      </c>
      <c r="AA40" s="1488">
        <f t="shared" si="3"/>
        <v>1</v>
      </c>
      <c r="AB40" s="1488">
        <f t="shared" si="4"/>
        <v>1</v>
      </c>
      <c r="AC40" s="1488">
        <f t="shared" si="5"/>
        <v>1</v>
      </c>
    </row>
    <row r="41" spans="1:31" ht="15">
      <c r="A41" s="438" t="s">
        <v>2300</v>
      </c>
      <c r="B41" s="2119" t="s">
        <v>3205</v>
      </c>
      <c r="C41" s="638" t="s">
        <v>1</v>
      </c>
      <c r="D41" s="440"/>
      <c r="E41" s="441">
        <f>sheet1!P2</f>
        <v>977</v>
      </c>
      <c r="F41" s="442"/>
      <c r="G41" s="443">
        <f>sheet1!P3</f>
        <v>944</v>
      </c>
      <c r="H41" s="444"/>
      <c r="I41" s="441">
        <f>sheet1!P15</f>
        <v>726</v>
      </c>
      <c r="J41" s="444"/>
      <c r="K41" s="723"/>
      <c r="L41" s="2902"/>
      <c r="M41" s="2894"/>
      <c r="N41" s="2894"/>
      <c r="O41" s="2903"/>
      <c r="P41" s="3492" t="str">
        <f>A41</f>
        <v>成交单价</v>
      </c>
      <c r="Q41" s="3492"/>
      <c r="R41" s="3487">
        <f>E41</f>
        <v>977</v>
      </c>
      <c r="S41" s="3487"/>
      <c r="T41" s="3487">
        <f>G41</f>
        <v>944</v>
      </c>
      <c r="U41" s="3487"/>
      <c r="V41" s="3487">
        <f>I41</f>
        <v>726</v>
      </c>
      <c r="W41" s="3487"/>
      <c r="X41" s="699"/>
      <c r="Y41" s="721"/>
      <c r="Z41" s="699"/>
      <c r="AA41" s="699"/>
      <c r="AB41" s="699"/>
      <c r="AC41" s="699"/>
    </row>
    <row r="42" spans="1:31" ht="15.75" thickBot="1">
      <c r="A42" s="445" t="s">
        <v>2249</v>
      </c>
      <c r="B42" s="639"/>
      <c r="C42" s="448">
        <f>R43</f>
        <v>706</v>
      </c>
      <c r="D42" s="2489" t="s">
        <v>2638</v>
      </c>
      <c r="E42" s="448">
        <f>R42</f>
        <v>781</v>
      </c>
      <c r="F42" s="2490"/>
      <c r="G42" s="447">
        <f>T42</f>
        <v>754</v>
      </c>
      <c r="H42" s="2490"/>
      <c r="I42" s="448">
        <f>V42</f>
        <v>583</v>
      </c>
      <c r="J42" s="2490"/>
      <c r="K42" s="2492">
        <f>F42+H42+J42</f>
        <v>0</v>
      </c>
      <c r="L42" s="2902"/>
      <c r="M42" s="2894"/>
      <c r="N42" s="2894"/>
      <c r="O42" s="2903"/>
      <c r="P42" s="3492" t="str">
        <f>A42</f>
        <v>比较价值（元/平方米）</v>
      </c>
      <c r="Q42" s="3492"/>
      <c r="R42" s="3520">
        <f>ROUND(PRODUCT(R41,AA7:AA40),0)</f>
        <v>781</v>
      </c>
      <c r="S42" s="3520"/>
      <c r="T42" s="3520">
        <f>ROUND(PRODUCT(T41,AB7:AB40),0)</f>
        <v>754</v>
      </c>
      <c r="U42" s="3520"/>
      <c r="V42" s="3520">
        <f>ROUND(PRODUCT(V41,AC7:AC40),0)</f>
        <v>583</v>
      </c>
      <c r="W42" s="3520"/>
      <c r="X42" s="699"/>
      <c r="Y42" s="699"/>
      <c r="Z42" s="699"/>
      <c r="AA42" s="699"/>
      <c r="AB42" s="699"/>
      <c r="AC42" s="699"/>
    </row>
    <row r="43" spans="1:31" ht="15.75" thickBot="1">
      <c r="A43" s="449" t="s">
        <v>2250</v>
      </c>
      <c r="B43" s="450"/>
      <c r="C43" s="451">
        <f>R43</f>
        <v>706</v>
      </c>
      <c r="D43" s="451"/>
      <c r="E43" s="451"/>
      <c r="F43" s="451"/>
      <c r="G43" s="451"/>
      <c r="H43" s="451"/>
      <c r="I43" s="451"/>
      <c r="J43" s="451"/>
      <c r="K43" s="724"/>
      <c r="L43" s="2902"/>
      <c r="M43" s="2894"/>
      <c r="N43" s="2894"/>
      <c r="O43" s="2903"/>
      <c r="P43" s="3489" t="str">
        <f>A43</f>
        <v>估价对象XX用房的比较价值（楼面单价，元/平方米）</v>
      </c>
      <c r="Q43" s="3490"/>
      <c r="R43" s="3521">
        <f>ROUND(IF(D42="简单平均",AVERAGE(R42:W42),R42*F42+T42*H42+V42*J42),0)</f>
        <v>706</v>
      </c>
      <c r="S43" s="3521"/>
      <c r="T43" s="3521"/>
      <c r="U43" s="3521"/>
      <c r="V43" s="3521"/>
      <c r="W43" s="3521"/>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f>IF(E41&lt;E42,E42/E41-1,E41/E42-1)</f>
        <v>0.25096030729833552</v>
      </c>
      <c r="F46" s="457" t="str">
        <f>IF(OR(E46&gt;=0.3,E46&lt;=-0.3),"超过30%","")</f>
        <v/>
      </c>
      <c r="G46" s="456">
        <f>IF(G41&lt;G42,G42/G41-1,G41/G42-1)</f>
        <v>0.25198938992042441</v>
      </c>
      <c r="H46" s="457" t="str">
        <f>IF(OR(G46&gt;=0.3,G46&lt;=-0.3),"超过30%","")</f>
        <v/>
      </c>
      <c r="I46" s="456">
        <f>IF(I41&lt;I42,I42/I41-1,I41/I42-1)</f>
        <v>0.24528301886792447</v>
      </c>
      <c r="J46" s="457" t="str">
        <f>IF(OR(I46&gt;=0.3,I46&lt;=-0.3),"超过30%","")</f>
        <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f>IF(E42&lt;G42,G42/E42-1,E42/G42-1)</f>
        <v>3.5809018567639184E-2</v>
      </c>
      <c r="F47" s="457" t="str">
        <f>IF(OR(E47&gt;=0.2,E47&lt;=-0.2),"超过20%","")</f>
        <v/>
      </c>
      <c r="G47" s="456">
        <f>IF(G42&lt;I42,I42/G42-1,G42/I42-1)</f>
        <v>0.29331046312178377</v>
      </c>
      <c r="H47" s="457" t="str">
        <f>IF(OR(G47&gt;=0.2,G47&lt;=-0.2),"超过20%","")</f>
        <v>超过20%</v>
      </c>
      <c r="I47" s="456">
        <f>IF(I42&lt;E42,E42/I42-1,I42/E42-1)</f>
        <v>0.33962264150943389</v>
      </c>
      <c r="J47" s="457" t="str">
        <f>IF(OR(I47&gt;=0.2,I47&lt;=-0.2),"超过20%","")</f>
        <v>超过20%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f>C43</f>
        <v>706</v>
      </c>
      <c r="C51" s="646">
        <v>1</v>
      </c>
      <c r="D51" s="1056">
        <v>1</v>
      </c>
      <c r="E51" s="646">
        <f>'数据-汇总表'!E8+'数据-汇总表'!E9</f>
        <v>5380.46</v>
      </c>
      <c r="F51" s="647">
        <f t="shared" ref="F51:F60" si="15">ROUND(B51*E51/10000,0)</f>
        <v>380</v>
      </c>
      <c r="G51" s="3474"/>
      <c r="H51" s="3492"/>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f>ROUND($C$43*C52*D52,0)</f>
        <v>0</v>
      </c>
      <c r="C52" s="176">
        <f t="shared" ref="C52:C60" si="16">IF($C$50="北京市系数",I52,J52)</f>
        <v>0</v>
      </c>
      <c r="D52" s="1057">
        <v>0.25</v>
      </c>
      <c r="E52" s="650"/>
      <c r="F52" s="647">
        <f t="shared" si="15"/>
        <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f t="shared" ref="B53:B60" si="17">ROUND($C$43*C53*D53,0)</f>
        <v>0</v>
      </c>
      <c r="C53" s="176">
        <f t="shared" si="16"/>
        <v>0</v>
      </c>
      <c r="D53" s="1057">
        <v>0.25</v>
      </c>
      <c r="E53" s="650"/>
      <c r="F53" s="647">
        <f t="shared" si="15"/>
        <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f t="shared" si="17"/>
        <v>0</v>
      </c>
      <c r="C54" s="176">
        <f t="shared" si="16"/>
        <v>0</v>
      </c>
      <c r="D54" s="1057">
        <v>0.25</v>
      </c>
      <c r="E54" s="650"/>
      <c r="F54" s="647">
        <f t="shared" si="15"/>
        <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5380.46</v>
      </c>
      <c r="F61" s="653">
        <f>IF(B41="楼面地价",SUM(F51:F60),ROUND(C43*E61/10000,0))</f>
        <v>380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3231" t="s">
        <v>3202</v>
      </c>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v>100</v>
      </c>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v>0</v>
      </c>
      <c r="D75" s="506">
        <v>1</v>
      </c>
      <c r="E75" s="506">
        <v>2</v>
      </c>
      <c r="F75" s="506">
        <v>3</v>
      </c>
      <c r="G75" s="506">
        <v>4</v>
      </c>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v>0</v>
      </c>
      <c r="D108" s="552">
        <v>20000</v>
      </c>
      <c r="E108" s="552">
        <v>40000</v>
      </c>
      <c r="F108" s="552">
        <v>60000</v>
      </c>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v>100</v>
      </c>
      <c r="D109" s="548">
        <f>C109-1</f>
        <v>99</v>
      </c>
      <c r="E109" s="548">
        <f t="shared" ref="E109:F109" si="27">D109-1</f>
        <v>98</v>
      </c>
      <c r="F109" s="548">
        <f t="shared" si="27"/>
        <v>97</v>
      </c>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Ⅵ-亦1</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2.7395999999999998</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0.68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1.9664999999999999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6"/>
      <c r="B4" s="3547"/>
      <c r="C4" s="3547"/>
      <c r="D4" s="3548"/>
      <c r="E4" s="3548"/>
      <c r="F4" s="3548"/>
      <c r="G4" s="3548"/>
      <c r="H4" s="3548"/>
      <c r="I4" s="3548"/>
      <c r="J4" s="3549"/>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1.5865</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1.2728999999999999</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1.0840000000000001</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7"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0.95320000000000005</v>
      </c>
      <c r="T7" s="1327" t="e">
        <f t="shared" si="0"/>
        <v>#DIV/0!</v>
      </c>
      <c r="U7" s="1328"/>
      <c r="V7" s="1327" t="e">
        <f t="shared" si="1"/>
        <v>#DIV/0!</v>
      </c>
      <c r="W7" s="1493" t="s">
        <v>2413</v>
      </c>
      <c r="X7" s="1329" t="str">
        <f>G2</f>
        <v>六级</v>
      </c>
      <c r="Y7" s="1329" t="s">
        <v>2414</v>
      </c>
      <c r="Z7" s="1330">
        <f>G3</f>
        <v>0.68</v>
      </c>
      <c r="AA7" s="1331"/>
      <c r="AB7" s="1331"/>
      <c r="AC7" s="1332"/>
      <c r="AD7" s="1333"/>
      <c r="AE7" s="1333"/>
      <c r="AF7" s="1333"/>
      <c r="AG7" s="1333"/>
      <c r="AH7" s="1333"/>
      <c r="AI7" s="1333"/>
      <c r="AJ7" s="1334"/>
    </row>
    <row r="8" spans="1:36" ht="15">
      <c r="A8" s="3550"/>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3" t="s">
        <v>2418</v>
      </c>
      <c r="X8" s="3544"/>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50"/>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5"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0"/>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0"/>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5" t="s">
        <v>2442</v>
      </c>
      <c r="X11" s="1339" t="s">
        <v>2443</v>
      </c>
      <c r="Y11" s="1340">
        <f>$G$3</f>
        <v>0.68</v>
      </c>
      <c r="Z11" s="1340">
        <f t="shared" ref="Z11:AJ11" si="3">$G$3</f>
        <v>0.68</v>
      </c>
      <c r="AA11" s="1340">
        <f t="shared" si="3"/>
        <v>0.68</v>
      </c>
      <c r="AB11" s="1340">
        <f t="shared" si="3"/>
        <v>0.68</v>
      </c>
      <c r="AC11" s="1340">
        <f t="shared" si="3"/>
        <v>0.68</v>
      </c>
      <c r="AD11" s="1340">
        <f t="shared" si="3"/>
        <v>0.68</v>
      </c>
      <c r="AE11" s="1340">
        <f t="shared" si="3"/>
        <v>0.68</v>
      </c>
      <c r="AF11" s="1340">
        <f t="shared" si="3"/>
        <v>0.68</v>
      </c>
      <c r="AG11" s="1340">
        <f t="shared" si="3"/>
        <v>0.68</v>
      </c>
      <c r="AH11" s="1340">
        <f t="shared" si="3"/>
        <v>0.68</v>
      </c>
      <c r="AI11" s="1340">
        <f t="shared" si="3"/>
        <v>0.68</v>
      </c>
      <c r="AJ11" s="1340">
        <f t="shared" si="3"/>
        <v>0.68</v>
      </c>
    </row>
    <row r="12" spans="1:36" ht="25.5" thickBot="1">
      <c r="A12" s="3527"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5"/>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1"/>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5"/>
      <c r="X13" s="1341"/>
      <c r="Y13" s="1338">
        <f>(-0.163*(Y12^2)-0.59*Y12+7617)*(10^(-4))/Y11</f>
        <v>1.1201470588235294</v>
      </c>
      <c r="Z13" s="1338">
        <f t="shared" ref="Z13:AJ13" si="5">(-0.163*(Z12^2)-0.59*Z12+7617)*(10^(-4))/Z11</f>
        <v>1.1201470588235294</v>
      </c>
      <c r="AA13" s="1338">
        <f t="shared" si="5"/>
        <v>1.1201470588235294</v>
      </c>
      <c r="AB13" s="1338">
        <f t="shared" si="5"/>
        <v>1.1201470588235294</v>
      </c>
      <c r="AC13" s="1338">
        <f t="shared" si="5"/>
        <v>1.1201470588235294</v>
      </c>
      <c r="AD13" s="1338">
        <f t="shared" si="5"/>
        <v>1.1201470588235294</v>
      </c>
      <c r="AE13" s="1338">
        <f t="shared" si="5"/>
        <v>1.1201470588235294</v>
      </c>
      <c r="AF13" s="1338">
        <f t="shared" si="5"/>
        <v>1.1201470588235294</v>
      </c>
      <c r="AG13" s="1338">
        <f t="shared" si="5"/>
        <v>1.1201470588235294</v>
      </c>
      <c r="AH13" s="1338">
        <f t="shared" si="5"/>
        <v>1.1201470588235294</v>
      </c>
      <c r="AI13" s="1338">
        <f t="shared" si="5"/>
        <v>1.1201470588235294</v>
      </c>
      <c r="AJ13" s="1338">
        <f t="shared" si="5"/>
        <v>1.1201470588235294</v>
      </c>
    </row>
    <row r="14" spans="1:36" ht="15">
      <c r="A14" s="3551"/>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52"/>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27" t="s">
        <v>2461</v>
      </c>
      <c r="B16" s="2160" t="s">
        <v>2462</v>
      </c>
      <c r="C16" s="2322" t="e">
        <f>ROUND(IF(F17="与级别开发程度一致",0,(G17-E17)/C17),0)</f>
        <v>#DIV/0!</v>
      </c>
      <c r="D16" s="3540" t="s">
        <v>2466</v>
      </c>
      <c r="E16" s="3541"/>
      <c r="F16" s="3540" t="s">
        <v>2463</v>
      </c>
      <c r="G16" s="354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2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44820</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2481</v>
      </c>
      <c r="C21" s="857">
        <f>IF(B21="容积率修正",IF(G3&lt;=10,D22,J22),C23)</f>
        <v>0</v>
      </c>
      <c r="D21" s="2216"/>
      <c r="E21" s="2216"/>
      <c r="F21" s="2216"/>
      <c r="G21" s="2216"/>
      <c r="H21" s="2216"/>
      <c r="I21" s="2216"/>
      <c r="J21" s="2217"/>
      <c r="K21" s="1240"/>
      <c r="L21" s="2968"/>
      <c r="M21" s="2968"/>
      <c r="N21" s="2218"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2483</v>
      </c>
      <c r="B22" s="2219" t="s">
        <v>2484</v>
      </c>
      <c r="C22" s="1487" t="s">
        <v>2485</v>
      </c>
      <c r="D22" s="1487">
        <f>IF(E22=G22,F22,IF(G3&lt;=10,ROUND(F22+(H22-F22)*(G3-E22)/(G22-E22),4),"——"))</f>
        <v>1.2706</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487" t="s">
        <v>155</v>
      </c>
      <c r="J22" s="858" t="str">
        <f>IF(G3&gt;10,D113,"——")</f>
        <v>——</v>
      </c>
      <c r="K22" s="1240"/>
      <c r="L22" s="2968"/>
      <c r="M22" s="2968"/>
      <c r="N22" s="2218"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8"/>
      <c r="M24" s="2968"/>
      <c r="N24" s="2228"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2492</v>
      </c>
      <c r="C25" s="851"/>
      <c r="D25" s="2163"/>
      <c r="E25" s="2163"/>
      <c r="F25" s="2230"/>
      <c r="G25" s="2163"/>
      <c r="H25" s="2163"/>
      <c r="I25" s="2163"/>
      <c r="J25" s="2164"/>
      <c r="K25" s="1233"/>
      <c r="L25" s="2134"/>
      <c r="M25" s="2134"/>
      <c r="N25" s="2963" t="s">
        <v>2493</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6" t="s">
        <v>2392</v>
      </c>
      <c r="M26" s="2161" t="s">
        <v>2457</v>
      </c>
      <c r="N26" s="2161" t="s">
        <v>2458</v>
      </c>
      <c r="O26" s="2161" t="s">
        <v>2459</v>
      </c>
      <c r="P26" s="296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9" t="s">
        <v>2549</v>
      </c>
      <c r="B90" s="3529"/>
      <c r="C90" s="3529"/>
      <c r="D90" s="3529"/>
      <c r="E90" s="3529"/>
      <c r="F90" s="3529"/>
      <c r="G90" s="3529"/>
      <c r="H90" s="3529"/>
      <c r="I90" s="3529"/>
      <c r="J90" s="3529"/>
      <c r="K90" s="2294"/>
      <c r="L90" s="2294"/>
      <c r="M90" s="2294"/>
      <c r="N90" s="2294"/>
    </row>
    <row r="91" spans="1:37">
      <c r="A91" s="3531" t="s">
        <v>2550</v>
      </c>
      <c r="B91" s="3531" t="s">
        <v>2551</v>
      </c>
      <c r="C91" s="2248" t="s">
        <v>2552</v>
      </c>
      <c r="D91" s="2249"/>
      <c r="E91" s="2249"/>
      <c r="F91" s="2249"/>
      <c r="G91" s="2249"/>
      <c r="H91" s="2249"/>
      <c r="I91" s="2249"/>
      <c r="J91" s="2295"/>
      <c r="K91" s="2296"/>
      <c r="L91" s="2296"/>
      <c r="M91" s="2296"/>
      <c r="N91" s="2296"/>
    </row>
    <row r="92" spans="1:37">
      <c r="A92" s="3531"/>
      <c r="B92" s="353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2" t="s">
        <v>2554</v>
      </c>
      <c r="B101" s="2301" t="s">
        <v>2555</v>
      </c>
      <c r="C101" s="2302">
        <f>$G$3</f>
        <v>0.68</v>
      </c>
      <c r="D101" s="2302">
        <f t="shared" ref="D101:N101" si="31">$G$3</f>
        <v>0.68</v>
      </c>
      <c r="E101" s="2302">
        <f t="shared" si="31"/>
        <v>0.68</v>
      </c>
      <c r="F101" s="2302">
        <f t="shared" si="31"/>
        <v>0.68</v>
      </c>
      <c r="G101" s="2302">
        <f t="shared" si="31"/>
        <v>0.68</v>
      </c>
      <c r="H101" s="2302">
        <f t="shared" si="31"/>
        <v>0.68</v>
      </c>
      <c r="I101" s="2302">
        <f t="shared" si="31"/>
        <v>0.68</v>
      </c>
      <c r="J101" s="2302">
        <f t="shared" si="31"/>
        <v>0.68</v>
      </c>
      <c r="K101" s="2302">
        <f t="shared" si="31"/>
        <v>0.68</v>
      </c>
      <c r="L101" s="2302">
        <f t="shared" si="31"/>
        <v>0.68</v>
      </c>
      <c r="M101" s="2302">
        <f t="shared" si="31"/>
        <v>0.68</v>
      </c>
      <c r="N101" s="2302">
        <f t="shared" si="31"/>
        <v>0.68</v>
      </c>
    </row>
    <row r="102" spans="1:14">
      <c r="A102" s="3533"/>
      <c r="B102" s="2297">
        <v>1</v>
      </c>
      <c r="C102" s="2298">
        <f>1.9362/C101</f>
        <v>2.8473529411764704</v>
      </c>
      <c r="D102" s="2298">
        <f>1.9362/D101</f>
        <v>2.8473529411764704</v>
      </c>
      <c r="E102" s="2298">
        <f>1.8629/E101</f>
        <v>2.7395588235294115</v>
      </c>
      <c r="F102" s="2298">
        <f>1.8629/F101</f>
        <v>2.7395588235294115</v>
      </c>
      <c r="G102" s="2298">
        <f>1.8629/G101</f>
        <v>2.7395588235294115</v>
      </c>
      <c r="H102" s="2298">
        <f>1.8629/H101</f>
        <v>2.7395588235294115</v>
      </c>
      <c r="I102" s="2298">
        <f>1.8629/I101</f>
        <v>2.7395588235294115</v>
      </c>
      <c r="J102" s="2298">
        <f>1.942/J101</f>
        <v>2.8558823529411761</v>
      </c>
      <c r="K102" s="2298">
        <f>1.942/K101</f>
        <v>2.8558823529411761</v>
      </c>
      <c r="L102" s="2298">
        <f>1.942/L101</f>
        <v>2.8558823529411761</v>
      </c>
      <c r="M102" s="2298">
        <f>1.942/M101</f>
        <v>2.8558823529411761</v>
      </c>
      <c r="N102" s="2298">
        <f>1.942/N101</f>
        <v>2.8558823529411761</v>
      </c>
    </row>
    <row r="103" spans="1:14">
      <c r="A103" s="3533"/>
      <c r="B103" s="2297">
        <v>2</v>
      </c>
      <c r="C103" s="2298">
        <f>1.4198/C101</f>
        <v>2.0879411764705882</v>
      </c>
      <c r="D103" s="2298">
        <f>1.4198/D101</f>
        <v>2.0879411764705882</v>
      </c>
      <c r="E103" s="2298">
        <f>1.3372/E101</f>
        <v>1.966470588235294</v>
      </c>
      <c r="F103" s="2298">
        <f>1.3372/F101</f>
        <v>1.966470588235294</v>
      </c>
      <c r="G103" s="2298">
        <f>1.3372/G101</f>
        <v>1.966470588235294</v>
      </c>
      <c r="H103" s="2298">
        <f>1.3372/H101</f>
        <v>1.966470588235294</v>
      </c>
      <c r="I103" s="2298">
        <f>1.3372/I101</f>
        <v>1.966470588235294</v>
      </c>
      <c r="J103" s="2298">
        <f>1.2799/J101</f>
        <v>1.8822058823529411</v>
      </c>
      <c r="K103" s="2298">
        <f>1.2799/K101</f>
        <v>1.8822058823529411</v>
      </c>
      <c r="L103" s="2298">
        <f>1.2799/L101</f>
        <v>1.8822058823529411</v>
      </c>
      <c r="M103" s="2298">
        <f>1.2799/M101</f>
        <v>1.8822058823529411</v>
      </c>
      <c r="N103" s="2298">
        <f>1.2799/N101</f>
        <v>1.8822058823529411</v>
      </c>
    </row>
    <row r="104" spans="1:14">
      <c r="A104" s="3533"/>
      <c r="B104" s="2297">
        <v>3</v>
      </c>
      <c r="C104" s="2298">
        <f>1.1594/C101</f>
        <v>1.7049999999999998</v>
      </c>
      <c r="D104" s="2298">
        <f>1.1594/D101</f>
        <v>1.7049999999999998</v>
      </c>
      <c r="E104" s="2298">
        <f>1.0788/E101</f>
        <v>1.5864705882352941</v>
      </c>
      <c r="F104" s="2298">
        <f>1.0788/F101</f>
        <v>1.5864705882352941</v>
      </c>
      <c r="G104" s="2298">
        <f>1.0788/G101</f>
        <v>1.5864705882352941</v>
      </c>
      <c r="H104" s="2298">
        <f>1.0788/H101</f>
        <v>1.5864705882352941</v>
      </c>
      <c r="I104" s="2298">
        <f>1.0788/I101</f>
        <v>1.5864705882352941</v>
      </c>
      <c r="J104" s="2298">
        <f>1.0072/J101</f>
        <v>1.4811764705882353</v>
      </c>
      <c r="K104" s="2298">
        <f>1.0072/K101</f>
        <v>1.4811764705882353</v>
      </c>
      <c r="L104" s="2298">
        <f>1.0072/L101</f>
        <v>1.4811764705882353</v>
      </c>
      <c r="M104" s="2298">
        <f>1.0072/M101</f>
        <v>1.4811764705882353</v>
      </c>
      <c r="N104" s="2298">
        <f>1.0072/N101</f>
        <v>1.4811764705882353</v>
      </c>
    </row>
    <row r="105" spans="1:14">
      <c r="A105" s="3533"/>
      <c r="B105" s="2297">
        <v>4</v>
      </c>
      <c r="C105" s="2298">
        <f>0.9622/C101</f>
        <v>1.415</v>
      </c>
      <c r="D105" s="2298">
        <f>0.9622/D101</f>
        <v>1.415</v>
      </c>
      <c r="E105" s="2298">
        <f>0.8656/E101</f>
        <v>1.2729411764705882</v>
      </c>
      <c r="F105" s="2298">
        <f>0.8656/F101</f>
        <v>1.2729411764705882</v>
      </c>
      <c r="G105" s="2298">
        <f>0.8656/G101</f>
        <v>1.2729411764705882</v>
      </c>
      <c r="H105" s="2298">
        <f>0.8656/H101</f>
        <v>1.2729411764705882</v>
      </c>
      <c r="I105" s="2298">
        <f>0.8656/I101</f>
        <v>1.2729411764705882</v>
      </c>
      <c r="J105" s="2298">
        <f>0.7525/J101</f>
        <v>1.1066176470588234</v>
      </c>
      <c r="K105" s="2298">
        <f>0.7525/K101</f>
        <v>1.1066176470588234</v>
      </c>
      <c r="L105" s="2298">
        <f>0.7525/L101</f>
        <v>1.1066176470588234</v>
      </c>
      <c r="M105" s="2298">
        <f>0.7525/M101</f>
        <v>1.1066176470588234</v>
      </c>
      <c r="N105" s="2298">
        <f>0.7525/N101</f>
        <v>1.1066176470588234</v>
      </c>
    </row>
    <row r="106" spans="1:14">
      <c r="A106" s="3533"/>
      <c r="B106" s="2297">
        <v>5</v>
      </c>
      <c r="C106" s="2298">
        <f>0.8417/C101</f>
        <v>1.2377941176470588</v>
      </c>
      <c r="D106" s="2298">
        <f>0.8417/D101</f>
        <v>1.2377941176470588</v>
      </c>
      <c r="E106" s="2298">
        <f>0.7371/E101</f>
        <v>1.0839705882352939</v>
      </c>
      <c r="F106" s="2298">
        <f>0.7371/F101</f>
        <v>1.0839705882352939</v>
      </c>
      <c r="G106" s="2298">
        <f>0.7371/G101</f>
        <v>1.0839705882352939</v>
      </c>
      <c r="H106" s="2298">
        <f>0.7371/H101</f>
        <v>1.0839705882352939</v>
      </c>
      <c r="I106" s="2298">
        <f>0.7371/I101</f>
        <v>1.0839705882352939</v>
      </c>
      <c r="J106" s="2298">
        <f>0.5659/J101</f>
        <v>0.83220588235294102</v>
      </c>
      <c r="K106" s="2298">
        <f>0.5659/K101</f>
        <v>0.83220588235294102</v>
      </c>
      <c r="L106" s="2298">
        <f>0.5659/L101</f>
        <v>0.83220588235294102</v>
      </c>
      <c r="M106" s="2298">
        <f>0.5659/M101</f>
        <v>0.83220588235294102</v>
      </c>
      <c r="N106" s="2298">
        <f>0.5659/N101</f>
        <v>0.83220588235294102</v>
      </c>
    </row>
    <row r="107" spans="1:14">
      <c r="A107" s="3533"/>
      <c r="B107" s="2297">
        <v>6</v>
      </c>
      <c r="C107" s="2298">
        <f>0.7608/C101</f>
        <v>1.1188235294117648</v>
      </c>
      <c r="D107" s="2298">
        <f>0.7608/D101</f>
        <v>1.1188235294117648</v>
      </c>
      <c r="E107" s="2298">
        <f>0.6482/E101</f>
        <v>0.95323529411764696</v>
      </c>
      <c r="F107" s="2298">
        <f>0.6482/F101</f>
        <v>0.95323529411764696</v>
      </c>
      <c r="G107" s="2298">
        <f>0.6482/G101</f>
        <v>0.95323529411764696</v>
      </c>
      <c r="H107" s="2298">
        <f>0.6482/H101</f>
        <v>0.95323529411764696</v>
      </c>
      <c r="I107" s="2298">
        <f>0.6482/I101</f>
        <v>0.95323529411764696</v>
      </c>
      <c r="J107" s="2298">
        <f>0.4525/J101</f>
        <v>0.6654411764705882</v>
      </c>
      <c r="K107" s="2298">
        <f>0.4525/K101</f>
        <v>0.6654411764705882</v>
      </c>
      <c r="L107" s="2298">
        <f>0.4525/L101</f>
        <v>0.6654411764705882</v>
      </c>
      <c r="M107" s="2298">
        <f>0.4525/M101</f>
        <v>0.6654411764705882</v>
      </c>
      <c r="N107" s="2298">
        <f>0.4525/N101</f>
        <v>0.6654411764705882</v>
      </c>
    </row>
    <row r="108" spans="1:14">
      <c r="A108" s="3533"/>
      <c r="B108" s="353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4"/>
      <c r="B109" s="3536"/>
      <c r="C109" s="2300">
        <f>(-0.163*(C108^2)-0.59*C108+7617)*(10^(-4))/C101</f>
        <v>1.1201470588235294</v>
      </c>
      <c r="D109" s="2300">
        <f>(-0.163*(D108^2)-0.59*D108+7617)*(10^(-4))/D101</f>
        <v>1.1201470588235294</v>
      </c>
      <c r="E109" s="2300">
        <f>(-0.161*(E108^2)-7.509*E108+6533)*(10^(-4))/E101</f>
        <v>0.96073529411764702</v>
      </c>
      <c r="F109" s="2300">
        <f>(-0.161*(F108^2)-7.509*F108+6533)*(10^(-4))/F101</f>
        <v>0.96073529411764702</v>
      </c>
      <c r="G109" s="2300">
        <f>(-0.161*(G108^2)-7.509*G108+6533)*(10^(-4))/G101</f>
        <v>0.96073529411764702</v>
      </c>
      <c r="H109" s="2300">
        <f>(-0.161*(H108^2)-7.509*H108+6533)*(10^(-4))/H101</f>
        <v>0.96073529411764702</v>
      </c>
      <c r="I109" s="2300">
        <f>(-0.161*(I108^2)-7.509*I108+6533)*(10^(-4))/I101</f>
        <v>0.96073529411764702</v>
      </c>
      <c r="J109" s="2300">
        <f>(-0.214*(J108^2)-21.991*J108+4665)*(10^(-4))/J101</f>
        <v>0.68602941176470589</v>
      </c>
      <c r="K109" s="2300">
        <f>(-0.214*(K108^2)-21.991*K108+4665)*(10^(-4))/K101</f>
        <v>0.68602941176470589</v>
      </c>
      <c r="L109" s="2300">
        <f>(-0.214*(L108^2)-21.991*L108+4665)*(10^(-4))/L101</f>
        <v>0.68602941176470589</v>
      </c>
      <c r="M109" s="2300">
        <f>(-0.214*(M108^2)-21.991*M108+4665)*(10^(-4))/M101</f>
        <v>0.68602941176470589</v>
      </c>
      <c r="N109" s="2300">
        <f>(-0.214*(N108^2)-21.991*N108+4665)*(10^(-4))/N101</f>
        <v>0.68602941176470589</v>
      </c>
    </row>
    <row r="110" spans="1:14">
      <c r="A110" s="3530" t="s">
        <v>2557</v>
      </c>
      <c r="B110" s="3530"/>
      <c r="C110" s="3530"/>
      <c r="D110" s="3530"/>
      <c r="E110" s="3530"/>
      <c r="F110" s="3530"/>
      <c r="G110" s="3530"/>
      <c r="H110" s="3530"/>
      <c r="I110" s="3530"/>
      <c r="J110" s="3530"/>
      <c r="K110" s="2303"/>
      <c r="L110" s="2303"/>
      <c r="M110" s="2303"/>
      <c r="N110" s="2303"/>
    </row>
    <row r="112" spans="1:14" ht="13.5" thickBot="1"/>
    <row r="113" spans="1:13" ht="25.5" thickBot="1">
      <c r="A113" s="824" t="s">
        <v>2558</v>
      </c>
      <c r="B113" s="1178">
        <f>G3</f>
        <v>0.68</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0.92710000000000004</v>
      </c>
      <c r="C115" s="831">
        <f>B115</f>
        <v>0.92710000000000004</v>
      </c>
      <c r="D115" s="831">
        <f>ROUND(0.8331-0.0109*B113,4)</f>
        <v>0.82569999999999999</v>
      </c>
      <c r="E115" s="831">
        <f>D115</f>
        <v>0.82569999999999999</v>
      </c>
      <c r="F115" s="831">
        <f>E115</f>
        <v>0.82569999999999999</v>
      </c>
      <c r="G115" s="831">
        <f>F115</f>
        <v>0.82569999999999999</v>
      </c>
      <c r="H115" s="831">
        <f>G115</f>
        <v>0.82569999999999999</v>
      </c>
      <c r="I115" s="831">
        <f>ROUND(0.689-0.0155*B113,4)</f>
        <v>0.67849999999999999</v>
      </c>
      <c r="J115" s="831">
        <f t="shared" ref="J115:M118" si="33">I115</f>
        <v>0.67849999999999999</v>
      </c>
      <c r="K115" s="831">
        <f t="shared" si="33"/>
        <v>0.67849999999999999</v>
      </c>
      <c r="L115" s="831">
        <f t="shared" si="33"/>
        <v>0.67849999999999999</v>
      </c>
      <c r="M115" s="832">
        <f t="shared" si="33"/>
        <v>0.67849999999999999</v>
      </c>
    </row>
    <row r="116" spans="1:13">
      <c r="A116" s="830" t="s">
        <v>2458</v>
      </c>
      <c r="B116" s="831">
        <f>ROUND(0.949-0.012*B113,4)</f>
        <v>0.94079999999999997</v>
      </c>
      <c r="C116" s="831">
        <f>B116</f>
        <v>0.94079999999999997</v>
      </c>
      <c r="D116" s="831">
        <f>ROUND(0.8567-0.013*B113,4)</f>
        <v>0.84789999999999999</v>
      </c>
      <c r="E116" s="831">
        <f t="shared" ref="E116:H117" si="34">D116</f>
        <v>0.84789999999999999</v>
      </c>
      <c r="F116" s="831">
        <f t="shared" si="34"/>
        <v>0.84789999999999999</v>
      </c>
      <c r="G116" s="831">
        <f t="shared" si="34"/>
        <v>0.84789999999999999</v>
      </c>
      <c r="H116" s="831">
        <f t="shared" si="34"/>
        <v>0.84789999999999999</v>
      </c>
      <c r="I116" s="831">
        <f>ROUND(0.7694-0.014*B113,4)</f>
        <v>0.75990000000000002</v>
      </c>
      <c r="J116" s="831">
        <f t="shared" si="33"/>
        <v>0.75990000000000002</v>
      </c>
      <c r="K116" s="831">
        <f t="shared" si="33"/>
        <v>0.75990000000000002</v>
      </c>
      <c r="L116" s="831">
        <f t="shared" si="33"/>
        <v>0.75990000000000002</v>
      </c>
      <c r="M116" s="832">
        <f t="shared" si="33"/>
        <v>0.75990000000000002</v>
      </c>
    </row>
    <row r="117" spans="1:13">
      <c r="A117" s="830" t="s">
        <v>2459</v>
      </c>
      <c r="B117" s="831">
        <f>ROUND(0.8808-0.006*B113,4)</f>
        <v>0.87670000000000003</v>
      </c>
      <c r="C117" s="831">
        <f>B117</f>
        <v>0.87670000000000003</v>
      </c>
      <c r="D117" s="831">
        <f>ROUND(0.8748-0.008*B113,4)</f>
        <v>0.86939999999999995</v>
      </c>
      <c r="E117" s="831">
        <f t="shared" si="34"/>
        <v>0.86939999999999995</v>
      </c>
      <c r="F117" s="831">
        <f t="shared" si="34"/>
        <v>0.86939999999999995</v>
      </c>
      <c r="G117" s="831">
        <f t="shared" si="34"/>
        <v>0.86939999999999995</v>
      </c>
      <c r="H117" s="831">
        <f t="shared" si="34"/>
        <v>0.86939999999999995</v>
      </c>
      <c r="I117" s="831">
        <f>ROUND(0.7412-0.0095*B113,4)</f>
        <v>0.73470000000000002</v>
      </c>
      <c r="J117" s="831">
        <f t="shared" si="33"/>
        <v>0.73470000000000002</v>
      </c>
      <c r="K117" s="831">
        <f t="shared" si="33"/>
        <v>0.73470000000000002</v>
      </c>
      <c r="L117" s="831">
        <f t="shared" si="33"/>
        <v>0.73470000000000002</v>
      </c>
      <c r="M117" s="832">
        <f t="shared" si="33"/>
        <v>0.73470000000000002</v>
      </c>
    </row>
    <row r="118" spans="1:13" ht="13.5" thickBot="1">
      <c r="A118" s="670" t="s">
        <v>2460</v>
      </c>
      <c r="B118" s="833">
        <f>ROUND(0.7275-0.01*B113,4)</f>
        <v>0.72070000000000001</v>
      </c>
      <c r="C118" s="833">
        <f>B118</f>
        <v>0.72070000000000001</v>
      </c>
      <c r="D118" s="833">
        <f>ROUND(0.7043-0.012*B113,4)</f>
        <v>0.69610000000000005</v>
      </c>
      <c r="E118" s="833">
        <f>D118</f>
        <v>0.69610000000000005</v>
      </c>
      <c r="F118" s="833">
        <f>E118</f>
        <v>0.69610000000000005</v>
      </c>
      <c r="G118" s="833">
        <f>ROUND(0.6299-0.0122*B113,4)</f>
        <v>0.62160000000000004</v>
      </c>
      <c r="H118" s="833">
        <f>G118</f>
        <v>0.62160000000000004</v>
      </c>
      <c r="I118" s="833">
        <f>ROUND(0.5667-0.0136*B113,4)</f>
        <v>0.5575</v>
      </c>
      <c r="J118" s="833">
        <f t="shared" si="33"/>
        <v>0.5575</v>
      </c>
      <c r="K118" s="833">
        <f t="shared" si="33"/>
        <v>0.5575</v>
      </c>
      <c r="L118" s="833">
        <f t="shared" si="33"/>
        <v>0.5575</v>
      </c>
      <c r="M118" s="834">
        <f t="shared" si="33"/>
        <v>0.5575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60" t="s">
        <v>2954</v>
      </c>
      <c r="B20" s="3553" t="s">
        <v>2955</v>
      </c>
      <c r="C20" s="3212" t="s">
        <v>2956</v>
      </c>
      <c r="D20" s="3213"/>
      <c r="E20" s="3214">
        <v>1</v>
      </c>
      <c r="F20" s="3215" t="s">
        <v>2957</v>
      </c>
      <c r="G20" s="807"/>
      <c r="H20" s="801"/>
      <c r="I20" s="801"/>
    </row>
    <row r="21" spans="1:13" s="808" customFormat="1" ht="19.5" customHeight="1">
      <c r="A21" s="3561"/>
      <c r="B21" s="3554"/>
      <c r="C21" s="805" t="s">
        <v>2958</v>
      </c>
      <c r="D21" s="806"/>
      <c r="E21" s="3216">
        <v>1</v>
      </c>
      <c r="F21" s="3215" t="s">
        <v>2959</v>
      </c>
      <c r="G21" s="807"/>
      <c r="H21" s="801"/>
      <c r="I21" s="801"/>
    </row>
    <row r="22" spans="1:13" s="808" customFormat="1" ht="19.5" customHeight="1">
      <c r="A22" s="3561"/>
      <c r="B22" s="3554"/>
      <c r="C22" s="805" t="s">
        <v>2960</v>
      </c>
      <c r="D22" s="806"/>
      <c r="E22" s="3216">
        <v>0.9</v>
      </c>
      <c r="F22" s="3215" t="s">
        <v>2961</v>
      </c>
      <c r="G22" s="807"/>
      <c r="H22" s="801"/>
      <c r="I22" s="801"/>
    </row>
    <row r="23" spans="1:13" s="808" customFormat="1" ht="19.5" customHeight="1">
      <c r="A23" s="3561"/>
      <c r="B23" s="3554"/>
      <c r="C23" s="805" t="s">
        <v>2962</v>
      </c>
      <c r="D23" s="806"/>
      <c r="E23" s="3216">
        <v>0.9</v>
      </c>
      <c r="F23" s="3215" t="s">
        <v>2963</v>
      </c>
      <c r="G23" s="807"/>
      <c r="H23" s="801"/>
      <c r="I23" s="801"/>
    </row>
    <row r="24" spans="1:13" s="808" customFormat="1" ht="19.5" customHeight="1">
      <c r="A24" s="3561"/>
      <c r="B24" s="3554"/>
      <c r="C24" s="805" t="s">
        <v>2964</v>
      </c>
      <c r="D24" s="806"/>
      <c r="E24" s="3216">
        <v>0.8</v>
      </c>
      <c r="F24" s="3215" t="s">
        <v>2965</v>
      </c>
      <c r="G24" s="807"/>
      <c r="H24" s="801"/>
      <c r="I24" s="801"/>
    </row>
    <row r="25" spans="1:13" s="808" customFormat="1" ht="19.5" customHeight="1" thickBot="1">
      <c r="A25" s="3562"/>
      <c r="B25" s="3555"/>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6" t="s">
        <v>2971</v>
      </c>
      <c r="B27" s="3553" t="s">
        <v>2971</v>
      </c>
      <c r="C27" s="3212" t="s">
        <v>2972</v>
      </c>
      <c r="D27" s="3213"/>
      <c r="E27" s="3214">
        <v>1</v>
      </c>
      <c r="F27" s="3215" t="s">
        <v>2973</v>
      </c>
      <c r="G27" s="807"/>
      <c r="H27" s="801"/>
      <c r="I27" s="801"/>
    </row>
    <row r="28" spans="1:13" s="808" customFormat="1" ht="19.5" customHeight="1">
      <c r="A28" s="3557"/>
      <c r="B28" s="3554"/>
      <c r="C28" s="805" t="s">
        <v>2974</v>
      </c>
      <c r="D28" s="806"/>
      <c r="E28" s="3216">
        <v>1</v>
      </c>
      <c r="F28" s="3215" t="s">
        <v>2975</v>
      </c>
      <c r="G28" s="807"/>
      <c r="H28" s="801"/>
      <c r="I28" s="801"/>
    </row>
    <row r="29" spans="1:13" s="808" customFormat="1" ht="19.5" customHeight="1">
      <c r="A29" s="3557"/>
      <c r="B29" s="3554"/>
      <c r="C29" s="805" t="s">
        <v>2976</v>
      </c>
      <c r="D29" s="806"/>
      <c r="E29" s="3216">
        <v>0.8</v>
      </c>
      <c r="F29" s="3215" t="s">
        <v>2977</v>
      </c>
      <c r="G29" s="807"/>
      <c r="H29" s="801"/>
      <c r="I29" s="801"/>
    </row>
    <row r="30" spans="1:13" s="808" customFormat="1" ht="19.5" customHeight="1">
      <c r="A30" s="3557"/>
      <c r="B30" s="3554"/>
      <c r="C30" s="805" t="s">
        <v>2978</v>
      </c>
      <c r="D30" s="806"/>
      <c r="E30" s="3216">
        <v>0.8</v>
      </c>
      <c r="F30" s="3215" t="s">
        <v>2979</v>
      </c>
      <c r="G30" s="807"/>
      <c r="H30" s="801"/>
      <c r="I30" s="801"/>
    </row>
    <row r="31" spans="1:13" s="808" customFormat="1" ht="19.5" customHeight="1">
      <c r="A31" s="3557"/>
      <c r="B31" s="3554"/>
      <c r="C31" s="805" t="s">
        <v>2980</v>
      </c>
      <c r="D31" s="806"/>
      <c r="E31" s="3216">
        <v>0.8</v>
      </c>
      <c r="F31" s="3215" t="s">
        <v>2981</v>
      </c>
      <c r="G31" s="807"/>
      <c r="H31" s="801"/>
      <c r="I31" s="801"/>
    </row>
    <row r="32" spans="1:13" s="808" customFormat="1" ht="19.5" customHeight="1">
      <c r="A32" s="3557"/>
      <c r="B32" s="3554"/>
      <c r="C32" s="805" t="s">
        <v>2982</v>
      </c>
      <c r="D32" s="806"/>
      <c r="E32" s="3216">
        <v>0.7</v>
      </c>
      <c r="F32" s="3215" t="s">
        <v>2983</v>
      </c>
      <c r="G32" s="807"/>
      <c r="H32" s="801"/>
      <c r="I32" s="801"/>
    </row>
    <row r="33" spans="1:9" s="808" customFormat="1" ht="19.5" customHeight="1">
      <c r="A33" s="3557"/>
      <c r="B33" s="3554"/>
      <c r="C33" s="805" t="s">
        <v>2984</v>
      </c>
      <c r="D33" s="806"/>
      <c r="E33" s="3216">
        <v>0.8</v>
      </c>
      <c r="F33" s="3215" t="s">
        <v>2985</v>
      </c>
      <c r="G33" s="807"/>
      <c r="H33" s="801"/>
      <c r="I33" s="801"/>
    </row>
    <row r="34" spans="1:9" s="808" customFormat="1" ht="19.5" customHeight="1">
      <c r="A34" s="3557"/>
      <c r="B34" s="3554"/>
      <c r="C34" s="805" t="s">
        <v>2986</v>
      </c>
      <c r="D34" s="806"/>
      <c r="E34" s="3216">
        <v>0.6</v>
      </c>
      <c r="F34" s="3215" t="s">
        <v>2987</v>
      </c>
      <c r="G34" s="807"/>
      <c r="H34" s="801"/>
      <c r="I34" s="801"/>
    </row>
    <row r="35" spans="1:9" s="808" customFormat="1" ht="19.5" customHeight="1">
      <c r="A35" s="3557"/>
      <c r="B35" s="3554"/>
      <c r="C35" s="805" t="s">
        <v>2988</v>
      </c>
      <c r="D35" s="806"/>
      <c r="E35" s="3216">
        <v>0.2</v>
      </c>
      <c r="F35" s="3215" t="s">
        <v>2989</v>
      </c>
      <c r="G35" s="807"/>
      <c r="H35" s="801"/>
      <c r="I35" s="801"/>
    </row>
    <row r="36" spans="1:9" s="808" customFormat="1" ht="19.5" customHeight="1">
      <c r="A36" s="3557"/>
      <c r="B36" s="3554"/>
      <c r="C36" s="805" t="s">
        <v>2990</v>
      </c>
      <c r="D36" s="806"/>
      <c r="E36" s="3216">
        <v>0.2</v>
      </c>
      <c r="F36" s="3215" t="s">
        <v>2991</v>
      </c>
      <c r="G36" s="807"/>
      <c r="H36" s="801"/>
      <c r="I36" s="801"/>
    </row>
    <row r="37" spans="1:9" s="808" customFormat="1" ht="19.5" customHeight="1">
      <c r="A37" s="3557"/>
      <c r="B37" s="3559" t="s">
        <v>2992</v>
      </c>
      <c r="C37" s="805" t="s">
        <v>2993</v>
      </c>
      <c r="D37" s="806"/>
      <c r="E37" s="3216">
        <v>0.6</v>
      </c>
      <c r="F37" s="3215" t="s">
        <v>2994</v>
      </c>
      <c r="G37" s="807"/>
      <c r="H37" s="801"/>
      <c r="I37" s="801"/>
    </row>
    <row r="38" spans="1:9" s="808" customFormat="1" ht="19.5" customHeight="1">
      <c r="A38" s="3557"/>
      <c r="B38" s="3554"/>
      <c r="C38" s="805" t="s">
        <v>2995</v>
      </c>
      <c r="D38" s="806"/>
      <c r="E38" s="3216">
        <v>0.6</v>
      </c>
      <c r="F38" s="3215" t="s">
        <v>2996</v>
      </c>
      <c r="G38" s="807"/>
      <c r="H38" s="801"/>
      <c r="I38" s="801"/>
    </row>
    <row r="39" spans="1:9" s="808" customFormat="1" ht="19.5" customHeight="1" thickBot="1">
      <c r="A39" s="3558"/>
      <c r="B39" s="3555"/>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60" t="s">
        <v>3002</v>
      </c>
      <c r="B41" s="3553" t="s">
        <v>3003</v>
      </c>
      <c r="C41" s="3212" t="s">
        <v>3004</v>
      </c>
      <c r="D41" s="3213"/>
      <c r="E41" s="3214">
        <v>1</v>
      </c>
      <c r="F41" s="3215" t="s">
        <v>3005</v>
      </c>
      <c r="G41" s="807"/>
      <c r="H41" s="801"/>
      <c r="I41" s="801"/>
    </row>
    <row r="42" spans="1:9" s="808" customFormat="1" ht="19.5" customHeight="1">
      <c r="A42" s="3561"/>
      <c r="B42" s="3554"/>
      <c r="C42" s="805" t="s">
        <v>3006</v>
      </c>
      <c r="D42" s="806"/>
      <c r="E42" s="3216">
        <v>1</v>
      </c>
      <c r="F42" s="3215" t="s">
        <v>3007</v>
      </c>
      <c r="G42" s="807"/>
      <c r="H42" s="801"/>
      <c r="I42" s="801"/>
    </row>
    <row r="43" spans="1:9" s="808" customFormat="1" ht="19.5" customHeight="1">
      <c r="A43" s="3561"/>
      <c r="B43" s="3563"/>
      <c r="C43" s="805" t="s">
        <v>3008</v>
      </c>
      <c r="D43" s="806"/>
      <c r="E43" s="3216">
        <v>1.5</v>
      </c>
      <c r="F43" s="3215" t="s">
        <v>3009</v>
      </c>
      <c r="G43" s="807"/>
      <c r="H43" s="801"/>
      <c r="I43" s="801"/>
    </row>
    <row r="44" spans="1:9" s="808" customFormat="1" ht="19.5" customHeight="1">
      <c r="A44" s="3561"/>
      <c r="B44" s="3225" t="s">
        <v>2971</v>
      </c>
      <c r="C44" s="805" t="s">
        <v>3010</v>
      </c>
      <c r="D44" s="806"/>
      <c r="E44" s="3216">
        <v>2</v>
      </c>
      <c r="F44" s="3215" t="s">
        <v>3011</v>
      </c>
      <c r="G44" s="807"/>
      <c r="H44" s="801"/>
      <c r="I44" s="801"/>
    </row>
    <row r="45" spans="1:9" s="808" customFormat="1" ht="19.5" customHeight="1">
      <c r="A45" s="3561"/>
      <c r="B45" s="3559" t="s">
        <v>3012</v>
      </c>
      <c r="C45" s="805" t="s">
        <v>3013</v>
      </c>
      <c r="D45" s="806"/>
      <c r="E45" s="3216">
        <v>1</v>
      </c>
      <c r="F45" s="3215" t="s">
        <v>3014</v>
      </c>
      <c r="G45" s="807"/>
      <c r="H45" s="801"/>
      <c r="I45" s="801"/>
    </row>
    <row r="46" spans="1:9" s="808" customFormat="1" ht="19.5" customHeight="1">
      <c r="A46" s="3561"/>
      <c r="B46" s="3554"/>
      <c r="C46" s="805" t="s">
        <v>3015</v>
      </c>
      <c r="D46" s="806"/>
      <c r="E46" s="3216">
        <v>1</v>
      </c>
      <c r="F46" s="3215" t="s">
        <v>3016</v>
      </c>
      <c r="G46" s="807"/>
      <c r="H46" s="801"/>
      <c r="I46" s="801"/>
    </row>
    <row r="47" spans="1:9" s="808" customFormat="1" ht="19.5" customHeight="1">
      <c r="A47" s="3561"/>
      <c r="B47" s="3554"/>
      <c r="C47" s="805" t="s">
        <v>3017</v>
      </c>
      <c r="D47" s="806"/>
      <c r="E47" s="3216">
        <v>1</v>
      </c>
      <c r="F47" s="3215" t="s">
        <v>3018</v>
      </c>
      <c r="G47" s="807"/>
      <c r="H47" s="801"/>
      <c r="I47" s="801"/>
    </row>
    <row r="48" spans="1:9" s="808" customFormat="1" ht="19.5" customHeight="1">
      <c r="A48" s="3561"/>
      <c r="B48" s="3554"/>
      <c r="C48" s="805" t="s">
        <v>3019</v>
      </c>
      <c r="D48" s="806"/>
      <c r="E48" s="3216">
        <v>1</v>
      </c>
      <c r="F48" s="3215" t="s">
        <v>3020</v>
      </c>
      <c r="G48" s="807"/>
      <c r="H48" s="801"/>
      <c r="I48" s="801"/>
    </row>
    <row r="49" spans="1:9" s="808" customFormat="1" ht="19.5" customHeight="1">
      <c r="A49" s="3561"/>
      <c r="B49" s="3554"/>
      <c r="C49" s="805" t="s">
        <v>3021</v>
      </c>
      <c r="D49" s="806"/>
      <c r="E49" s="3216">
        <v>1</v>
      </c>
      <c r="F49" s="3215" t="s">
        <v>3022</v>
      </c>
      <c r="G49" s="807"/>
      <c r="H49" s="801"/>
      <c r="I49" s="801"/>
    </row>
    <row r="50" spans="1:9" s="808" customFormat="1" ht="19.5" customHeight="1">
      <c r="A50" s="3561"/>
      <c r="B50" s="3554"/>
      <c r="C50" s="805" t="s">
        <v>3023</v>
      </c>
      <c r="D50" s="806"/>
      <c r="E50" s="3216">
        <v>1</v>
      </c>
      <c r="F50" s="3215" t="s">
        <v>3024</v>
      </c>
      <c r="G50" s="807"/>
      <c r="H50" s="801"/>
      <c r="I50" s="801"/>
    </row>
    <row r="51" spans="1:9" s="808" customFormat="1" ht="19.5" customHeight="1" thickBot="1">
      <c r="A51" s="3562"/>
      <c r="B51" s="3555"/>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59" t="s">
        <v>3028</v>
      </c>
      <c r="C73" s="3205" t="s">
        <v>3029</v>
      </c>
      <c r="D73" s="3205" t="s">
        <v>3030</v>
      </c>
      <c r="E73" s="3226">
        <v>0.2</v>
      </c>
      <c r="F73" s="3225">
        <v>25</v>
      </c>
    </row>
    <row r="74" spans="1:7" s="801" customFormat="1" ht="24">
      <c r="A74" s="3225">
        <v>2</v>
      </c>
      <c r="B74" s="3554"/>
      <c r="C74" s="3205" t="s">
        <v>3031</v>
      </c>
      <c r="D74" s="3205" t="s">
        <v>3032</v>
      </c>
      <c r="E74" s="3226">
        <v>0.2</v>
      </c>
      <c r="F74" s="3225">
        <v>25</v>
      </c>
    </row>
    <row r="75" spans="1:7" s="801" customFormat="1" ht="24">
      <c r="A75" s="3225">
        <v>3</v>
      </c>
      <c r="B75" s="3554"/>
      <c r="C75" s="3205" t="s">
        <v>3033</v>
      </c>
      <c r="D75" s="3205" t="s">
        <v>3034</v>
      </c>
      <c r="E75" s="3226">
        <v>0.2</v>
      </c>
      <c r="F75" s="3225">
        <v>25</v>
      </c>
    </row>
    <row r="76" spans="1:7" s="801" customFormat="1" ht="13.5">
      <c r="A76" s="3225">
        <v>4</v>
      </c>
      <c r="B76" s="3554"/>
      <c r="C76" s="3205" t="s">
        <v>3035</v>
      </c>
      <c r="D76" s="3205" t="s">
        <v>3036</v>
      </c>
      <c r="E76" s="3226">
        <v>0.15</v>
      </c>
      <c r="F76" s="3225">
        <v>20</v>
      </c>
    </row>
    <row r="77" spans="1:7" s="801" customFormat="1" ht="24">
      <c r="A77" s="3225">
        <v>5</v>
      </c>
      <c r="B77" s="3554"/>
      <c r="C77" s="3205" t="s">
        <v>3037</v>
      </c>
      <c r="D77" s="3205" t="s">
        <v>3038</v>
      </c>
      <c r="E77" s="3226">
        <v>0.15</v>
      </c>
      <c r="F77" s="3225">
        <v>20</v>
      </c>
    </row>
    <row r="78" spans="1:7" s="801" customFormat="1" ht="24">
      <c r="A78" s="3225">
        <v>6</v>
      </c>
      <c r="B78" s="3554"/>
      <c r="C78" s="3205" t="s">
        <v>3039</v>
      </c>
      <c r="D78" s="3205" t="s">
        <v>3040</v>
      </c>
      <c r="E78" s="3226">
        <v>0.15</v>
      </c>
      <c r="F78" s="3225">
        <v>20</v>
      </c>
    </row>
    <row r="79" spans="1:7" s="801" customFormat="1" ht="24">
      <c r="A79" s="3225">
        <v>7</v>
      </c>
      <c r="B79" s="3554"/>
      <c r="C79" s="3205" t="s">
        <v>3041</v>
      </c>
      <c r="D79" s="3205" t="s">
        <v>3042</v>
      </c>
      <c r="E79" s="3226">
        <v>0.15</v>
      </c>
      <c r="F79" s="3225">
        <v>20</v>
      </c>
    </row>
    <row r="80" spans="1:7" s="801" customFormat="1" ht="24">
      <c r="A80" s="3225">
        <v>8</v>
      </c>
      <c r="B80" s="3554"/>
      <c r="C80" s="3205" t="s">
        <v>3043</v>
      </c>
      <c r="D80" s="3205" t="s">
        <v>3044</v>
      </c>
      <c r="E80" s="3226">
        <v>0.1</v>
      </c>
      <c r="F80" s="3225">
        <v>15</v>
      </c>
    </row>
    <row r="81" spans="1:6" s="801" customFormat="1" ht="24">
      <c r="A81" s="3225">
        <v>9</v>
      </c>
      <c r="B81" s="3554"/>
      <c r="C81" s="3205" t="s">
        <v>3045</v>
      </c>
      <c r="D81" s="3205" t="s">
        <v>3046</v>
      </c>
      <c r="E81" s="3226">
        <v>0.1</v>
      </c>
      <c r="F81" s="3225">
        <v>15</v>
      </c>
    </row>
    <row r="82" spans="1:6" s="801" customFormat="1" ht="24">
      <c r="A82" s="3225">
        <v>10</v>
      </c>
      <c r="B82" s="3554"/>
      <c r="C82" s="3205" t="s">
        <v>3047</v>
      </c>
      <c r="D82" s="3205" t="s">
        <v>3048</v>
      </c>
      <c r="E82" s="3226">
        <v>0.1</v>
      </c>
      <c r="F82" s="3225">
        <v>15</v>
      </c>
    </row>
    <row r="83" spans="1:6" s="801" customFormat="1" ht="24">
      <c r="A83" s="3225">
        <v>11</v>
      </c>
      <c r="B83" s="3554"/>
      <c r="C83" s="3205" t="s">
        <v>3049</v>
      </c>
      <c r="D83" s="3205" t="s">
        <v>3050</v>
      </c>
      <c r="E83" s="3226">
        <v>0.1</v>
      </c>
      <c r="F83" s="3225">
        <v>15</v>
      </c>
    </row>
    <row r="84" spans="1:6" s="801" customFormat="1" ht="24">
      <c r="A84" s="3225">
        <v>12</v>
      </c>
      <c r="B84" s="3554"/>
      <c r="C84" s="3205" t="s">
        <v>3051</v>
      </c>
      <c r="D84" s="3205" t="s">
        <v>3052</v>
      </c>
      <c r="E84" s="3226">
        <v>0.1</v>
      </c>
      <c r="F84" s="3225">
        <v>15</v>
      </c>
    </row>
    <row r="85" spans="1:6" s="801" customFormat="1" ht="13.5">
      <c r="A85" s="3225">
        <v>13</v>
      </c>
      <c r="B85" s="3554"/>
      <c r="C85" s="3205" t="s">
        <v>3053</v>
      </c>
      <c r="D85" s="3205" t="s">
        <v>3054</v>
      </c>
      <c r="E85" s="3226">
        <v>0.1</v>
      </c>
      <c r="F85" s="3225">
        <v>15</v>
      </c>
    </row>
    <row r="86" spans="1:6" s="801" customFormat="1" ht="13.5">
      <c r="A86" s="3225">
        <v>14</v>
      </c>
      <c r="B86" s="3554"/>
      <c r="C86" s="3205" t="s">
        <v>3055</v>
      </c>
      <c r="D86" s="3205" t="s">
        <v>3056</v>
      </c>
      <c r="E86" s="3226">
        <v>0.1</v>
      </c>
      <c r="F86" s="3225">
        <v>15</v>
      </c>
    </row>
    <row r="87" spans="1:6" s="801" customFormat="1" ht="13.5">
      <c r="A87" s="3225">
        <v>15</v>
      </c>
      <c r="B87" s="3554"/>
      <c r="C87" s="3205" t="s">
        <v>3057</v>
      </c>
      <c r="D87" s="3205" t="s">
        <v>3058</v>
      </c>
      <c r="E87" s="3226">
        <v>0.1</v>
      </c>
      <c r="F87" s="3225">
        <v>15</v>
      </c>
    </row>
    <row r="88" spans="1:6" s="801" customFormat="1" ht="24">
      <c r="A88" s="3225">
        <v>16</v>
      </c>
      <c r="B88" s="3554"/>
      <c r="C88" s="3205" t="s">
        <v>3059</v>
      </c>
      <c r="D88" s="3205" t="s">
        <v>3060</v>
      </c>
      <c r="E88" s="3226">
        <v>0.1</v>
      </c>
      <c r="F88" s="3225">
        <v>15</v>
      </c>
    </row>
    <row r="89" spans="1:6" s="801" customFormat="1" ht="24">
      <c r="A89" s="3225">
        <v>17</v>
      </c>
      <c r="B89" s="3563"/>
      <c r="C89" s="3205" t="s">
        <v>3061</v>
      </c>
      <c r="D89" s="3205" t="s">
        <v>3062</v>
      </c>
      <c r="E89" s="3226">
        <v>0.1</v>
      </c>
      <c r="F89" s="3225">
        <v>15</v>
      </c>
    </row>
    <row r="90" spans="1:6" s="801" customFormat="1" ht="13.5">
      <c r="A90" s="3225">
        <v>18</v>
      </c>
      <c r="B90" s="3559" t="s">
        <v>3063</v>
      </c>
      <c r="C90" s="3205" t="s">
        <v>3064</v>
      </c>
      <c r="D90" s="3205" t="s">
        <v>3065</v>
      </c>
      <c r="E90" s="3226">
        <v>0.2</v>
      </c>
      <c r="F90" s="3225">
        <v>25</v>
      </c>
    </row>
    <row r="91" spans="1:6" s="801" customFormat="1" ht="24">
      <c r="A91" s="3225">
        <v>19</v>
      </c>
      <c r="B91" s="3554"/>
      <c r="C91" s="3205" t="s">
        <v>3066</v>
      </c>
      <c r="D91" s="3205" t="s">
        <v>3067</v>
      </c>
      <c r="E91" s="3226">
        <v>0.2</v>
      </c>
      <c r="F91" s="3225">
        <v>25</v>
      </c>
    </row>
    <row r="92" spans="1:6" s="801" customFormat="1" ht="13.5">
      <c r="A92" s="3225">
        <v>20</v>
      </c>
      <c r="B92" s="3554"/>
      <c r="C92" s="3205" t="s">
        <v>3068</v>
      </c>
      <c r="D92" s="3205" t="s">
        <v>3069</v>
      </c>
      <c r="E92" s="3226">
        <v>0.15</v>
      </c>
      <c r="F92" s="3225">
        <v>20</v>
      </c>
    </row>
    <row r="93" spans="1:6" s="801" customFormat="1" ht="24">
      <c r="A93" s="3225">
        <v>21</v>
      </c>
      <c r="B93" s="3554"/>
      <c r="C93" s="3205" t="s">
        <v>3070</v>
      </c>
      <c r="D93" s="3205" t="s">
        <v>3071</v>
      </c>
      <c r="E93" s="3226">
        <v>0.15</v>
      </c>
      <c r="F93" s="3225">
        <v>20</v>
      </c>
    </row>
    <row r="94" spans="1:6" s="801" customFormat="1" ht="24">
      <c r="A94" s="3225">
        <v>22</v>
      </c>
      <c r="B94" s="3554"/>
      <c r="C94" s="3205" t="s">
        <v>3072</v>
      </c>
      <c r="D94" s="3205" t="s">
        <v>3073</v>
      </c>
      <c r="E94" s="3226">
        <v>0.15</v>
      </c>
      <c r="F94" s="3225">
        <v>20</v>
      </c>
    </row>
    <row r="95" spans="1:6" s="801" customFormat="1" ht="36">
      <c r="A95" s="3225">
        <v>23</v>
      </c>
      <c r="B95" s="3554"/>
      <c r="C95" s="3205" t="s">
        <v>3074</v>
      </c>
      <c r="D95" s="3205" t="s">
        <v>3075</v>
      </c>
      <c r="E95" s="3226">
        <v>0.15</v>
      </c>
      <c r="F95" s="3225">
        <v>20</v>
      </c>
    </row>
    <row r="96" spans="1:6" s="801" customFormat="1" ht="13.5">
      <c r="A96" s="3225">
        <v>24</v>
      </c>
      <c r="B96" s="3554"/>
      <c r="C96" s="3205" t="s">
        <v>3076</v>
      </c>
      <c r="D96" s="3205" t="s">
        <v>3077</v>
      </c>
      <c r="E96" s="3226">
        <v>0.1</v>
      </c>
      <c r="F96" s="3225">
        <v>15</v>
      </c>
    </row>
    <row r="97" spans="1:6" s="801" customFormat="1" ht="24">
      <c r="A97" s="3225">
        <v>25</v>
      </c>
      <c r="B97" s="3554"/>
      <c r="C97" s="3205" t="s">
        <v>3078</v>
      </c>
      <c r="D97" s="3205" t="s">
        <v>3079</v>
      </c>
      <c r="E97" s="3226">
        <v>0.1</v>
      </c>
      <c r="F97" s="3225">
        <v>15</v>
      </c>
    </row>
    <row r="98" spans="1:6" s="801" customFormat="1" ht="24">
      <c r="A98" s="3225">
        <v>26</v>
      </c>
      <c r="B98" s="3554"/>
      <c r="C98" s="3205" t="s">
        <v>3080</v>
      </c>
      <c r="D98" s="3205" t="s">
        <v>3081</v>
      </c>
      <c r="E98" s="3226">
        <v>0.1</v>
      </c>
      <c r="F98" s="3225">
        <v>15</v>
      </c>
    </row>
    <row r="99" spans="1:6" s="801" customFormat="1" ht="24">
      <c r="A99" s="3225">
        <v>27</v>
      </c>
      <c r="B99" s="3554"/>
      <c r="C99" s="3205" t="s">
        <v>3082</v>
      </c>
      <c r="D99" s="3205" t="s">
        <v>3083</v>
      </c>
      <c r="E99" s="3226">
        <v>0.1</v>
      </c>
      <c r="F99" s="3225">
        <v>15</v>
      </c>
    </row>
    <row r="100" spans="1:6" s="801" customFormat="1" ht="24">
      <c r="A100" s="3225">
        <v>28</v>
      </c>
      <c r="B100" s="3554"/>
      <c r="C100" s="3205" t="s">
        <v>3084</v>
      </c>
      <c r="D100" s="3205" t="s">
        <v>3085</v>
      </c>
      <c r="E100" s="3226">
        <v>0.1</v>
      </c>
      <c r="F100" s="3225">
        <v>15</v>
      </c>
    </row>
    <row r="101" spans="1:6" s="801" customFormat="1" ht="24">
      <c r="A101" s="3225">
        <v>29</v>
      </c>
      <c r="B101" s="3554"/>
      <c r="C101" s="3205" t="s">
        <v>3086</v>
      </c>
      <c r="D101" s="3205" t="s">
        <v>3087</v>
      </c>
      <c r="E101" s="3226">
        <v>0.1</v>
      </c>
      <c r="F101" s="3225">
        <v>15</v>
      </c>
    </row>
    <row r="102" spans="1:6" s="801" customFormat="1" ht="24">
      <c r="A102" s="3225">
        <v>30</v>
      </c>
      <c r="B102" s="3554"/>
      <c r="C102" s="3205" t="s">
        <v>3088</v>
      </c>
      <c r="D102" s="3205" t="s">
        <v>3089</v>
      </c>
      <c r="E102" s="3226">
        <v>0.1</v>
      </c>
      <c r="F102" s="3225">
        <v>15</v>
      </c>
    </row>
    <row r="103" spans="1:6" s="801" customFormat="1" ht="24">
      <c r="A103" s="3225">
        <v>31</v>
      </c>
      <c r="B103" s="3554"/>
      <c r="C103" s="3205" t="s">
        <v>3090</v>
      </c>
      <c r="D103" s="3205" t="s">
        <v>3091</v>
      </c>
      <c r="E103" s="3226">
        <v>0.1</v>
      </c>
      <c r="F103" s="3225">
        <v>15</v>
      </c>
    </row>
    <row r="104" spans="1:6" s="801" customFormat="1" ht="24">
      <c r="A104" s="3225">
        <v>32</v>
      </c>
      <c r="B104" s="3554"/>
      <c r="C104" s="3205" t="s">
        <v>3092</v>
      </c>
      <c r="D104" s="3205" t="s">
        <v>3093</v>
      </c>
      <c r="E104" s="3226">
        <v>0.1</v>
      </c>
      <c r="F104" s="3225">
        <v>15</v>
      </c>
    </row>
    <row r="105" spans="1:6" s="801" customFormat="1" ht="24">
      <c r="A105" s="3225">
        <v>33</v>
      </c>
      <c r="B105" s="3554"/>
      <c r="C105" s="3205" t="s">
        <v>3094</v>
      </c>
      <c r="D105" s="3205" t="s">
        <v>3095</v>
      </c>
      <c r="E105" s="3226">
        <v>0.1</v>
      </c>
      <c r="F105" s="3225">
        <v>15</v>
      </c>
    </row>
    <row r="106" spans="1:6" s="801" customFormat="1" ht="24">
      <c r="A106" s="3225">
        <v>34</v>
      </c>
      <c r="B106" s="3563"/>
      <c r="C106" s="3205" t="s">
        <v>3096</v>
      </c>
      <c r="D106" s="3205" t="s">
        <v>3097</v>
      </c>
      <c r="E106" s="3226">
        <v>0.1</v>
      </c>
      <c r="F106" s="3225">
        <v>15</v>
      </c>
    </row>
    <row r="107" spans="1:6" s="801" customFormat="1" ht="24">
      <c r="A107" s="3225">
        <v>35</v>
      </c>
      <c r="B107" s="3559" t="s">
        <v>3098</v>
      </c>
      <c r="C107" s="3225" t="s">
        <v>3099</v>
      </c>
      <c r="D107" s="3205" t="s">
        <v>3100</v>
      </c>
      <c r="E107" s="3226">
        <v>0.15</v>
      </c>
      <c r="F107" s="3225">
        <v>20</v>
      </c>
    </row>
    <row r="108" spans="1:6" s="801" customFormat="1" ht="24">
      <c r="A108" s="3225">
        <v>36</v>
      </c>
      <c r="B108" s="3554"/>
      <c r="C108" s="3225" t="s">
        <v>3101</v>
      </c>
      <c r="D108" s="3205" t="s">
        <v>3102</v>
      </c>
      <c r="E108" s="3226">
        <v>0.15</v>
      </c>
      <c r="F108" s="3225">
        <v>20</v>
      </c>
    </row>
    <row r="109" spans="1:6" s="801" customFormat="1" ht="24">
      <c r="A109" s="3225">
        <v>37</v>
      </c>
      <c r="B109" s="3554"/>
      <c r="C109" s="3225" t="s">
        <v>3103</v>
      </c>
      <c r="D109" s="3205" t="s">
        <v>3104</v>
      </c>
      <c r="E109" s="3226">
        <v>0.15</v>
      </c>
      <c r="F109" s="3225">
        <v>20</v>
      </c>
    </row>
    <row r="110" spans="1:6" s="801" customFormat="1" ht="13.5">
      <c r="A110" s="3225">
        <v>38</v>
      </c>
      <c r="B110" s="3554"/>
      <c r="C110" s="3225" t="s">
        <v>3105</v>
      </c>
      <c r="D110" s="3205" t="s">
        <v>3106</v>
      </c>
      <c r="E110" s="3226">
        <v>0.1</v>
      </c>
      <c r="F110" s="3225">
        <v>15</v>
      </c>
    </row>
    <row r="111" spans="1:6" s="801" customFormat="1" ht="24">
      <c r="A111" s="3225">
        <v>39</v>
      </c>
      <c r="B111" s="3554"/>
      <c r="C111" s="3225" t="s">
        <v>3107</v>
      </c>
      <c r="D111" s="3205" t="s">
        <v>3108</v>
      </c>
      <c r="E111" s="3226">
        <v>0.1</v>
      </c>
      <c r="F111" s="3225">
        <v>15</v>
      </c>
    </row>
    <row r="112" spans="1:6" s="801" customFormat="1" ht="24">
      <c r="A112" s="3225">
        <v>40</v>
      </c>
      <c r="B112" s="3563"/>
      <c r="C112" s="3225" t="s">
        <v>3109</v>
      </c>
      <c r="D112" s="3205" t="s">
        <v>3110</v>
      </c>
      <c r="E112" s="3226">
        <v>0.1</v>
      </c>
      <c r="F112" s="3225">
        <v>15</v>
      </c>
    </row>
    <row r="113" spans="1:6" s="801" customFormat="1" ht="24">
      <c r="A113" s="3225">
        <v>41</v>
      </c>
      <c r="B113" s="3564" t="s">
        <v>3111</v>
      </c>
      <c r="C113" s="3225" t="s">
        <v>3112</v>
      </c>
      <c r="D113" s="3205" t="s">
        <v>3113</v>
      </c>
      <c r="E113" s="3226">
        <v>0.1</v>
      </c>
      <c r="F113" s="3225">
        <v>15</v>
      </c>
    </row>
    <row r="114" spans="1:6" s="801" customFormat="1" ht="13.5">
      <c r="A114" s="3225">
        <v>42</v>
      </c>
      <c r="B114" s="3564"/>
      <c r="C114" s="3225" t="s">
        <v>3114</v>
      </c>
      <c r="D114" s="3205" t="s">
        <v>3115</v>
      </c>
      <c r="E114" s="3226">
        <v>0.1</v>
      </c>
      <c r="F114" s="3225">
        <v>15</v>
      </c>
    </row>
    <row r="115" spans="1:6" s="801" customFormat="1" ht="24">
      <c r="A115" s="3225">
        <v>43</v>
      </c>
      <c r="B115" s="3564"/>
      <c r="C115" s="3225" t="s">
        <v>3116</v>
      </c>
      <c r="D115" s="3205" t="s">
        <v>3117</v>
      </c>
      <c r="E115" s="3226">
        <v>0.1</v>
      </c>
      <c r="F115" s="3225">
        <v>15</v>
      </c>
    </row>
    <row r="116" spans="1:6" s="801" customFormat="1" ht="24">
      <c r="A116" s="3225">
        <v>44</v>
      </c>
      <c r="B116" s="3559" t="s">
        <v>3118</v>
      </c>
      <c r="C116" s="3225" t="s">
        <v>3119</v>
      </c>
      <c r="D116" s="3205" t="s">
        <v>3120</v>
      </c>
      <c r="E116" s="3226">
        <v>0.1</v>
      </c>
      <c r="F116" s="3225">
        <v>15</v>
      </c>
    </row>
    <row r="117" spans="1:6" s="801" customFormat="1" ht="24">
      <c r="A117" s="3225">
        <v>45</v>
      </c>
      <c r="B117" s="3563"/>
      <c r="C117" s="3205" t="s">
        <v>3121</v>
      </c>
      <c r="D117" s="3205" t="s">
        <v>3122</v>
      </c>
      <c r="E117" s="3226">
        <v>0.1</v>
      </c>
      <c r="F117" s="3225">
        <v>15</v>
      </c>
    </row>
    <row r="118" spans="1:6" s="801" customFormat="1" ht="24">
      <c r="A118" s="3225">
        <v>46</v>
      </c>
      <c r="B118" s="3559" t="s">
        <v>3123</v>
      </c>
      <c r="C118" s="3225" t="s">
        <v>3124</v>
      </c>
      <c r="D118" s="3205" t="s">
        <v>3125</v>
      </c>
      <c r="E118" s="3226">
        <v>0.1</v>
      </c>
      <c r="F118" s="3225">
        <v>15</v>
      </c>
    </row>
    <row r="119" spans="1:6" s="801" customFormat="1" ht="24">
      <c r="A119" s="3225">
        <v>47</v>
      </c>
      <c r="B119" s="3563"/>
      <c r="C119" s="3225" t="s">
        <v>3126</v>
      </c>
      <c r="D119" s="3205" t="s">
        <v>3127</v>
      </c>
      <c r="E119" s="3226">
        <v>0.1</v>
      </c>
      <c r="F119" s="3225">
        <v>15</v>
      </c>
    </row>
    <row r="120" spans="1:6" s="801" customFormat="1" ht="24">
      <c r="A120" s="3225">
        <v>48</v>
      </c>
      <c r="B120" s="3559" t="s">
        <v>3128</v>
      </c>
      <c r="C120" s="3225" t="s">
        <v>3129</v>
      </c>
      <c r="D120" s="3205" t="s">
        <v>3130</v>
      </c>
      <c r="E120" s="3226">
        <v>0.1</v>
      </c>
      <c r="F120" s="3225">
        <v>15</v>
      </c>
    </row>
    <row r="121" spans="1:6" s="801" customFormat="1" ht="13.5">
      <c r="A121" s="3225">
        <v>49</v>
      </c>
      <c r="B121" s="3563"/>
      <c r="C121" s="3225" t="s">
        <v>3131</v>
      </c>
      <c r="D121" s="3205" t="s">
        <v>3132</v>
      </c>
      <c r="E121" s="3226">
        <v>0.1</v>
      </c>
      <c r="F121" s="3225">
        <v>15</v>
      </c>
    </row>
    <row r="122" spans="1:6" s="801" customFormat="1" ht="24">
      <c r="A122" s="3225">
        <v>50</v>
      </c>
      <c r="B122" s="3564" t="s">
        <v>3133</v>
      </c>
      <c r="C122" s="3225" t="s">
        <v>3134</v>
      </c>
      <c r="D122" s="3205" t="s">
        <v>3135</v>
      </c>
      <c r="E122" s="3226">
        <v>0.1</v>
      </c>
      <c r="F122" s="3225">
        <v>15</v>
      </c>
    </row>
    <row r="123" spans="1:6" s="801" customFormat="1" ht="24">
      <c r="A123" s="3225">
        <v>51</v>
      </c>
      <c r="B123" s="3564"/>
      <c r="C123" s="3225" t="s">
        <v>3136</v>
      </c>
      <c r="D123" s="3205" t="s">
        <v>3137</v>
      </c>
      <c r="E123" s="3226">
        <v>0.1</v>
      </c>
      <c r="F123" s="3225">
        <v>15</v>
      </c>
    </row>
    <row r="124" spans="1:6" s="801" customFormat="1" ht="24">
      <c r="A124" s="3225">
        <v>52</v>
      </c>
      <c r="B124" s="3564" t="s">
        <v>3138</v>
      </c>
      <c r="C124" s="3225" t="s">
        <v>3139</v>
      </c>
      <c r="D124" s="3205" t="s">
        <v>3140</v>
      </c>
      <c r="E124" s="3226">
        <v>0.1</v>
      </c>
      <c r="F124" s="3225">
        <v>15</v>
      </c>
    </row>
    <row r="125" spans="1:6" s="801" customFormat="1" ht="24">
      <c r="A125" s="3225">
        <v>53</v>
      </c>
      <c r="B125" s="3564"/>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64" t="s">
        <v>3146</v>
      </c>
      <c r="C127" s="3225" t="s">
        <v>3147</v>
      </c>
      <c r="D127" s="3205" t="s">
        <v>3148</v>
      </c>
      <c r="E127" s="3226">
        <v>0.1</v>
      </c>
      <c r="F127" s="3225">
        <v>15</v>
      </c>
    </row>
    <row r="128" spans="1:6" ht="13.5">
      <c r="A128" s="3225">
        <v>56</v>
      </c>
      <c r="B128" s="3564"/>
      <c r="C128" s="3225" t="s">
        <v>3149</v>
      </c>
      <c r="D128" s="3205" t="s">
        <v>3150</v>
      </c>
      <c r="E128" s="3226">
        <v>0.1</v>
      </c>
      <c r="F128" s="3225">
        <v>15</v>
      </c>
    </row>
    <row r="129" spans="1:6" ht="24">
      <c r="A129" s="3225">
        <v>57</v>
      </c>
      <c r="B129" s="3564"/>
      <c r="C129" s="3225" t="s">
        <v>3151</v>
      </c>
      <c r="D129" s="3205" t="s">
        <v>3152</v>
      </c>
      <c r="E129" s="3226">
        <v>0.1</v>
      </c>
      <c r="F129" s="3225">
        <v>15</v>
      </c>
    </row>
    <row r="130" spans="1:6" ht="24">
      <c r="A130" s="3225">
        <v>58</v>
      </c>
      <c r="B130" s="3564" t="s">
        <v>3153</v>
      </c>
      <c r="C130" s="3225" t="s">
        <v>3154</v>
      </c>
      <c r="D130" s="3205" t="s">
        <v>3155</v>
      </c>
      <c r="E130" s="3226">
        <v>0.1</v>
      </c>
      <c r="F130" s="3225">
        <v>15</v>
      </c>
    </row>
    <row r="131" spans="1:6" ht="24">
      <c r="A131" s="3225">
        <v>59</v>
      </c>
      <c r="B131" s="3564"/>
      <c r="C131" s="3225" t="s">
        <v>3156</v>
      </c>
      <c r="D131" s="3205" t="s">
        <v>3157</v>
      </c>
      <c r="E131" s="3226">
        <v>0.1</v>
      </c>
      <c r="F131" s="3225">
        <v>15</v>
      </c>
    </row>
    <row r="132" spans="1:6" ht="24">
      <c r="A132" s="3225">
        <v>60</v>
      </c>
      <c r="B132" s="3559" t="s">
        <v>3158</v>
      </c>
      <c r="C132" s="3225" t="s">
        <v>3159</v>
      </c>
      <c r="D132" s="3205" t="s">
        <v>3160</v>
      </c>
      <c r="E132" s="3226">
        <v>0.1</v>
      </c>
      <c r="F132" s="3225">
        <v>15</v>
      </c>
    </row>
    <row r="133" spans="1:6" ht="24">
      <c r="A133" s="3225">
        <v>61</v>
      </c>
      <c r="B133" s="3563"/>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64" t="s">
        <v>3166</v>
      </c>
      <c r="C135" s="3225" t="s">
        <v>3167</v>
      </c>
      <c r="D135" s="3205" t="s">
        <v>3168</v>
      </c>
      <c r="E135" s="3226">
        <v>0.1</v>
      </c>
      <c r="F135" s="3225">
        <v>15</v>
      </c>
    </row>
    <row r="136" spans="1:6" ht="13.5">
      <c r="A136" s="3225">
        <v>64</v>
      </c>
      <c r="B136" s="3564"/>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2.1312000000000002</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3"/>
      <c r="G1" s="2973"/>
      <c r="H1" s="2973"/>
      <c r="I1" s="2973"/>
      <c r="J1" s="2973"/>
      <c r="K1" s="2973"/>
      <c r="L1" s="2973"/>
      <c r="M1" s="2973"/>
      <c r="N1" s="2973"/>
      <c r="O1" s="2973"/>
      <c r="P1" s="2973"/>
    </row>
    <row r="2" spans="1:16" ht="15.75">
      <c r="A2" s="2312" t="s">
        <v>2572</v>
      </c>
      <c r="B2" s="2777" t="e">
        <f ca="1">SUMIF(B6:B13,"&lt;&gt;#ref!",B6:B13)</f>
        <v>#DIV/0!</v>
      </c>
      <c r="C2" s="2312" t="s">
        <v>2573</v>
      </c>
      <c r="D2" s="2312" t="s">
        <v>2574</v>
      </c>
      <c r="E2" s="2787">
        <f ca="1">SUMIF(E6:E13,"&lt;&gt;#ref!",E6:E13)</f>
        <v>0</v>
      </c>
      <c r="F2" s="2973"/>
      <c r="G2" s="2973"/>
      <c r="H2" s="2973"/>
      <c r="I2" s="2973"/>
      <c r="J2" s="2973"/>
      <c r="K2" s="2973"/>
      <c r="L2" s="2973"/>
      <c r="M2" s="2973"/>
      <c r="N2" s="2973"/>
      <c r="O2" s="2973"/>
      <c r="P2" s="2973"/>
    </row>
    <row r="3" spans="1:16" ht="15.75">
      <c r="A3" s="2312" t="s">
        <v>2575</v>
      </c>
      <c r="B3" s="2777" t="e">
        <f ca="1">ROUND(B2*10000/E2,0)</f>
        <v>#DIV/0!</v>
      </c>
      <c r="C3" s="2312"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3"/>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2"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5003</v>
      </c>
      <c r="E5" s="1627"/>
    </row>
    <row r="6" spans="1:5" ht="15.75">
      <c r="A6" s="1627"/>
      <c r="B6" s="3241"/>
      <c r="C6" s="1630" t="s">
        <v>1348</v>
      </c>
      <c r="D6" s="940" t="str">
        <f ca="1">NUMBERSTRING(INT(D5*10000),2)&amp;"元整"</f>
        <v>伍仟零叁万元整</v>
      </c>
      <c r="E6" s="1627"/>
    </row>
    <row r="7" spans="1:5" ht="15.75">
      <c r="A7" s="1627"/>
      <c r="B7" s="3246"/>
      <c r="C7" s="1631" t="s">
        <v>1349</v>
      </c>
      <c r="D7" s="941">
        <f ca="1">结果表!H102</f>
        <v>9298</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5003</v>
      </c>
      <c r="E13" s="1627"/>
    </row>
    <row r="14" spans="1:5" ht="15.75">
      <c r="A14" s="1627"/>
      <c r="B14" s="3241"/>
      <c r="C14" s="1630" t="s">
        <v>1348</v>
      </c>
      <c r="D14" s="940" t="str">
        <f ca="1">NUMBERSTRING(INT(D13*10000),2)&amp;"元整"</f>
        <v>伍仟零叁万元整</v>
      </c>
      <c r="E14" s="1627"/>
    </row>
    <row r="15" spans="1:5" ht="15">
      <c r="A15" s="1627"/>
      <c r="B15" s="3246"/>
      <c r="C15" s="1631" t="s">
        <v>1358</v>
      </c>
      <c r="D15" s="949">
        <f ca="1">结果表!H108</f>
        <v>9298</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4.抵押净值</v>
      </c>
      <c r="C19" s="1635" t="s">
        <v>1347</v>
      </c>
      <c r="D19" s="941">
        <f ca="1">结果表!H111</f>
        <v>4930</v>
      </c>
      <c r="E19" s="1627"/>
    </row>
    <row r="20" spans="1:5" ht="15.75">
      <c r="A20" s="1627"/>
      <c r="B20" s="3241"/>
      <c r="C20" s="1630" t="s">
        <v>1360</v>
      </c>
      <c r="D20" s="940" t="str">
        <f ca="1">NUMBERSTRING(INT(D19*10000),2)&amp;"元整"</f>
        <v>肆仟玖佰叁拾万元整</v>
      </c>
      <c r="E20" s="1627"/>
    </row>
    <row r="21" spans="1:5" ht="15.75" thickBot="1">
      <c r="A21" s="1627"/>
      <c r="B21" s="3242"/>
      <c r="C21" s="1637" t="s">
        <v>1358</v>
      </c>
      <c r="D21" s="950">
        <f ca="1">结果表!H112</f>
        <v>9163</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29575</v>
      </c>
      <c r="C2" s="2" t="s">
        <v>133</v>
      </c>
      <c r="D2" s="205"/>
      <c r="E2" s="205"/>
      <c r="F2" s="205"/>
      <c r="G2" s="205"/>
    </row>
    <row r="3" spans="1:7" s="206" customFormat="1" ht="18" customHeight="1" thickBot="1">
      <c r="A3" s="209" t="s">
        <v>85</v>
      </c>
      <c r="B3" s="210">
        <f>ROUND(B2*10000/'数据-汇总表'!E3,0)</f>
        <v>54967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108</v>
      </c>
      <c r="D10" s="935">
        <f>'数据-汇总表'!E6</f>
        <v>5380.46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108</v>
      </c>
      <c r="D19" s="939">
        <f>'数据-汇总表'!E3</f>
        <v>5380.46</v>
      </c>
      <c r="E19" s="217">
        <f>'数据-取费表'!B31</f>
        <v>200</v>
      </c>
      <c r="F19" s="237"/>
      <c r="G19" s="1" t="s">
        <v>861</v>
      </c>
    </row>
    <row r="20" spans="1:7" s="220" customFormat="1" ht="13.5" customHeight="1">
      <c r="A20" s="866" t="s">
        <v>844</v>
      </c>
      <c r="B20" s="216" t="s">
        <v>104</v>
      </c>
      <c r="C20" s="238">
        <f>ROUND((C5+C19)*F20,0)</f>
        <v>414</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ROUND(SUM(C23:C25),0)</f>
        <v>1772</v>
      </c>
      <c r="D22" s="241">
        <f>C26</f>
        <v>8.0000000000000004E-4</v>
      </c>
      <c r="E22" s="242" t="s">
        <v>126</v>
      </c>
      <c r="F22" s="243">
        <f>'数据-取费表'!B40</f>
        <v>4.1500000000000002E-2</v>
      </c>
      <c r="G22" s="1180" t="str">
        <f>IF('数据-取费表'!B22&lt;=1,"单利计息","复利计息")</f>
        <v>复利计息</v>
      </c>
    </row>
    <row r="23" spans="1:7" s="220" customFormat="1" ht="13.5" customHeight="1">
      <c r="A23" s="869" t="s">
        <v>613</v>
      </c>
      <c r="B23" s="221" t="s">
        <v>848</v>
      </c>
      <c r="C23" s="1218">
        <f>ROUND(IF('数据-取费表'!B22&lt;=1,C5*F22*'数据-取费表'!B23,C5*(POWER((1+F22),'数据-取费表'!B23)-1)),0)</f>
        <v>1746</v>
      </c>
      <c r="D23" s="244"/>
      <c r="E23" s="244"/>
      <c r="F23" s="245"/>
      <c r="G23" s="246" t="s">
        <v>108</v>
      </c>
    </row>
    <row r="24" spans="1:7" s="220" customFormat="1" ht="13.5" customHeight="1">
      <c r="A24" s="869" t="s">
        <v>611</v>
      </c>
      <c r="B24" s="221" t="s">
        <v>843</v>
      </c>
      <c r="C24" s="1218">
        <f>ROUND(IF('数据-取费表'!B22&lt;=1,C19*F22*('数据-取费表'!B19/2+'数据-取费表'!B21),C19*(POWER((1+F22),('数据-取费表'!B19/2+'数据-取费表'!B21))-1)),0)</f>
        <v>9</v>
      </c>
      <c r="D24" s="244"/>
      <c r="E24" s="244"/>
      <c r="F24" s="245"/>
      <c r="G24" s="246" t="s">
        <v>109</v>
      </c>
    </row>
    <row r="25" spans="1:7" s="220" customFormat="1" ht="24">
      <c r="A25" s="869" t="s">
        <v>612</v>
      </c>
      <c r="B25" s="221" t="s">
        <v>845</v>
      </c>
      <c r="C25" s="1218">
        <f>ROUND(IF('数据-取费表'!B22&lt;=1,C20*F22*'数据-取费表'!B23/2,C20*(POWER((1+F22),'数据-取费表'!B23/2)-1)),0)</f>
        <v>17</v>
      </c>
      <c r="D25" s="244"/>
      <c r="E25" s="247"/>
      <c r="F25" s="245"/>
      <c r="G25" s="248" t="s">
        <v>110</v>
      </c>
    </row>
    <row r="26" spans="1:7" s="220" customFormat="1">
      <c r="A26" s="869" t="s">
        <v>614</v>
      </c>
      <c r="B26" s="221" t="s">
        <v>847</v>
      </c>
      <c r="C26" s="244">
        <f>ROUND(IF('数据-取费表'!B22&lt;=1,F21*F22*'数据-取费表'!B23/2,F21*(POWER((1+F22),'数据-取费表'!B23/2)-1)),4)</f>
        <v>8.0000000000000004E-4</v>
      </c>
      <c r="D26" s="244"/>
      <c r="E26" s="247"/>
      <c r="F26" s="245"/>
      <c r="G26" s="249"/>
    </row>
    <row r="27" spans="1:7" s="220" customFormat="1" ht="24.75">
      <c r="A27" s="866" t="s">
        <v>606</v>
      </c>
      <c r="B27" s="250" t="s">
        <v>112</v>
      </c>
      <c r="C27" s="251">
        <f>C28</f>
        <v>2113</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2113</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27051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2638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2421</v>
      </c>
      <c r="D34" s="223"/>
      <c r="E34" s="226"/>
      <c r="F34" s="263">
        <f>IF('数据-取费表'!B24=0,1,'数据-取费表'!N16)</f>
        <v>1</v>
      </c>
      <c r="G34" s="225" t="s">
        <v>116</v>
      </c>
    </row>
    <row r="35" spans="1:7" ht="13.5" customHeight="1">
      <c r="A35" s="869" t="s">
        <v>615</v>
      </c>
      <c r="B35" s="221" t="s">
        <v>60</v>
      </c>
      <c r="C35" s="226">
        <f>ROUND(C34*F35,0)</f>
        <v>73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108</v>
      </c>
      <c r="D37" s="223">
        <f>'数据-汇总表'!E3</f>
        <v>5380.46</v>
      </c>
      <c r="E37" s="255">
        <f>'数据-取费表'!B35</f>
        <v>200</v>
      </c>
      <c r="F37" s="265"/>
      <c r="G37" s="267" t="s">
        <v>119</v>
      </c>
    </row>
    <row r="38" spans="1:7" ht="13.5" customHeight="1">
      <c r="A38" s="869" t="s">
        <v>618</v>
      </c>
      <c r="B38" s="221" t="s">
        <v>63</v>
      </c>
      <c r="C38" s="226">
        <f>ROUND(C34*F38,0)</f>
        <v>36</v>
      </c>
      <c r="D38" s="226"/>
      <c r="E38" s="226"/>
      <c r="F38" s="265">
        <f>'数据-取费表'!B36</f>
        <v>1.4999999999999999E-2</v>
      </c>
      <c r="G38" s="225" t="s">
        <v>117</v>
      </c>
    </row>
    <row r="39" spans="1:7" s="220" customFormat="1" ht="13.5" customHeight="1">
      <c r="A39" s="866" t="s">
        <v>602</v>
      </c>
      <c r="B39" s="216" t="s">
        <v>104</v>
      </c>
      <c r="C39" s="238">
        <f>ROUND(C33*F20,0)</f>
        <v>53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ROUND(SUM(C42:C43),0)</f>
        <v>111</v>
      </c>
      <c r="D41" s="241">
        <f>C44</f>
        <v>8.0000000000000004E-4</v>
      </c>
      <c r="E41" s="242" t="s">
        <v>129</v>
      </c>
      <c r="F41" s="243"/>
      <c r="G41" s="1180" t="str">
        <f>IF('数据-取费表'!B22&lt;=1,"单利计息","复利计息")</f>
        <v>复利计息</v>
      </c>
    </row>
    <row r="42" spans="1:7" ht="13.5" customHeight="1">
      <c r="A42" s="869" t="s">
        <v>613</v>
      </c>
      <c r="B42" s="221" t="s">
        <v>848</v>
      </c>
      <c r="C42" s="244">
        <f>ROUND(IF('数据-取费表'!B22&lt;=1,C33*F22*'数据-取费表'!B21/2,C33*(POWER((1+F22),'数据-取费表'!B21/2)-1)),0)</f>
        <v>109</v>
      </c>
      <c r="D42" s="244"/>
      <c r="E42" s="244"/>
      <c r="F42" s="245"/>
      <c r="G42" s="3428" t="s">
        <v>121</v>
      </c>
    </row>
    <row r="43" spans="1:7" ht="13.5" customHeight="1">
      <c r="A43" s="869" t="s">
        <v>611</v>
      </c>
      <c r="B43" s="221" t="s">
        <v>851</v>
      </c>
      <c r="C43" s="244">
        <f>ROUND(IF('数据-取费表'!B22&lt;=1,C39*F22*'数据-取费表'!B21/2,C39*(POWER((1+F22),'数据-取费表'!B21/2)-1)),0)</f>
        <v>2</v>
      </c>
      <c r="D43" s="244"/>
      <c r="E43" s="244"/>
      <c r="F43" s="245"/>
      <c r="G43" s="3429"/>
    </row>
    <row r="44" spans="1:7" ht="13.5" customHeight="1">
      <c r="A44" s="869" t="s">
        <v>612</v>
      </c>
      <c r="B44" s="221" t="s">
        <v>853</v>
      </c>
      <c r="C44" s="244">
        <f>ROUND(IF('数据-取费表'!B22&lt;=1,C40*F22*'数据-取费表'!B21/2,C40*(POWER((1+F22),'数据-取费表'!B21/2)-1)),4)</f>
        <v>8.0000000000000004E-4</v>
      </c>
      <c r="D44" s="244"/>
      <c r="E44" s="244"/>
      <c r="F44" s="245"/>
      <c r="G44" s="3430"/>
    </row>
    <row r="45" spans="1:7" s="220" customFormat="1" ht="13.5" customHeight="1">
      <c r="A45" s="866" t="s">
        <v>605</v>
      </c>
      <c r="B45" s="250" t="s">
        <v>112</v>
      </c>
      <c r="C45" s="251">
        <f>C46</f>
        <v>269</v>
      </c>
      <c r="D45" s="241">
        <f>C47</f>
        <v>2E-3</v>
      </c>
      <c r="E45" s="242" t="s">
        <v>129</v>
      </c>
      <c r="F45" s="252"/>
      <c r="G45" s="253" t="s">
        <v>859</v>
      </c>
    </row>
    <row r="46" spans="1:7" s="220" customFormat="1" ht="13.5" customHeight="1">
      <c r="A46" s="869" t="s">
        <v>613</v>
      </c>
      <c r="B46" s="254" t="s">
        <v>852</v>
      </c>
      <c r="C46" s="255">
        <f>ROUND((C33+C39)*F27,0)</f>
        <v>269</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ROUND((C33+C39+C41+C45)/(1-C40-D41-D45-C48/(1+'数据-取费表'!B42)),0)</f>
        <v>3321</v>
      </c>
      <c r="D49" s="238"/>
      <c r="E49" s="238"/>
      <c r="F49" s="270"/>
      <c r="G49" s="240" t="s">
        <v>860</v>
      </c>
    </row>
    <row r="50" spans="1:7" s="264" customFormat="1" ht="24">
      <c r="A50" s="866" t="s">
        <v>608</v>
      </c>
      <c r="B50" s="216" t="s">
        <v>124</v>
      </c>
      <c r="C50" s="238"/>
      <c r="D50" s="238"/>
      <c r="E50" s="238"/>
      <c r="F50" s="270">
        <f>IF('数据-取费表'!B24=0,'数据-取费表'!N16,1)</f>
        <v>0.76</v>
      </c>
      <c r="G50" s="253" t="s">
        <v>125</v>
      </c>
    </row>
    <row r="51" spans="1:7" ht="16.5" customHeight="1">
      <c r="A51" s="866" t="s">
        <v>609</v>
      </c>
      <c r="B51" s="216" t="s">
        <v>132</v>
      </c>
      <c r="C51" s="238">
        <f>ROUND(C49*F50,0)</f>
        <v>2524</v>
      </c>
      <c r="D51" s="238"/>
      <c r="E51" s="238"/>
      <c r="F51" s="270"/>
      <c r="G51" s="240" t="s">
        <v>64</v>
      </c>
    </row>
    <row r="52" spans="1:7" s="214" customFormat="1" ht="16.5" thickBot="1">
      <c r="A52" s="271" t="s">
        <v>65</v>
      </c>
      <c r="B52" s="272"/>
      <c r="C52" s="273">
        <f>C31+C51</f>
        <v>29575</v>
      </c>
      <c r="D52" s="272"/>
      <c r="E52" s="272"/>
      <c r="F52" s="272"/>
      <c r="G52" s="274"/>
    </row>
    <row r="55" spans="1:7" ht="15">
      <c r="B55" s="276" t="s">
        <v>66</v>
      </c>
      <c r="C55" s="277"/>
    </row>
    <row r="56" spans="1:7">
      <c r="B56" s="279" t="s">
        <v>67</v>
      </c>
      <c r="C56" s="280">
        <f>ROUND(C51/C52,3)</f>
        <v>8.5000000000000006E-2</v>
      </c>
    </row>
    <row r="57" spans="1:7">
      <c r="B57" s="279" t="s">
        <v>68</v>
      </c>
      <c r="C57" s="281">
        <f>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44820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6" t="s">
        <v>2814</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E24" sqref="E24"/>
    </sheetView>
  </sheetViews>
  <sheetFormatPr defaultColWidth="8.875" defaultRowHeight="14.25"/>
  <cols>
    <col min="1" max="1" width="35.75" style="3232" customWidth="1"/>
    <col min="2" max="2" width="8.75" style="3232" customWidth="1"/>
    <col min="3" max="3" width="22.25" style="3232" customWidth="1"/>
    <col min="4" max="4" width="14.25" style="3232" customWidth="1"/>
    <col min="5" max="6" width="22.25" style="3232" customWidth="1"/>
    <col min="7" max="7" width="11.125" style="3232" customWidth="1"/>
    <col min="8" max="8" width="12.375" style="3232" customWidth="1"/>
    <col min="9" max="9" width="22.25" style="3232" customWidth="1"/>
    <col min="10" max="10" width="13.625" style="3232" customWidth="1"/>
    <col min="11" max="11" width="10.5" style="3232" customWidth="1"/>
    <col min="12" max="12" width="22.25" style="3232" customWidth="1"/>
    <col min="13" max="13" width="16.125" style="3232" customWidth="1"/>
    <col min="14" max="14" width="15" style="3232" customWidth="1"/>
    <col min="15" max="15" width="22.25" style="3232" customWidth="1"/>
    <col min="16" max="16" width="18.5" style="3232" customWidth="1"/>
    <col min="17" max="18" width="22.25" style="3232" customWidth="1"/>
    <col min="19" max="16384" width="8.875" style="3232"/>
  </cols>
  <sheetData>
    <row r="1" spans="1:17">
      <c r="A1" s="3586" t="s">
        <v>3277</v>
      </c>
      <c r="B1" s="3586" t="s">
        <v>3276</v>
      </c>
      <c r="C1" s="3586" t="s">
        <v>3275</v>
      </c>
      <c r="D1" s="3586" t="s">
        <v>3274</v>
      </c>
      <c r="E1" s="3586" t="s">
        <v>3273</v>
      </c>
      <c r="F1" s="3586" t="s">
        <v>3272</v>
      </c>
      <c r="G1" s="3586" t="s">
        <v>3271</v>
      </c>
      <c r="H1" s="3586" t="s">
        <v>3270</v>
      </c>
      <c r="I1" s="3586" t="s">
        <v>3269</v>
      </c>
      <c r="J1" s="3586" t="s">
        <v>3268</v>
      </c>
      <c r="K1" s="3586" t="s">
        <v>3267</v>
      </c>
      <c r="L1" s="3586" t="s">
        <v>3266</v>
      </c>
      <c r="M1" s="3586" t="s">
        <v>3265</v>
      </c>
      <c r="N1" s="3586" t="s">
        <v>3264</v>
      </c>
      <c r="O1" s="3586" t="s">
        <v>3263</v>
      </c>
      <c r="P1" s="3586" t="s">
        <v>3262</v>
      </c>
      <c r="Q1" s="3586" t="s">
        <v>3280</v>
      </c>
    </row>
    <row r="2" spans="1:17" s="3233" customFormat="1">
      <c r="A2" s="3587" t="s">
        <v>3261</v>
      </c>
      <c r="B2" s="3587" t="s">
        <v>3176</v>
      </c>
      <c r="C2" s="3587" t="s">
        <v>3260</v>
      </c>
      <c r="D2" s="3587" t="s">
        <v>3210</v>
      </c>
      <c r="E2" s="3587">
        <v>21090.2</v>
      </c>
      <c r="F2" s="3587">
        <v>22144.7</v>
      </c>
      <c r="G2" s="3587">
        <v>1.54</v>
      </c>
      <c r="H2" s="3587" t="s">
        <v>3209</v>
      </c>
      <c r="I2" s="3587" t="s">
        <v>3259</v>
      </c>
      <c r="J2" s="3588">
        <v>44671.000497685185</v>
      </c>
      <c r="K2" s="3587" t="s">
        <v>3207</v>
      </c>
      <c r="L2" s="3587" t="s">
        <v>3258</v>
      </c>
      <c r="M2" s="3587">
        <v>2163.09</v>
      </c>
      <c r="N2" s="3587">
        <v>540.77</v>
      </c>
      <c r="O2" s="3587">
        <v>2163.09</v>
      </c>
      <c r="P2" s="3587">
        <v>977</v>
      </c>
      <c r="Q2" s="3587">
        <f>ROUND(O2*10000/E2,0)</f>
        <v>1026</v>
      </c>
    </row>
    <row r="3" spans="1:17" s="3233" customFormat="1">
      <c r="A3" s="3587" t="s">
        <v>3257</v>
      </c>
      <c r="B3" s="3587" t="s">
        <v>3176</v>
      </c>
      <c r="C3" s="3587" t="s">
        <v>3256</v>
      </c>
      <c r="D3" s="3587" t="s">
        <v>3210</v>
      </c>
      <c r="E3" s="3587">
        <v>718046.1</v>
      </c>
      <c r="F3" s="3587">
        <v>646241.49</v>
      </c>
      <c r="G3" s="3587">
        <v>0.9</v>
      </c>
      <c r="H3" s="3587" t="s">
        <v>3209</v>
      </c>
      <c r="I3" s="3587" t="s">
        <v>3210</v>
      </c>
      <c r="J3" s="3588">
        <v>44671.000497685185</v>
      </c>
      <c r="K3" s="3587" t="s">
        <v>3207</v>
      </c>
      <c r="L3" s="3587" t="s">
        <v>3255</v>
      </c>
      <c r="M3" s="3587">
        <v>61033.919999999998</v>
      </c>
      <c r="N3" s="3587">
        <v>12300</v>
      </c>
      <c r="O3" s="3587">
        <v>61033.919999999998</v>
      </c>
      <c r="P3" s="3587">
        <v>944</v>
      </c>
      <c r="Q3" s="3233">
        <f t="shared" ref="Q3:Q16" si="0">ROUND(O3*10000/E3,0)</f>
        <v>850</v>
      </c>
    </row>
    <row r="4" spans="1:17">
      <c r="A4" s="3586" t="s">
        <v>3254</v>
      </c>
      <c r="B4" s="3586" t="s">
        <v>3176</v>
      </c>
      <c r="C4" s="3586" t="s">
        <v>3253</v>
      </c>
      <c r="D4" s="3586" t="s">
        <v>3210</v>
      </c>
      <c r="E4" s="3586">
        <v>54214.080000000002</v>
      </c>
      <c r="F4" s="3586">
        <v>108428.16</v>
      </c>
      <c r="G4" s="3586">
        <v>2</v>
      </c>
      <c r="H4" s="3586" t="s">
        <v>3209</v>
      </c>
      <c r="I4" s="3586" t="s">
        <v>3252</v>
      </c>
      <c r="J4" s="3589">
        <v>44642.000497685185</v>
      </c>
      <c r="K4" s="3586" t="s">
        <v>3207</v>
      </c>
      <c r="L4" s="3586" t="s">
        <v>3251</v>
      </c>
      <c r="M4" s="3586">
        <v>8793.52</v>
      </c>
      <c r="N4" s="3586">
        <v>1800</v>
      </c>
      <c r="O4" s="3586">
        <v>8793.52</v>
      </c>
      <c r="P4" s="3586">
        <v>811</v>
      </c>
      <c r="Q4" s="3233">
        <f t="shared" si="0"/>
        <v>1622</v>
      </c>
    </row>
    <row r="5" spans="1:17" s="3234" customFormat="1">
      <c r="A5" s="3590" t="s">
        <v>3250</v>
      </c>
      <c r="B5" s="3590" t="s">
        <v>3176</v>
      </c>
      <c r="C5" s="3590" t="s">
        <v>3249</v>
      </c>
      <c r="D5" s="3590" t="s">
        <v>3210</v>
      </c>
      <c r="E5" s="3590">
        <v>76366.38</v>
      </c>
      <c r="F5" s="3590">
        <v>114549.57</v>
      </c>
      <c r="G5" s="3590">
        <v>1.5</v>
      </c>
      <c r="H5" s="3590" t="s">
        <v>3209</v>
      </c>
      <c r="I5" s="3590" t="s">
        <v>3210</v>
      </c>
      <c r="J5" s="3591">
        <v>44630.000497685185</v>
      </c>
      <c r="K5" s="3590" t="s">
        <v>3207</v>
      </c>
      <c r="L5" s="3590" t="s">
        <v>3248</v>
      </c>
      <c r="M5" s="3590">
        <v>11431.52</v>
      </c>
      <c r="N5" s="3590">
        <v>2500</v>
      </c>
      <c r="O5" s="3590">
        <v>11431.52</v>
      </c>
      <c r="P5" s="3590">
        <v>998</v>
      </c>
      <c r="Q5" s="3234">
        <f t="shared" si="0"/>
        <v>1497</v>
      </c>
    </row>
    <row r="6" spans="1:17">
      <c r="A6" s="3586" t="s">
        <v>3247</v>
      </c>
      <c r="B6" s="3586" t="s">
        <v>3176</v>
      </c>
      <c r="C6" s="3586" t="s">
        <v>3246</v>
      </c>
      <c r="D6" s="3586" t="s">
        <v>3210</v>
      </c>
      <c r="E6" s="3586">
        <v>40148.6</v>
      </c>
      <c r="F6" s="3586">
        <v>60222.9</v>
      </c>
      <c r="G6" s="3586">
        <v>1.5</v>
      </c>
      <c r="H6" s="3586" t="s">
        <v>3209</v>
      </c>
      <c r="I6" s="3586" t="s">
        <v>3220</v>
      </c>
      <c r="J6" s="3589">
        <v>44600.000497685185</v>
      </c>
      <c r="K6" s="3586" t="s">
        <v>3207</v>
      </c>
      <c r="L6" s="3586" t="s">
        <v>3245</v>
      </c>
      <c r="M6" s="3586">
        <v>3438.73</v>
      </c>
      <c r="N6" s="3586">
        <v>859.68</v>
      </c>
      <c r="O6" s="3586">
        <v>3438.73</v>
      </c>
      <c r="P6" s="3586">
        <v>571</v>
      </c>
      <c r="Q6" s="3233">
        <f t="shared" si="0"/>
        <v>857</v>
      </c>
    </row>
    <row r="7" spans="1:17">
      <c r="A7" s="3586" t="s">
        <v>3244</v>
      </c>
      <c r="B7" s="3586" t="s">
        <v>3176</v>
      </c>
      <c r="C7" s="3586" t="s">
        <v>3243</v>
      </c>
      <c r="D7" s="3586" t="s">
        <v>3210</v>
      </c>
      <c r="E7" s="3586">
        <v>19333.34</v>
      </c>
      <c r="F7" s="3586">
        <v>38666.69</v>
      </c>
      <c r="G7" s="3586">
        <v>2</v>
      </c>
      <c r="H7" s="3586" t="s">
        <v>3209</v>
      </c>
      <c r="I7" s="3586" t="s">
        <v>3242</v>
      </c>
      <c r="J7" s="3589">
        <v>44561.000497685185</v>
      </c>
      <c r="K7" s="3586" t="s">
        <v>3207</v>
      </c>
      <c r="L7" s="3586" t="s">
        <v>3241</v>
      </c>
      <c r="M7" s="3586">
        <v>3477.1</v>
      </c>
      <c r="N7" s="3586">
        <v>700</v>
      </c>
      <c r="O7" s="3586">
        <v>3477.1</v>
      </c>
      <c r="P7" s="3586">
        <v>899</v>
      </c>
      <c r="Q7" s="3233">
        <f t="shared" si="0"/>
        <v>1798</v>
      </c>
    </row>
    <row r="8" spans="1:17">
      <c r="A8" s="3586" t="s">
        <v>3240</v>
      </c>
      <c r="B8" s="3586" t="s">
        <v>3176</v>
      </c>
      <c r="C8" s="3586" t="s">
        <v>3239</v>
      </c>
      <c r="D8" s="3586" t="s">
        <v>3210</v>
      </c>
      <c r="E8" s="3586">
        <v>95015.4</v>
      </c>
      <c r="F8" s="3586">
        <v>180529.26</v>
      </c>
      <c r="G8" s="3586">
        <v>1.9</v>
      </c>
      <c r="H8" s="3586" t="s">
        <v>3209</v>
      </c>
      <c r="I8" s="3586" t="s">
        <v>3238</v>
      </c>
      <c r="J8" s="3589">
        <v>44554.000497685185</v>
      </c>
      <c r="K8" s="3586" t="s">
        <v>3207</v>
      </c>
      <c r="L8" s="3586" t="s">
        <v>3237</v>
      </c>
      <c r="M8" s="3586">
        <v>10308.219999999999</v>
      </c>
      <c r="N8" s="3586">
        <v>2577.06</v>
      </c>
      <c r="O8" s="3586">
        <v>10308.219999999999</v>
      </c>
      <c r="P8" s="3586">
        <v>571</v>
      </c>
      <c r="Q8" s="3233">
        <f t="shared" si="0"/>
        <v>1085</v>
      </c>
    </row>
    <row r="9" spans="1:17">
      <c r="A9" s="3586" t="s">
        <v>3236</v>
      </c>
      <c r="B9" s="3586" t="s">
        <v>3176</v>
      </c>
      <c r="C9" s="3586" t="s">
        <v>3235</v>
      </c>
      <c r="D9" s="3586" t="s">
        <v>3210</v>
      </c>
      <c r="E9" s="3586">
        <v>23200</v>
      </c>
      <c r="F9" s="3586">
        <v>32480</v>
      </c>
      <c r="G9" s="3586">
        <v>1.4</v>
      </c>
      <c r="H9" s="3586" t="s">
        <v>3234</v>
      </c>
      <c r="I9" s="3586" t="s">
        <v>3220</v>
      </c>
      <c r="J9" s="3589">
        <v>44487.000497685185</v>
      </c>
      <c r="K9" s="3586" t="s">
        <v>3207</v>
      </c>
      <c r="L9" s="3586" t="s">
        <v>3233</v>
      </c>
      <c r="M9" s="3586">
        <v>2150.1799999999998</v>
      </c>
      <c r="N9" s="3586">
        <v>440</v>
      </c>
      <c r="O9" s="3586">
        <v>2150.1799999999998</v>
      </c>
      <c r="P9" s="3586">
        <v>662</v>
      </c>
      <c r="Q9" s="3233">
        <f t="shared" si="0"/>
        <v>927</v>
      </c>
    </row>
    <row r="10" spans="1:17">
      <c r="A10" s="3586" t="s">
        <v>3232</v>
      </c>
      <c r="B10" s="3586" t="s">
        <v>3176</v>
      </c>
      <c r="C10" s="3586" t="s">
        <v>3231</v>
      </c>
      <c r="D10" s="3586" t="s">
        <v>3210</v>
      </c>
      <c r="E10" s="3586">
        <v>57488.82</v>
      </c>
      <c r="F10" s="3586">
        <v>86233.23</v>
      </c>
      <c r="G10" s="3586" t="s">
        <v>3230</v>
      </c>
      <c r="H10" s="3586" t="s">
        <v>3209</v>
      </c>
      <c r="I10" s="3586" t="s">
        <v>3220</v>
      </c>
      <c r="J10" s="3589">
        <v>44480.000497685185</v>
      </c>
      <c r="K10" s="3586" t="s">
        <v>3207</v>
      </c>
      <c r="L10" s="3586" t="s">
        <v>3229</v>
      </c>
      <c r="M10" s="3586">
        <v>7835.68</v>
      </c>
      <c r="N10" s="3586">
        <v>1600</v>
      </c>
      <c r="O10" s="3586">
        <v>7835.68</v>
      </c>
      <c r="P10" s="3586">
        <v>909</v>
      </c>
      <c r="Q10" s="3233">
        <f t="shared" si="0"/>
        <v>1363</v>
      </c>
    </row>
    <row r="11" spans="1:17">
      <c r="A11" s="3586" t="s">
        <v>3228</v>
      </c>
      <c r="B11" s="3586" t="s">
        <v>3176</v>
      </c>
      <c r="C11" s="3586" t="s">
        <v>3227</v>
      </c>
      <c r="D11" s="3586" t="s">
        <v>3210</v>
      </c>
      <c r="E11" s="3586">
        <v>7422.43</v>
      </c>
      <c r="F11" s="3586">
        <v>5937.95</v>
      </c>
      <c r="G11" s="3586" t="s">
        <v>3226</v>
      </c>
      <c r="H11" s="3586" t="s">
        <v>3209</v>
      </c>
      <c r="I11" s="3586" t="s">
        <v>3220</v>
      </c>
      <c r="J11" s="3589">
        <v>44480.000497685185</v>
      </c>
      <c r="K11" s="3586" t="s">
        <v>3207</v>
      </c>
      <c r="L11" s="3586" t="s">
        <v>3219</v>
      </c>
      <c r="M11" s="3586">
        <v>844.63</v>
      </c>
      <c r="N11" s="3586">
        <v>170</v>
      </c>
      <c r="O11" s="3586">
        <v>844.63</v>
      </c>
      <c r="P11" s="3586">
        <v>1422</v>
      </c>
      <c r="Q11" s="3233">
        <f t="shared" si="0"/>
        <v>1138</v>
      </c>
    </row>
    <row r="12" spans="1:17">
      <c r="A12" s="3586" t="s">
        <v>3225</v>
      </c>
      <c r="B12" s="3586" t="s">
        <v>3176</v>
      </c>
      <c r="C12" s="3586" t="s">
        <v>3224</v>
      </c>
      <c r="D12" s="3586" t="s">
        <v>3210</v>
      </c>
      <c r="E12" s="3586">
        <v>23652.31</v>
      </c>
      <c r="F12" s="3586">
        <v>23652.31</v>
      </c>
      <c r="G12" s="3586">
        <v>1</v>
      </c>
      <c r="H12" s="3586" t="s">
        <v>3209</v>
      </c>
      <c r="I12" s="3586" t="s">
        <v>3220</v>
      </c>
      <c r="J12" s="3589">
        <v>44480.000497685185</v>
      </c>
      <c r="K12" s="3586" t="s">
        <v>3207</v>
      </c>
      <c r="L12" s="3586" t="s">
        <v>3223</v>
      </c>
      <c r="M12" s="3586">
        <v>2689.6</v>
      </c>
      <c r="N12" s="3586">
        <v>550</v>
      </c>
      <c r="O12" s="3586">
        <v>2689.6</v>
      </c>
      <c r="P12" s="3586">
        <v>1137</v>
      </c>
      <c r="Q12" s="3233">
        <f t="shared" si="0"/>
        <v>1137</v>
      </c>
    </row>
    <row r="13" spans="1:17">
      <c r="A13" s="3586" t="s">
        <v>3222</v>
      </c>
      <c r="B13" s="3586" t="s">
        <v>3176</v>
      </c>
      <c r="C13" s="3586" t="s">
        <v>3221</v>
      </c>
      <c r="D13" s="3586" t="s">
        <v>3210</v>
      </c>
      <c r="E13" s="3586">
        <v>23170.400000000001</v>
      </c>
      <c r="F13" s="3586">
        <v>23170.400000000001</v>
      </c>
      <c r="G13" s="3586">
        <v>1</v>
      </c>
      <c r="H13" s="3586" t="s">
        <v>3209</v>
      </c>
      <c r="I13" s="3586" t="s">
        <v>3220</v>
      </c>
      <c r="J13" s="3589">
        <v>44480.000497685185</v>
      </c>
      <c r="K13" s="3586" t="s">
        <v>3207</v>
      </c>
      <c r="L13" s="3586" t="s">
        <v>3219</v>
      </c>
      <c r="M13" s="3586">
        <v>2632.78</v>
      </c>
      <c r="N13" s="3586">
        <v>530</v>
      </c>
      <c r="O13" s="3586">
        <v>2632.78</v>
      </c>
      <c r="P13" s="3586">
        <v>1136</v>
      </c>
      <c r="Q13" s="3233">
        <f t="shared" si="0"/>
        <v>1136</v>
      </c>
    </row>
    <row r="14" spans="1:17">
      <c r="A14" s="3586" t="s">
        <v>3218</v>
      </c>
      <c r="B14" s="3586" t="s">
        <v>3176</v>
      </c>
      <c r="C14" s="3586" t="s">
        <v>3217</v>
      </c>
      <c r="D14" s="3586" t="s">
        <v>3210</v>
      </c>
      <c r="E14" s="3586">
        <v>82052.600000000006</v>
      </c>
      <c r="F14" s="3586">
        <v>155899.94</v>
      </c>
      <c r="G14" s="3586">
        <v>1.9</v>
      </c>
      <c r="H14" s="3586" t="s">
        <v>3209</v>
      </c>
      <c r="I14" s="3586" t="s">
        <v>3210</v>
      </c>
      <c r="J14" s="3589">
        <v>44466.000497685185</v>
      </c>
      <c r="K14" s="3586" t="s">
        <v>3207</v>
      </c>
      <c r="L14" s="3586" t="s">
        <v>3216</v>
      </c>
      <c r="M14" s="3586">
        <v>16837.189999999999</v>
      </c>
      <c r="N14" s="3586">
        <v>3400</v>
      </c>
      <c r="O14" s="3586">
        <v>16837.189999999999</v>
      </c>
      <c r="P14" s="3586">
        <v>1080</v>
      </c>
      <c r="Q14" s="3233">
        <f t="shared" si="0"/>
        <v>2052</v>
      </c>
    </row>
    <row r="15" spans="1:17" s="3233" customFormat="1">
      <c r="A15" s="3587" t="s">
        <v>3215</v>
      </c>
      <c r="B15" s="3587" t="s">
        <v>3176</v>
      </c>
      <c r="C15" s="3587" t="s">
        <v>3214</v>
      </c>
      <c r="D15" s="3587" t="s">
        <v>3210</v>
      </c>
      <c r="E15" s="3587">
        <v>7844</v>
      </c>
      <c r="F15" s="3587">
        <v>11766</v>
      </c>
      <c r="G15" s="3587">
        <v>1.5</v>
      </c>
      <c r="H15" s="3587" t="s">
        <v>3209</v>
      </c>
      <c r="I15" s="3587" t="s">
        <v>3210</v>
      </c>
      <c r="J15" s="3588">
        <v>44466.000497685185</v>
      </c>
      <c r="K15" s="3587" t="s">
        <v>3207</v>
      </c>
      <c r="L15" s="3587" t="s">
        <v>3213</v>
      </c>
      <c r="M15" s="3587">
        <v>854.21</v>
      </c>
      <c r="N15" s="3587">
        <v>213.55</v>
      </c>
      <c r="O15" s="3587">
        <v>854.21</v>
      </c>
      <c r="P15" s="3587">
        <v>726</v>
      </c>
      <c r="Q15" s="3233">
        <f t="shared" si="0"/>
        <v>1089</v>
      </c>
    </row>
    <row r="16" spans="1:17">
      <c r="A16" s="3586" t="s">
        <v>3212</v>
      </c>
      <c r="B16" s="3586" t="s">
        <v>3176</v>
      </c>
      <c r="C16" s="3586" t="s">
        <v>3211</v>
      </c>
      <c r="D16" s="3586" t="s">
        <v>3210</v>
      </c>
      <c r="E16" s="3586">
        <v>49454.7</v>
      </c>
      <c r="F16" s="3586">
        <v>98909.1</v>
      </c>
      <c r="G16" s="3586">
        <v>2</v>
      </c>
      <c r="H16" s="3586" t="s">
        <v>3209</v>
      </c>
      <c r="I16" s="3586" t="s">
        <v>3208</v>
      </c>
      <c r="J16" s="3589">
        <v>44454.000497685185</v>
      </c>
      <c r="K16" s="3586" t="s">
        <v>3207</v>
      </c>
      <c r="L16" s="3586" t="s">
        <v>3206</v>
      </c>
      <c r="M16" s="3586">
        <v>6448.89</v>
      </c>
      <c r="N16" s="3586">
        <v>1612.22</v>
      </c>
      <c r="O16" s="3586">
        <v>6448.89</v>
      </c>
      <c r="P16" s="3586">
        <v>652</v>
      </c>
      <c r="Q16" s="3233">
        <f t="shared" si="0"/>
        <v>1304</v>
      </c>
    </row>
  </sheetData>
  <mergeCells count="258">
    <mergeCell ref="A16"/>
    <mergeCell ref="B16"/>
    <mergeCell ref="C16"/>
    <mergeCell ref="D16"/>
    <mergeCell ref="E16"/>
    <mergeCell ref="F16"/>
    <mergeCell ref="G16"/>
    <mergeCell ref="H16"/>
    <mergeCell ref="L15"/>
    <mergeCell ref="M15"/>
    <mergeCell ref="M16"/>
    <mergeCell ref="N16"/>
    <mergeCell ref="O16"/>
    <mergeCell ref="P16"/>
    <mergeCell ref="I16"/>
    <mergeCell ref="J16"/>
    <mergeCell ref="K16"/>
    <mergeCell ref="L16"/>
    <mergeCell ref="P15"/>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P14"/>
    <mergeCell ref="J13"/>
    <mergeCell ref="K13"/>
    <mergeCell ref="L13"/>
    <mergeCell ref="M13"/>
    <mergeCell ref="N13"/>
    <mergeCell ref="K14"/>
    <mergeCell ref="L14"/>
    <mergeCell ref="M14"/>
    <mergeCell ref="N14"/>
    <mergeCell ref="O14"/>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L11"/>
    <mergeCell ref="M11"/>
    <mergeCell ref="M12"/>
    <mergeCell ref="N12"/>
    <mergeCell ref="O12"/>
    <mergeCell ref="P12"/>
    <mergeCell ref="I12"/>
    <mergeCell ref="J12"/>
    <mergeCell ref="K12"/>
    <mergeCell ref="L12"/>
    <mergeCell ref="P11"/>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P10"/>
    <mergeCell ref="J9"/>
    <mergeCell ref="K9"/>
    <mergeCell ref="L9"/>
    <mergeCell ref="M9"/>
    <mergeCell ref="N9"/>
    <mergeCell ref="K10"/>
    <mergeCell ref="L10"/>
    <mergeCell ref="M10"/>
    <mergeCell ref="N10"/>
    <mergeCell ref="O10"/>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L7"/>
    <mergeCell ref="M7"/>
    <mergeCell ref="M8"/>
    <mergeCell ref="N8"/>
    <mergeCell ref="O8"/>
    <mergeCell ref="P8"/>
    <mergeCell ref="I8"/>
    <mergeCell ref="J8"/>
    <mergeCell ref="K8"/>
    <mergeCell ref="L8"/>
    <mergeCell ref="P7"/>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P6"/>
    <mergeCell ref="J5"/>
    <mergeCell ref="K5"/>
    <mergeCell ref="L5"/>
    <mergeCell ref="M5"/>
    <mergeCell ref="N5"/>
    <mergeCell ref="K6"/>
    <mergeCell ref="L6"/>
    <mergeCell ref="M6"/>
    <mergeCell ref="N6"/>
    <mergeCell ref="O6"/>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K3"/>
    <mergeCell ref="L3"/>
    <mergeCell ref="M3"/>
    <mergeCell ref="M4"/>
    <mergeCell ref="N4"/>
    <mergeCell ref="O4"/>
    <mergeCell ref="P4"/>
    <mergeCell ref="I4"/>
    <mergeCell ref="J4"/>
    <mergeCell ref="K4"/>
    <mergeCell ref="L4"/>
    <mergeCell ref="P3"/>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P2"/>
    <mergeCell ref="Q2"/>
    <mergeCell ref="J1"/>
    <mergeCell ref="K1"/>
    <mergeCell ref="L1"/>
    <mergeCell ref="M1"/>
    <mergeCell ref="N1"/>
    <mergeCell ref="K2"/>
    <mergeCell ref="L2"/>
    <mergeCell ref="M2"/>
    <mergeCell ref="N2"/>
    <mergeCell ref="O2"/>
    <mergeCell ref="O1"/>
    <mergeCell ref="A1"/>
    <mergeCell ref="B1"/>
    <mergeCell ref="C1"/>
    <mergeCell ref="D1"/>
    <mergeCell ref="E1"/>
    <mergeCell ref="F1"/>
    <mergeCell ref="G1"/>
    <mergeCell ref="H1"/>
    <mergeCell ref="I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44" t="s">
        <v>1362</v>
      </c>
      <c r="E3" s="944" t="s">
        <v>1368</v>
      </c>
      <c r="F3" s="944" t="s">
        <v>1362</v>
      </c>
      <c r="G3" s="944" t="s">
        <v>1363</v>
      </c>
      <c r="H3" s="944" t="s">
        <v>1362</v>
      </c>
      <c r="I3" s="944" t="s">
        <v>1363</v>
      </c>
    </row>
    <row r="4" spans="1:9" ht="15">
      <c r="A4" s="1641" t="str">
        <f>项目基本情况!S2</f>
        <v>北京市房地产</v>
      </c>
      <c r="B4" s="944">
        <f>项目基本情况!C17</f>
        <v>5380.46</v>
      </c>
      <c r="C4" s="944">
        <f>项目基本情况!C18</f>
        <v>7960.6</v>
      </c>
      <c r="D4" s="944">
        <f ca="1">结果表!D118</f>
        <v>2301</v>
      </c>
      <c r="E4" s="944">
        <f ca="1">结果表!E118</f>
        <v>4276</v>
      </c>
      <c r="F4" s="944">
        <f ca="1">结果表!F118</f>
        <v>2702</v>
      </c>
      <c r="G4" s="944">
        <f ca="1">结果表!G118</f>
        <v>5022</v>
      </c>
      <c r="H4" s="944">
        <f ca="1">结果表!H118</f>
        <v>5003</v>
      </c>
      <c r="I4" s="944">
        <f ca="1">结果表!I118</f>
        <v>9298</v>
      </c>
    </row>
    <row r="5" spans="1:9" ht="30" customHeight="1">
      <c r="A5" s="3252" t="s">
        <v>1364</v>
      </c>
      <c r="B5" s="3252"/>
      <c r="C5" s="3252"/>
      <c r="D5" s="3253" t="str">
        <f ca="1">结果表!D119</f>
        <v>贰仟叁佰零壹万元整</v>
      </c>
      <c r="E5" s="3253"/>
      <c r="F5" s="3253" t="str">
        <f ca="1">结果表!F119</f>
        <v>贰仟柒佰零贰万元整</v>
      </c>
      <c r="G5" s="3253"/>
      <c r="H5" s="3253" t="str">
        <f ca="1">结果表!H119</f>
        <v>伍仟零叁万元整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1364</v>
      </c>
      <c r="B7" s="3252"/>
      <c r="C7" s="3252"/>
      <c r="D7" s="3255" t="str">
        <f>结果表!D121</f>
        <v>零元整</v>
      </c>
      <c r="E7" s="3256"/>
      <c r="F7" s="3256"/>
      <c r="G7" s="3256"/>
      <c r="H7" s="3256"/>
      <c r="I7" s="3257"/>
    </row>
    <row r="8" spans="1:9" ht="15.75">
      <c r="A8" s="3254" t="str">
        <f>结果表!A122</f>
        <v>房地产抵押价值</v>
      </c>
      <c r="B8" s="3254"/>
      <c r="C8" s="3254"/>
      <c r="D8" s="3254">
        <f ca="1">结果表!D122</f>
        <v>5003</v>
      </c>
      <c r="E8" s="3254"/>
      <c r="F8" s="3254"/>
      <c r="G8" s="3254"/>
      <c r="H8" s="3254"/>
      <c r="I8" s="3254"/>
    </row>
    <row r="9" spans="1:9" ht="15">
      <c r="A9" s="3252" t="s">
        <v>1364</v>
      </c>
      <c r="B9" s="3252"/>
      <c r="C9" s="3252"/>
      <c r="D9" s="3253" t="str">
        <f ca="1">结果表!D123</f>
        <v>伍仟零叁万元整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1364</v>
      </c>
      <c r="B11" s="3252"/>
      <c r="C11" s="3252"/>
      <c r="D11" s="3253" t="e">
        <f>结果表!D125</f>
        <v>#VALUE!</v>
      </c>
      <c r="E11" s="3253"/>
      <c r="F11" s="3253"/>
      <c r="G11" s="3253"/>
      <c r="H11" s="3253"/>
      <c r="I11" s="3253"/>
    </row>
    <row r="12" spans="1:9" ht="15.75">
      <c r="A12" s="3254" t="str">
        <f>结果表!A126</f>
        <v>抵押净值</v>
      </c>
      <c r="B12" s="3254"/>
      <c r="C12" s="3254"/>
      <c r="D12" s="3254">
        <f ca="1">结果表!D126</f>
        <v>4930</v>
      </c>
      <c r="E12" s="3254"/>
      <c r="F12" s="3254"/>
      <c r="G12" s="3254"/>
      <c r="H12" s="3254"/>
      <c r="I12" s="3254"/>
    </row>
    <row r="13" spans="1:9" ht="15.75" thickBot="1">
      <c r="A13" s="3258" t="s">
        <v>1364</v>
      </c>
      <c r="B13" s="3258"/>
      <c r="C13" s="3258"/>
      <c r="D13" s="3259" t="str">
        <f ca="1">结果表!D127</f>
        <v>肆仟玖佰叁拾万元整</v>
      </c>
      <c r="E13" s="3259"/>
      <c r="F13" s="3259"/>
      <c r="G13" s="3259"/>
      <c r="H13" s="3259"/>
      <c r="I13" s="3259"/>
    </row>
    <row r="14" spans="1:9" ht="15" thickTop="1">
      <c r="A14" s="3260" t="s">
        <v>1369</v>
      </c>
      <c r="B14" s="3260"/>
      <c r="C14" s="3260"/>
      <c r="D14" s="3260"/>
      <c r="E14" s="3260"/>
      <c r="F14" s="3260"/>
      <c r="G14" s="3260"/>
      <c r="H14" s="3260"/>
      <c r="I14" s="326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1" t="s">
        <v>1386</v>
      </c>
      <c r="B1" s="3261"/>
      <c r="C1" s="3261"/>
      <c r="D1" s="3261"/>
    </row>
    <row r="2" spans="1:4" ht="18">
      <c r="A2" s="3262" t="s">
        <v>1370</v>
      </c>
      <c r="B2" s="3262"/>
      <c r="C2" s="3262"/>
      <c r="D2" s="3262"/>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62" t="s">
        <v>1376</v>
      </c>
      <c r="B6" s="3262"/>
      <c r="C6" s="3262"/>
      <c r="D6" s="326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3" t="s">
        <v>1379</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v>
      </c>
      <c r="B15" s="3264"/>
      <c r="C15" s="3264"/>
      <c r="D15" s="3264"/>
    </row>
    <row r="16" spans="1:4" ht="30" customHeight="1">
      <c r="A16" s="3267" t="s">
        <v>1380</v>
      </c>
      <c r="B16" s="3267"/>
      <c r="C16" s="3267"/>
      <c r="D16" s="3267"/>
    </row>
    <row r="17" spans="1:4" ht="144" customHeight="1">
      <c r="A17" s="3267" t="s">
        <v>1381</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44847</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151</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2022-10-13T07:49:00Z</dcterms:modified>
</cp:coreProperties>
</file>