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440" windowHeight="9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G105" i="34" l="1"/>
  <c r="H105" i="34"/>
  <c r="F105" i="34"/>
  <c r="C105" i="34"/>
  <c r="D105" i="34"/>
  <c r="G22" i="4" l="1"/>
  <c r="T41" i="80" l="1"/>
  <c r="T49" i="80"/>
  <c r="T33" i="80"/>
  <c r="T26" i="80"/>
  <c r="N21" i="1"/>
  <c r="G23" i="4" l="1"/>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Q58" i="67"/>
  <c r="Q51" i="67"/>
  <c r="J50" i="67"/>
  <c r="J49" i="67"/>
  <c r="M47" i="67"/>
  <c r="D46" i="67"/>
  <c r="F33" i="67"/>
  <c r="D24" i="67"/>
  <c r="F23" i="67"/>
  <c r="D23" i="67"/>
  <c r="D22" i="67"/>
  <c r="F21" i="67"/>
  <c r="F20" i="67"/>
  <c r="M19" i="67"/>
  <c r="F18" i="67"/>
  <c r="F17" i="67"/>
  <c r="F15" i="67"/>
  <c r="G1" i="67"/>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AC9" i="34"/>
  <c r="AB9" i="34"/>
  <c r="AA9" i="34"/>
  <c r="Z9" i="34"/>
  <c r="W9" i="34"/>
  <c r="U9" i="34"/>
  <c r="S9" i="34"/>
  <c r="Q9" i="34"/>
  <c r="J9" i="34"/>
  <c r="H9" i="34"/>
  <c r="F9" i="34"/>
  <c r="J8" i="34"/>
  <c r="AC8" i="34" s="1"/>
  <c r="H8" i="34"/>
  <c r="AB8" i="34" s="1"/>
  <c r="F8" i="34"/>
  <c r="S8" i="34" s="1"/>
  <c r="P74" i="15"/>
  <c r="Q72" i="15"/>
  <c r="P61" i="15"/>
  <c r="F61" i="15"/>
  <c r="Q59" i="15"/>
  <c r="K59" i="15"/>
  <c r="Q58" i="15"/>
  <c r="Q51" i="15"/>
  <c r="J51" i="15"/>
  <c r="J50" i="15"/>
  <c r="M47" i="15"/>
  <c r="D46" i="15"/>
  <c r="F33" i="15"/>
  <c r="D24" i="15"/>
  <c r="F23" i="15"/>
  <c r="D23" i="15"/>
  <c r="D22" i="15"/>
  <c r="F21" i="15"/>
  <c r="F20" i="15"/>
  <c r="M19" i="15"/>
  <c r="F18"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F40" i="69"/>
  <c r="C40" i="69"/>
  <c r="F39" i="69"/>
  <c r="F38" i="69"/>
  <c r="E37" i="69"/>
  <c r="F36" i="69"/>
  <c r="F35" i="69"/>
  <c r="G22" i="69"/>
  <c r="F21" i="69"/>
  <c r="C21" i="69"/>
  <c r="F20" i="69"/>
  <c r="E19" i="69"/>
  <c r="E10" i="69"/>
  <c r="E9" i="69"/>
  <c r="F7" i="69"/>
  <c r="C7" i="69"/>
  <c r="H1" i="69"/>
  <c r="G1" i="69"/>
  <c r="G41" i="68"/>
  <c r="F40" i="68"/>
  <c r="C40" i="68"/>
  <c r="F39" i="68"/>
  <c r="F38" i="68"/>
  <c r="E37" i="68"/>
  <c r="F36" i="68"/>
  <c r="F35" i="68"/>
  <c r="F34" i="68"/>
  <c r="G22" i="68"/>
  <c r="F21" i="68"/>
  <c r="C21" i="68"/>
  <c r="F20" i="68"/>
  <c r="E19" i="68"/>
  <c r="E10" i="68"/>
  <c r="E9" i="68"/>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M20" i="67" s="1"/>
  <c r="B43" i="1"/>
  <c r="D78" i="9" s="1"/>
  <c r="B31" i="1"/>
  <c r="B24" i="1"/>
  <c r="B23" i="1"/>
  <c r="B22" i="1"/>
  <c r="N23" i="1"/>
  <c r="C37" i="34" s="1"/>
  <c r="E37" i="34" s="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O16" i="1" s="1"/>
  <c r="E6" i="1"/>
  <c r="D6" i="1"/>
  <c r="B6" i="1"/>
  <c r="A6" i="1"/>
  <c r="T4" i="1"/>
  <c r="B2" i="1"/>
  <c r="C7" i="35" s="1"/>
  <c r="C48" i="35"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F6" i="1" s="1"/>
  <c r="G6" i="1" s="1"/>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B4" i="62"/>
  <c r="A4" i="62"/>
  <c r="D12" i="52"/>
  <c r="A12" i="52"/>
  <c r="D11"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1" i="72"/>
  <c r="B10" i="72"/>
  <c r="B8" i="72"/>
  <c r="B6" i="72"/>
  <c r="B5" i="72"/>
  <c r="B3" i="72"/>
  <c r="B2" i="72"/>
  <c r="M22" i="15"/>
  <c r="E8" i="76"/>
  <c r="F13" i="15"/>
  <c r="AO11" i="1"/>
  <c r="E2" i="68"/>
  <c r="AO12" i="1"/>
  <c r="F36" i="15"/>
  <c r="M9" i="67"/>
  <c r="L48" i="15"/>
  <c r="AO8" i="1"/>
  <c r="B11" i="76"/>
  <c r="F3" i="73"/>
  <c r="AO9" i="1"/>
  <c r="L48" i="67"/>
  <c r="F37" i="15"/>
  <c r="M23" i="67"/>
  <c r="F7" i="73"/>
  <c r="F16" i="67"/>
  <c r="M23" i="15"/>
  <c r="AO13" i="1"/>
  <c r="E12" i="76"/>
  <c r="F5" i="73"/>
  <c r="F37" i="67"/>
  <c r="L47" i="15"/>
  <c r="F40" i="15"/>
  <c r="F6" i="15"/>
  <c r="J15" i="67"/>
  <c r="F8" i="15"/>
  <c r="C76" i="15"/>
  <c r="B8" i="76"/>
  <c r="F6" i="73"/>
  <c r="M6" i="67"/>
  <c r="F6" i="67"/>
  <c r="E11" i="76"/>
  <c r="F16" i="15"/>
  <c r="J15" i="15"/>
  <c r="AO10" i="1"/>
  <c r="B13" i="76"/>
  <c r="F41" i="15"/>
  <c r="F9" i="67"/>
  <c r="M27" i="67"/>
  <c r="D2" i="37"/>
  <c r="F40" i="67"/>
  <c r="F36" i="67"/>
  <c r="D2" i="35"/>
  <c r="M21" i="15"/>
  <c r="AO7" i="1"/>
  <c r="D2" i="36"/>
  <c r="M6" i="15"/>
  <c r="E7" i="76"/>
  <c r="M9" i="15"/>
  <c r="M28" i="67"/>
  <c r="L47" i="67"/>
  <c r="F43" i="15"/>
  <c r="F20" i="31"/>
  <c r="D2" i="21"/>
  <c r="F38" i="67"/>
  <c r="M26" i="67"/>
  <c r="E10" i="76"/>
  <c r="C76" i="67"/>
  <c r="F4" i="73"/>
  <c r="F42" i="67"/>
  <c r="M24" i="67"/>
  <c r="E9" i="76"/>
  <c r="M27" i="15"/>
  <c r="F26" i="67"/>
  <c r="M8" i="67"/>
  <c r="F42" i="15"/>
  <c r="F7" i="15"/>
  <c r="F35" i="15"/>
  <c r="M24" i="15"/>
  <c r="M28" i="15"/>
  <c r="B9" i="76"/>
  <c r="E2" i="69"/>
  <c r="M22" i="67"/>
  <c r="M26" i="15"/>
  <c r="F26" i="15"/>
  <c r="D2" i="33"/>
  <c r="F38" i="15"/>
  <c r="F8" i="67"/>
  <c r="D2" i="34"/>
  <c r="M8" i="15"/>
  <c r="M29" i="15"/>
  <c r="E13" i="76"/>
  <c r="B7" i="76"/>
  <c r="F9" i="15"/>
  <c r="B10" i="76"/>
  <c r="B12" i="76"/>
  <c r="C7" i="78" l="1"/>
  <c r="D7" i="78" s="1"/>
  <c r="C5" i="78"/>
  <c r="D5" i="78" s="1"/>
  <c r="U43" i="34"/>
  <c r="S43" i="34"/>
  <c r="W8" i="34"/>
  <c r="U8" i="34"/>
  <c r="T11" i="1"/>
  <c r="AQ11" i="1"/>
  <c r="U45" i="34"/>
  <c r="S46" i="34"/>
  <c r="W46" i="34"/>
  <c r="U47" i="34"/>
  <c r="S45" i="34"/>
  <c r="W45" i="34"/>
  <c r="U46" i="34"/>
  <c r="S47" i="34"/>
  <c r="W47" i="34"/>
  <c r="U29" i="34"/>
  <c r="S30" i="34"/>
  <c r="W30" i="34"/>
  <c r="U31" i="34"/>
  <c r="S32" i="34"/>
  <c r="W32" i="34"/>
  <c r="S29" i="34"/>
  <c r="W29" i="34"/>
  <c r="U30" i="34"/>
  <c r="S31" i="34"/>
  <c r="W31" i="34"/>
  <c r="U32" i="34"/>
  <c r="AB12" i="34"/>
  <c r="U12" i="34"/>
  <c r="AB14" i="34"/>
  <c r="U14" i="34"/>
  <c r="U10" i="34"/>
  <c r="S11" i="34"/>
  <c r="W11" i="34"/>
  <c r="S13" i="34"/>
  <c r="W13" i="34"/>
  <c r="S10" i="34"/>
  <c r="W10" i="34"/>
  <c r="U11" i="34"/>
  <c r="S12" i="34"/>
  <c r="W12" i="34"/>
  <c r="U13" i="34"/>
  <c r="S14" i="34"/>
  <c r="W14" i="34"/>
  <c r="F27" i="34"/>
  <c r="AA27" i="34" s="1"/>
  <c r="D93" i="9"/>
  <c r="B41" i="1"/>
  <c r="F28" i="67" s="1"/>
  <c r="F32" i="15"/>
  <c r="F60" i="15" s="1"/>
  <c r="F48" i="9"/>
  <c r="O52" i="9" s="1"/>
  <c r="F31" i="12"/>
  <c r="F53" i="9"/>
  <c r="F30" i="68"/>
  <c r="F48" i="68" s="1"/>
  <c r="M18" i="15"/>
  <c r="M18" i="67"/>
  <c r="F90" i="34"/>
  <c r="G90" i="34" s="1"/>
  <c r="H90" i="34" s="1"/>
  <c r="I90" i="34" s="1"/>
  <c r="J90" i="34" s="1"/>
  <c r="K90" i="34" s="1"/>
  <c r="L90" i="34" s="1"/>
  <c r="M90" i="34" s="1"/>
  <c r="H27" i="34"/>
  <c r="AB27" i="34" s="1"/>
  <c r="J27" i="34"/>
  <c r="AC27" i="34" s="1"/>
  <c r="AA8" i="34"/>
  <c r="U40" i="34"/>
  <c r="S40" i="34"/>
  <c r="W40" i="34"/>
  <c r="S33" i="34"/>
  <c r="W33" i="34"/>
  <c r="U33" i="34"/>
  <c r="L27" i="6"/>
  <c r="T7" i="1"/>
  <c r="AQ7" i="1"/>
  <c r="P16" i="1"/>
  <c r="C11" i="12" s="1"/>
  <c r="C12" i="12" s="1"/>
  <c r="C36" i="69"/>
  <c r="T9" i="1"/>
  <c r="AQ9" i="1"/>
  <c r="T13" i="1"/>
  <c r="AQ13" i="1"/>
  <c r="B3" i="36"/>
  <c r="M20" i="15"/>
  <c r="F34" i="67"/>
  <c r="F62" i="67" s="1"/>
  <c r="F34" i="15"/>
  <c r="F62" i="15" s="1"/>
  <c r="W43" i="34"/>
  <c r="C18" i="9"/>
  <c r="D18" i="9" s="1"/>
  <c r="G37" i="34"/>
  <c r="F37" i="34"/>
  <c r="Y6" i="1"/>
  <c r="G5" i="3"/>
  <c r="B3" i="3" s="1"/>
  <c r="E3" i="6"/>
  <c r="AY6" i="3"/>
  <c r="AY152" i="3" s="1"/>
  <c r="H5" i="3"/>
  <c r="BA5" i="3"/>
  <c r="E14" i="6"/>
  <c r="E12" i="6"/>
  <c r="E10" i="6"/>
  <c r="E13" i="6"/>
  <c r="E8" i="6"/>
  <c r="E15" i="6"/>
  <c r="E11" i="6"/>
  <c r="D19" i="12"/>
  <c r="C19" i="12" s="1"/>
  <c r="D9" i="69"/>
  <c r="C9" i="69" s="1"/>
  <c r="D9" i="68"/>
  <c r="C9" i="68" s="1"/>
  <c r="D9" i="11"/>
  <c r="C9" i="11" s="1"/>
  <c r="AR8" i="1"/>
  <c r="AR10" i="1"/>
  <c r="AR12" i="1"/>
  <c r="T8" i="1"/>
  <c r="T10" i="1"/>
  <c r="T12" i="1"/>
  <c r="B3" i="35"/>
  <c r="BA6" i="3"/>
  <c r="BC6" i="3"/>
  <c r="BE6" i="3"/>
  <c r="BG6" i="3"/>
  <c r="BI6" i="3"/>
  <c r="BK6" i="3"/>
  <c r="BM6" i="3"/>
  <c r="BO6" i="3"/>
  <c r="BQ6" i="3"/>
  <c r="BS6" i="3"/>
  <c r="AY14"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AY70" i="3"/>
  <c r="AY72" i="3"/>
  <c r="AY74" i="3"/>
  <c r="AY76" i="3"/>
  <c r="AY78" i="3"/>
  <c r="AY80"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D3" i="6"/>
  <c r="AY587" i="3"/>
  <c r="AY585" i="3"/>
  <c r="AY583" i="3"/>
  <c r="AY581" i="3"/>
  <c r="AY579" i="3"/>
  <c r="AY577" i="3"/>
  <c r="AY575" i="3"/>
  <c r="AY573" i="3"/>
  <c r="AY571" i="3"/>
  <c r="AY569" i="3"/>
  <c r="AY584" i="3"/>
  <c r="AY580" i="3"/>
  <c r="AY576" i="3"/>
  <c r="AY572"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586" i="3"/>
  <c r="AY578" i="3"/>
  <c r="AY570"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582" i="3"/>
  <c r="AY574"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E26" i="43"/>
  <c r="G26" i="43"/>
  <c r="J26" i="43"/>
  <c r="N94" i="46"/>
  <c r="Z7" i="43"/>
  <c r="F26" i="43"/>
  <c r="H26" i="43"/>
  <c r="B116" i="43"/>
  <c r="F31" i="15"/>
  <c r="D48" i="35"/>
  <c r="E48" i="35" s="1"/>
  <c r="F48" i="35" s="1"/>
  <c r="G48" i="35" s="1"/>
  <c r="H48" i="35" s="1"/>
  <c r="I48" i="35" s="1"/>
  <c r="J48" i="35" s="1"/>
  <c r="K48" i="35" s="1"/>
  <c r="L48" i="35" s="1"/>
  <c r="M48" i="35" s="1"/>
  <c r="N48" i="35" s="1"/>
  <c r="O48" i="35" s="1"/>
  <c r="C7" i="34"/>
  <c r="C59" i="34" s="1"/>
  <c r="C7" i="21"/>
  <c r="C58" i="21" s="1"/>
  <c r="G23" i="43"/>
  <c r="C7" i="39"/>
  <c r="C67" i="39" s="1"/>
  <c r="C7" i="40"/>
  <c r="C63" i="40" s="1"/>
  <c r="C42" i="1"/>
  <c r="M47" i="9"/>
  <c r="J51" i="67"/>
  <c r="C7" i="33"/>
  <c r="C58" i="33" s="1"/>
  <c r="C7" i="37"/>
  <c r="C52" i="37" s="1"/>
  <c r="C7" i="36"/>
  <c r="C46" i="36" s="1"/>
  <c r="J1" i="73"/>
  <c r="B7" i="70"/>
  <c r="B9" i="70"/>
  <c r="B11" i="70"/>
  <c r="B13" i="70"/>
  <c r="B8" i="70"/>
  <c r="B10" i="70"/>
  <c r="B12" i="70"/>
  <c r="C6" i="15"/>
  <c r="J20" i="15"/>
  <c r="C27" i="15"/>
  <c r="F63" i="15"/>
  <c r="C62" i="15" s="1"/>
  <c r="C34" i="15"/>
  <c r="F64" i="15"/>
  <c r="F65" i="15"/>
  <c r="F66" i="15"/>
  <c r="F69" i="15"/>
  <c r="C27" i="67"/>
  <c r="F50" i="15"/>
  <c r="M7" i="15"/>
  <c r="J6" i="15" s="1"/>
  <c r="F51" i="15"/>
  <c r="C49" i="15" s="1"/>
  <c r="F68" i="15"/>
  <c r="F71" i="15"/>
  <c r="N59" i="15"/>
  <c r="L59" i="15"/>
  <c r="L58" i="15"/>
  <c r="M59" i="15"/>
  <c r="J57" i="15"/>
  <c r="J55" i="15" s="1"/>
  <c r="J58" i="15" s="1"/>
  <c r="Q50" i="15" s="1"/>
  <c r="I54" i="15"/>
  <c r="J53" i="15"/>
  <c r="Q71" i="15"/>
  <c r="F68" i="67"/>
  <c r="Q71" i="67"/>
  <c r="F51" i="67"/>
  <c r="I1" i="73"/>
  <c r="B39" i="1" s="1"/>
  <c r="C34" i="67"/>
  <c r="F64" i="67"/>
  <c r="F65" i="67"/>
  <c r="F66" i="67"/>
  <c r="M59" i="67"/>
  <c r="N59" i="67"/>
  <c r="L59" i="67"/>
  <c r="L58" i="67"/>
  <c r="L60" i="67"/>
  <c r="J57" i="67"/>
  <c r="J55" i="67" s="1"/>
  <c r="J58" i="67" s="1"/>
  <c r="Q50" i="67" s="1"/>
  <c r="I54" i="67"/>
  <c r="J53" i="67"/>
  <c r="L56" i="67"/>
  <c r="L57" i="67"/>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36" i="68"/>
  <c r="C14" i="15"/>
  <c r="C17" i="15"/>
  <c r="D7" i="73"/>
  <c r="D5" i="73"/>
  <c r="D3" i="73"/>
  <c r="C16" i="15"/>
  <c r="D6" i="73"/>
  <c r="D4" i="73"/>
  <c r="F13" i="67"/>
  <c r="H7" i="35" l="1"/>
  <c r="C15" i="12"/>
  <c r="U27" i="34"/>
  <c r="W27" i="34"/>
  <c r="S27" i="34"/>
  <c r="F28" i="15"/>
  <c r="F30" i="69"/>
  <c r="F48" i="69" s="1"/>
  <c r="D68" i="9"/>
  <c r="F32" i="67"/>
  <c r="F60" i="67" s="1"/>
  <c r="F54" i="9"/>
  <c r="F30" i="11"/>
  <c r="C48" i="11" s="1"/>
  <c r="F52" i="9"/>
  <c r="C30" i="11"/>
  <c r="C15" i="15"/>
  <c r="C18" i="15"/>
  <c r="AA37" i="34"/>
  <c r="S37" i="34"/>
  <c r="I37" i="34"/>
  <c r="J37" i="34" s="1"/>
  <c r="H37" i="34"/>
  <c r="E60" i="40"/>
  <c r="E64" i="39"/>
  <c r="E58" i="40"/>
  <c r="E62" i="39"/>
  <c r="E57" i="40"/>
  <c r="E61" i="39"/>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I3" i="6"/>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8" i="3"/>
  <c r="E146" i="3"/>
  <c r="E144" i="3"/>
  <c r="E142" i="3"/>
  <c r="E140" i="3"/>
  <c r="E138" i="3"/>
  <c r="E136" i="3"/>
  <c r="E134" i="3"/>
  <c r="E132" i="3"/>
  <c r="E130" i="3"/>
  <c r="E128" i="3"/>
  <c r="E125" i="3"/>
  <c r="E123" i="3"/>
  <c r="E121" i="3"/>
  <c r="E119" i="3"/>
  <c r="E117" i="3"/>
  <c r="E115" i="3"/>
  <c r="E114" i="3"/>
  <c r="E112" i="3"/>
  <c r="E110" i="3"/>
  <c r="E108" i="3"/>
  <c r="E105" i="3"/>
  <c r="E103" i="3"/>
  <c r="E101" i="3"/>
  <c r="E98" i="3"/>
  <c r="E97" i="3"/>
  <c r="E95" i="3"/>
  <c r="E93" i="3"/>
  <c r="E91" i="3"/>
  <c r="E88" i="3"/>
  <c r="E86" i="3"/>
  <c r="E84" i="3"/>
  <c r="E82" i="3"/>
  <c r="E80" i="3"/>
  <c r="E77" i="3"/>
  <c r="E75" i="3"/>
  <c r="E74" i="3"/>
  <c r="E72" i="3"/>
  <c r="E70" i="3"/>
  <c r="E67" i="3"/>
  <c r="E65" i="3"/>
  <c r="E64" i="3"/>
  <c r="E62" i="3"/>
  <c r="E59" i="3"/>
  <c r="E57" i="3"/>
  <c r="E56" i="3"/>
  <c r="E54" i="3"/>
  <c r="E52" i="3"/>
  <c r="E50" i="3"/>
  <c r="E48" i="3"/>
  <c r="E46" i="3"/>
  <c r="E44" i="3"/>
  <c r="E42" i="3"/>
  <c r="E40" i="3"/>
  <c r="E37" i="3"/>
  <c r="E36" i="3"/>
  <c r="E33" i="3"/>
  <c r="E31" i="3"/>
  <c r="E29" i="3"/>
  <c r="E27" i="3"/>
  <c r="E25" i="3"/>
  <c r="E23" i="3"/>
  <c r="E21" i="3"/>
  <c r="E19" i="3"/>
  <c r="E17" i="3"/>
  <c r="E15" i="3"/>
  <c r="AR6" i="3"/>
  <c r="AP6" i="3"/>
  <c r="AN6" i="3"/>
  <c r="AL6" i="3"/>
  <c r="AJ6" i="3"/>
  <c r="AH6" i="3"/>
  <c r="AF6" i="3"/>
  <c r="AD6" i="3"/>
  <c r="AC6" i="3" s="1"/>
  <c r="AB6" i="3"/>
  <c r="Z6" i="3"/>
  <c r="X6" i="3"/>
  <c r="V6" i="3"/>
  <c r="T6" i="3"/>
  <c r="R6" i="3"/>
  <c r="P6" i="3"/>
  <c r="N6" i="3"/>
  <c r="L6" i="3"/>
  <c r="J6" i="3"/>
  <c r="AS6" i="3"/>
  <c r="AQ6" i="3"/>
  <c r="AO6" i="3"/>
  <c r="AM6" i="3"/>
  <c r="AK6" i="3"/>
  <c r="AI6" i="3"/>
  <c r="AG6" i="3"/>
  <c r="AE6" i="3"/>
  <c r="AA6" i="3"/>
  <c r="Y6" i="3"/>
  <c r="W6" i="3"/>
  <c r="U6" i="3"/>
  <c r="S6" i="3"/>
  <c r="Q6" i="3"/>
  <c r="O6" i="3"/>
  <c r="M6" i="3"/>
  <c r="K6" i="3"/>
  <c r="E149" i="3"/>
  <c r="E147" i="3"/>
  <c r="E145" i="3"/>
  <c r="E143" i="3"/>
  <c r="E141" i="3"/>
  <c r="E139" i="3"/>
  <c r="E137" i="3"/>
  <c r="E135" i="3"/>
  <c r="E133" i="3"/>
  <c r="E131" i="3"/>
  <c r="E129" i="3"/>
  <c r="E127" i="3"/>
  <c r="E126" i="3"/>
  <c r="E124" i="3"/>
  <c r="E122" i="3"/>
  <c r="E120" i="3"/>
  <c r="E118" i="3"/>
  <c r="E116" i="3"/>
  <c r="E113" i="3"/>
  <c r="E111" i="3"/>
  <c r="E109" i="3"/>
  <c r="E107" i="3"/>
  <c r="E106" i="3"/>
  <c r="E104" i="3"/>
  <c r="E102" i="3"/>
  <c r="E100" i="3"/>
  <c r="E99" i="3"/>
  <c r="E96" i="3"/>
  <c r="E94" i="3"/>
  <c r="E92" i="3"/>
  <c r="E90" i="3"/>
  <c r="E89" i="3"/>
  <c r="E87" i="3"/>
  <c r="E85" i="3"/>
  <c r="E83" i="3"/>
  <c r="E81" i="3"/>
  <c r="E79" i="3"/>
  <c r="E78" i="3"/>
  <c r="E76" i="3"/>
  <c r="E73" i="3"/>
  <c r="E71" i="3"/>
  <c r="E69" i="3"/>
  <c r="E68" i="3"/>
  <c r="E66" i="3"/>
  <c r="E63" i="3"/>
  <c r="E61" i="3"/>
  <c r="E60" i="3"/>
  <c r="E58" i="3"/>
  <c r="E55" i="3"/>
  <c r="E53" i="3"/>
  <c r="E51" i="3"/>
  <c r="E49" i="3"/>
  <c r="E47" i="3"/>
  <c r="E45" i="3"/>
  <c r="E43" i="3"/>
  <c r="E41" i="3"/>
  <c r="E39" i="3"/>
  <c r="E38" i="3"/>
  <c r="E35" i="3"/>
  <c r="E34" i="3"/>
  <c r="E32" i="3"/>
  <c r="E30" i="3"/>
  <c r="E28" i="3"/>
  <c r="E26" i="3"/>
  <c r="E24" i="3"/>
  <c r="E22" i="3"/>
  <c r="E20" i="3"/>
  <c r="E18" i="3"/>
  <c r="E16" i="3"/>
  <c r="E14" i="3"/>
  <c r="E56" i="40"/>
  <c r="E60" i="39"/>
  <c r="E16" i="6"/>
  <c r="E51" i="40"/>
  <c r="E56" i="39"/>
  <c r="E59" i="40"/>
  <c r="E63" i="39"/>
  <c r="I6" i="3"/>
  <c r="H6" i="3" s="1"/>
  <c r="E6" i="3" s="1"/>
  <c r="D3" i="21"/>
  <c r="B3" i="21" s="1"/>
  <c r="D14" i="12"/>
  <c r="L18" i="9"/>
  <c r="F19" i="6"/>
  <c r="E19" i="6" s="1"/>
  <c r="E6" i="6"/>
  <c r="D37" i="11"/>
  <c r="C37" i="11" s="1"/>
  <c r="D19" i="11"/>
  <c r="C19" i="11" s="1"/>
  <c r="D3" i="37"/>
  <c r="B3" i="37" s="1"/>
  <c r="D3" i="33"/>
  <c r="B3" i="33" s="1"/>
  <c r="M18" i="9"/>
  <c r="B118" i="9" s="1"/>
  <c r="B14" i="74" s="1"/>
  <c r="B1" i="74" s="1"/>
  <c r="C17" i="4"/>
  <c r="E13" i="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E61" i="40"/>
  <c r="L19" i="9"/>
  <c r="D29" i="6"/>
  <c r="D28" i="6"/>
  <c r="D30" i="6" s="1"/>
  <c r="D26" i="6"/>
  <c r="D25" i="6"/>
  <c r="D24" i="6"/>
  <c r="D23" i="6"/>
  <c r="D22" i="6"/>
  <c r="D21" i="6"/>
  <c r="D20" i="6"/>
  <c r="D9" i="6"/>
  <c r="D8" i="6"/>
  <c r="D5" i="6"/>
  <c r="M19" i="9"/>
  <c r="C118" i="9" s="1"/>
  <c r="D19" i="6"/>
  <c r="D15" i="6"/>
  <c r="D14" i="6"/>
  <c r="D13" i="6"/>
  <c r="D12" i="6"/>
  <c r="D11" i="6"/>
  <c r="D10" i="6"/>
  <c r="D6" i="6"/>
  <c r="C18" i="4"/>
  <c r="M17" i="15"/>
  <c r="F59" i="15"/>
  <c r="D52" i="37"/>
  <c r="E52" i="37" s="1"/>
  <c r="F52" i="37" s="1"/>
  <c r="G52" i="37" s="1"/>
  <c r="H52" i="37" s="1"/>
  <c r="I52" i="37" s="1"/>
  <c r="J52" i="37" s="1"/>
  <c r="K52" i="37" s="1"/>
  <c r="L52" i="37" s="1"/>
  <c r="M52" i="37" s="1"/>
  <c r="N52" i="37" s="1"/>
  <c r="O52" i="37" s="1"/>
  <c r="J7" i="37"/>
  <c r="F7" i="37"/>
  <c r="C36" i="11"/>
  <c r="C28" i="67"/>
  <c r="C13" i="12"/>
  <c r="C30" i="68"/>
  <c r="C28" i="15"/>
  <c r="C31" i="12"/>
  <c r="C24" i="12"/>
  <c r="C48" i="69"/>
  <c r="C48" i="68"/>
  <c r="C77" i="9"/>
  <c r="C74" i="9" s="1"/>
  <c r="C69" i="39"/>
  <c r="D67" i="39"/>
  <c r="D58" i="21"/>
  <c r="E58" i="21" s="1"/>
  <c r="F58" i="21" s="1"/>
  <c r="G58" i="21" s="1"/>
  <c r="H58" i="21" s="1"/>
  <c r="I58" i="21" s="1"/>
  <c r="J58" i="21" s="1"/>
  <c r="K58" i="21" s="1"/>
  <c r="L58" i="21" s="1"/>
  <c r="M58" i="21" s="1"/>
  <c r="N58" i="21" s="1"/>
  <c r="O58" i="21" s="1"/>
  <c r="U7" i="35"/>
  <c r="AB7" i="35"/>
  <c r="T38" i="35" s="1"/>
  <c r="G38" i="35" s="1"/>
  <c r="F7" i="35"/>
  <c r="D46" i="36"/>
  <c r="E46" i="36" s="1"/>
  <c r="F46" i="36" s="1"/>
  <c r="G46" i="36" s="1"/>
  <c r="H46" i="36" s="1"/>
  <c r="I46" i="36" s="1"/>
  <c r="J46" i="36" s="1"/>
  <c r="K46" i="36" s="1"/>
  <c r="L46" i="36" s="1"/>
  <c r="M46" i="36" s="1"/>
  <c r="N46" i="36" s="1"/>
  <c r="O46" i="36" s="1"/>
  <c r="J7" i="36"/>
  <c r="F7" i="36"/>
  <c r="D58" i="33"/>
  <c r="E58" i="33" s="1"/>
  <c r="F58" i="33" s="1"/>
  <c r="G58" i="33" s="1"/>
  <c r="H58" i="33" s="1"/>
  <c r="I58" i="33" s="1"/>
  <c r="J58" i="33" s="1"/>
  <c r="K58" i="33" s="1"/>
  <c r="L58" i="33" s="1"/>
  <c r="M58" i="33" s="1"/>
  <c r="N58" i="33" s="1"/>
  <c r="O58" i="33" s="1"/>
  <c r="J7" i="33"/>
  <c r="C65" i="40"/>
  <c r="D63" i="40"/>
  <c r="P29" i="43"/>
  <c r="P25" i="43"/>
  <c r="M24" i="43"/>
  <c r="O23" i="43"/>
  <c r="C23" i="43"/>
  <c r="A1" i="79"/>
  <c r="P28" i="43"/>
  <c r="B66" i="40" s="1"/>
  <c r="P27" i="43"/>
  <c r="B70" i="39" s="1"/>
  <c r="P26" i="43"/>
  <c r="D59" i="34"/>
  <c r="E59" i="34" s="1"/>
  <c r="F59" i="34" s="1"/>
  <c r="G59" i="34" s="1"/>
  <c r="H59" i="34" s="1"/>
  <c r="I59" i="34" s="1"/>
  <c r="J59" i="34" s="1"/>
  <c r="K59" i="34" s="1"/>
  <c r="L59" i="34" s="1"/>
  <c r="M59" i="34" s="1"/>
  <c r="N59" i="34" s="1"/>
  <c r="O59" i="34" s="1"/>
  <c r="J7" i="34"/>
  <c r="F7" i="34"/>
  <c r="H7" i="34"/>
  <c r="J7" i="35"/>
  <c r="J19" i="15"/>
  <c r="J18" i="15"/>
  <c r="Q57" i="67"/>
  <c r="Q66" i="67"/>
  <c r="Q74" i="67"/>
  <c r="Q61" i="67"/>
  <c r="F11" i="67"/>
  <c r="C53" i="67" s="1"/>
  <c r="F11" i="15"/>
  <c r="M11" i="67"/>
  <c r="J10" i="67" s="1"/>
  <c r="M11" i="15"/>
  <c r="J10" i="15" s="1"/>
  <c r="J5" i="15" s="1"/>
  <c r="C61" i="67"/>
  <c r="F1" i="15"/>
  <c r="Q52" i="15"/>
  <c r="L56" i="15"/>
  <c r="Q74" i="15"/>
  <c r="Q61" i="15"/>
  <c r="C33" i="67"/>
  <c r="C32" i="67"/>
  <c r="C33" i="15"/>
  <c r="C32" i="15"/>
  <c r="Q52" i="67"/>
  <c r="F1" i="67"/>
  <c r="Q73" i="67"/>
  <c r="Q60" i="67"/>
  <c r="Q73" i="15"/>
  <c r="Q60" i="15"/>
  <c r="C61" i="15"/>
  <c r="AE6" i="1"/>
  <c r="G1" i="73"/>
  <c r="F7" i="33" l="1"/>
  <c r="H7" i="33"/>
  <c r="H7" i="21"/>
  <c r="H7" i="37"/>
  <c r="C30" i="69"/>
  <c r="C19" i="15"/>
  <c r="B4" i="52"/>
  <c r="B43" i="72" s="1"/>
  <c r="C34" i="34"/>
  <c r="H7" i="36"/>
  <c r="B40" i="1"/>
  <c r="F22" i="68" s="1"/>
  <c r="AB37" i="34"/>
  <c r="U37" i="34"/>
  <c r="AC37" i="34"/>
  <c r="W37" i="34"/>
  <c r="K6" i="1"/>
  <c r="B29" i="1" s="1"/>
  <c r="C8" i="68" s="1"/>
  <c r="C5" i="68" s="1"/>
  <c r="D3" i="34"/>
  <c r="F27" i="6"/>
  <c r="F31" i="6" s="1"/>
  <c r="C20" i="11"/>
  <c r="D10" i="11"/>
  <c r="C10" i="11" s="1"/>
  <c r="D20" i="12"/>
  <c r="C20" i="12" s="1"/>
  <c r="D10" i="69"/>
  <c r="D10" i="68"/>
  <c r="D17" i="12"/>
  <c r="C17" i="12" s="1"/>
  <c r="C14" i="12"/>
  <c r="C16" i="12" s="1"/>
  <c r="E65" i="39"/>
  <c r="E27" i="6"/>
  <c r="D16" i="6"/>
  <c r="C118" i="43"/>
  <c r="D116" i="43"/>
  <c r="C4" i="52"/>
  <c r="B45" i="72" s="1"/>
  <c r="A10" i="51"/>
  <c r="B9" i="72" s="1"/>
  <c r="A7" i="51"/>
  <c r="B7" i="72" s="1"/>
  <c r="D27" i="6"/>
  <c r="D31" i="6" s="1"/>
  <c r="C31" i="15"/>
  <c r="U7" i="34"/>
  <c r="AB7" i="34"/>
  <c r="AC7" i="34"/>
  <c r="W7" i="34"/>
  <c r="C42" i="43"/>
  <c r="C41" i="43"/>
  <c r="C40" i="43"/>
  <c r="C39" i="43"/>
  <c r="C38" i="43"/>
  <c r="C37" i="43"/>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W7" i="33"/>
  <c r="AC7" i="33"/>
  <c r="V48" i="33" s="1"/>
  <c r="I48" i="33" s="1"/>
  <c r="W7" i="36"/>
  <c r="AC7" i="36"/>
  <c r="V36" i="36" s="1"/>
  <c r="I36" i="36" s="1"/>
  <c r="G42" i="35"/>
  <c r="H42" i="35" s="1"/>
  <c r="U7" i="21"/>
  <c r="AB7" i="21"/>
  <c r="T48" i="21" s="1"/>
  <c r="G48" i="21" s="1"/>
  <c r="F7" i="21"/>
  <c r="D69" i="39"/>
  <c r="E67" i="39"/>
  <c r="S7" i="37"/>
  <c r="AA7" i="37"/>
  <c r="R42" i="37" s="1"/>
  <c r="AB7" i="37"/>
  <c r="T42" i="37" s="1"/>
  <c r="G42" i="37" s="1"/>
  <c r="U7" i="37"/>
  <c r="AC7" i="35"/>
  <c r="V38" i="35" s="1"/>
  <c r="I38" i="35" s="1"/>
  <c r="W7" i="35"/>
  <c r="AA7" i="34"/>
  <c r="S7" i="34"/>
  <c r="D65" i="40"/>
  <c r="E63" i="40"/>
  <c r="S7" i="33"/>
  <c r="AA7" i="33"/>
  <c r="R48" i="33" s="1"/>
  <c r="AB7" i="33"/>
  <c r="T48" i="33" s="1"/>
  <c r="G48" i="33" s="1"/>
  <c r="U7" i="33"/>
  <c r="S7" i="36"/>
  <c r="AA7" i="36"/>
  <c r="R36" i="36" s="1"/>
  <c r="AB7" i="36"/>
  <c r="T36" i="36" s="1"/>
  <c r="G36" i="36" s="1"/>
  <c r="U7" i="36"/>
  <c r="AA7" i="35"/>
  <c r="R38" i="35" s="1"/>
  <c r="S7" i="35"/>
  <c r="J7" i="21"/>
  <c r="W7" i="37"/>
  <c r="AC7" i="37"/>
  <c r="V42" i="37" s="1"/>
  <c r="I42" i="37" s="1"/>
  <c r="J26" i="15"/>
  <c r="J29" i="15" s="1"/>
  <c r="J24" i="15"/>
  <c r="C53" i="15"/>
  <c r="C48" i="15" s="1"/>
  <c r="C10" i="15"/>
  <c r="C5" i="15" s="1"/>
  <c r="C20" i="15"/>
  <c r="C26" i="15" s="1"/>
  <c r="J17" i="15"/>
  <c r="C60" i="67"/>
  <c r="M29" i="67"/>
  <c r="F7" i="67"/>
  <c r="F43" i="67"/>
  <c r="F41" i="67"/>
  <c r="C18" i="12" l="1"/>
  <c r="C21" i="12" s="1"/>
  <c r="C22" i="12" s="1"/>
  <c r="H34" i="34"/>
  <c r="J34" i="34"/>
  <c r="F34" i="34"/>
  <c r="F25" i="12"/>
  <c r="C26" i="12" s="1"/>
  <c r="D25" i="12" s="1"/>
  <c r="C26" i="68"/>
  <c r="D22" i="68" s="1"/>
  <c r="C23" i="68"/>
  <c r="F24" i="67"/>
  <c r="C24" i="67" s="1"/>
  <c r="F69" i="67"/>
  <c r="C44" i="68"/>
  <c r="D41" i="68" s="1"/>
  <c r="L36" i="43"/>
  <c r="F24" i="15"/>
  <c r="C24" i="15" s="1"/>
  <c r="F22" i="11"/>
  <c r="F22" i="69"/>
  <c r="F41" i="68"/>
  <c r="C6" i="67"/>
  <c r="F50" i="67"/>
  <c r="M7" i="67"/>
  <c r="F31" i="67"/>
  <c r="F71" i="67"/>
  <c r="C10" i="69"/>
  <c r="C8" i="69" s="1"/>
  <c r="C5" i="69" s="1"/>
  <c r="D19" i="69"/>
  <c r="E31" i="6"/>
  <c r="I5" i="6" s="1"/>
  <c r="K25" i="6"/>
  <c r="M25" i="6" s="1"/>
  <c r="I25" i="6" s="1"/>
  <c r="K23" i="6"/>
  <c r="M23" i="6" s="1"/>
  <c r="I23" i="6" s="1"/>
  <c r="K21" i="6"/>
  <c r="M21" i="6" s="1"/>
  <c r="I21" i="6" s="1"/>
  <c r="K26" i="6"/>
  <c r="M26" i="6" s="1"/>
  <c r="I26" i="6" s="1"/>
  <c r="K24" i="6"/>
  <c r="M24" i="6" s="1"/>
  <c r="I24" i="6" s="1"/>
  <c r="K22" i="6"/>
  <c r="M22" i="6" s="1"/>
  <c r="I22" i="6" s="1"/>
  <c r="K20" i="6"/>
  <c r="M20" i="6" s="1"/>
  <c r="I20" i="6" s="1"/>
  <c r="C10" i="68"/>
  <c r="D19" i="68"/>
  <c r="K19" i="6"/>
  <c r="H16" i="1"/>
  <c r="C34" i="69"/>
  <c r="Q16" i="1"/>
  <c r="K16" i="1"/>
  <c r="M6" i="1"/>
  <c r="G16" i="1"/>
  <c r="I6" i="6"/>
  <c r="I46" i="37"/>
  <c r="J46" i="37" s="1"/>
  <c r="R37" i="36"/>
  <c r="E36" i="36"/>
  <c r="R49" i="33"/>
  <c r="E48" i="33"/>
  <c r="E65" i="40"/>
  <c r="F63" i="40"/>
  <c r="R43" i="37"/>
  <c r="E42" i="37"/>
  <c r="I47" i="37" s="1"/>
  <c r="J47" i="37" s="1"/>
  <c r="G52" i="21"/>
  <c r="H52" i="21" s="1"/>
  <c r="I41" i="36"/>
  <c r="J41" i="36" s="1"/>
  <c r="I40" i="36"/>
  <c r="J40" i="36" s="1"/>
  <c r="I53" i="33"/>
  <c r="J53" i="33" s="1"/>
  <c r="I52" i="33"/>
  <c r="J52" i="33" s="1"/>
  <c r="C34" i="43"/>
  <c r="E34" i="43" s="1"/>
  <c r="E33" i="43"/>
  <c r="G38" i="43"/>
  <c r="I38" i="43" s="1"/>
  <c r="E38" i="43"/>
  <c r="G40" i="43"/>
  <c r="I40" i="43" s="1"/>
  <c r="E40" i="43"/>
  <c r="G42" i="43"/>
  <c r="I42" i="43" s="1"/>
  <c r="E42" i="43"/>
  <c r="AC7" i="21"/>
  <c r="V48" i="21" s="1"/>
  <c r="I48" i="21" s="1"/>
  <c r="W7" i="21"/>
  <c r="R39" i="35"/>
  <c r="E38" i="35"/>
  <c r="G41" i="36"/>
  <c r="H41" i="36" s="1"/>
  <c r="G40" i="36"/>
  <c r="H40" i="36" s="1"/>
  <c r="G53" i="33"/>
  <c r="H53" i="33" s="1"/>
  <c r="G52" i="33"/>
  <c r="H52" i="33" s="1"/>
  <c r="I42" i="35"/>
  <c r="J42" i="35" s="1"/>
  <c r="G47" i="37"/>
  <c r="H47" i="37" s="1"/>
  <c r="G46" i="37"/>
  <c r="H46" i="37" s="1"/>
  <c r="E69" i="39"/>
  <c r="F67" i="39"/>
  <c r="AA7" i="21"/>
  <c r="R48" i="21" s="1"/>
  <c r="S7" i="21"/>
  <c r="G43" i="35"/>
  <c r="H43" i="35" s="1"/>
  <c r="G37" i="43"/>
  <c r="I37" i="43" s="1"/>
  <c r="E37" i="43"/>
  <c r="G39" i="43"/>
  <c r="I39" i="43" s="1"/>
  <c r="E39" i="43"/>
  <c r="G41" i="43"/>
  <c r="I41" i="43" s="1"/>
  <c r="E41" i="43"/>
  <c r="C38" i="15"/>
  <c r="C66" i="15"/>
  <c r="C60" i="15"/>
  <c r="C59" i="15" s="1"/>
  <c r="C16" i="67"/>
  <c r="C23" i="15" l="1"/>
  <c r="C29" i="15" s="1"/>
  <c r="C57" i="15" s="1"/>
  <c r="C64" i="15" s="1"/>
  <c r="AA34" i="34"/>
  <c r="R49" i="34" s="1"/>
  <c r="S34" i="34"/>
  <c r="AB34" i="34"/>
  <c r="T49" i="34" s="1"/>
  <c r="G49" i="34" s="1"/>
  <c r="U34" i="34"/>
  <c r="AC34" i="34"/>
  <c r="V49" i="34" s="1"/>
  <c r="I49" i="34" s="1"/>
  <c r="I53" i="34" s="1"/>
  <c r="J53" i="34" s="1"/>
  <c r="W34" i="34"/>
  <c r="C44" i="69"/>
  <c r="D41" i="69" s="1"/>
  <c r="C26" i="69"/>
  <c r="D22" i="69" s="1"/>
  <c r="F41" i="69"/>
  <c r="C25" i="11"/>
  <c r="C24" i="11"/>
  <c r="C26" i="11"/>
  <c r="D22" i="11" s="1"/>
  <c r="C23" i="11"/>
  <c r="C44" i="11"/>
  <c r="D41" i="11" s="1"/>
  <c r="P36" i="43"/>
  <c r="O36" i="43"/>
  <c r="M36" i="43"/>
  <c r="L37" i="43"/>
  <c r="N36" i="43"/>
  <c r="Q36" i="43"/>
  <c r="N16" i="1"/>
  <c r="M16" i="1"/>
  <c r="F27" i="11"/>
  <c r="F28" i="12"/>
  <c r="C29" i="12" s="1"/>
  <c r="D28" i="12" s="1"/>
  <c r="F27" i="69"/>
  <c r="F27" i="68"/>
  <c r="K27" i="6"/>
  <c r="M19" i="6"/>
  <c r="S6" i="1"/>
  <c r="S22" i="6"/>
  <c r="H22" i="6"/>
  <c r="R22" i="6" s="1"/>
  <c r="S26" i="6"/>
  <c r="H26" i="6"/>
  <c r="R26" i="6" s="1"/>
  <c r="S23" i="6"/>
  <c r="H23" i="6"/>
  <c r="R23" i="6" s="1"/>
  <c r="D37" i="69"/>
  <c r="C37" i="69" s="1"/>
  <c r="C19" i="69"/>
  <c r="C20" i="69" s="1"/>
  <c r="C25" i="69" s="1"/>
  <c r="C49" i="67"/>
  <c r="F59" i="67"/>
  <c r="J10" i="39"/>
  <c r="H10" i="39"/>
  <c r="H10" i="40"/>
  <c r="F10" i="39"/>
  <c r="F10" i="40"/>
  <c r="J10" i="40"/>
  <c r="C38" i="69"/>
  <c r="C35" i="69"/>
  <c r="C19" i="68"/>
  <c r="D37" i="68"/>
  <c r="C37" i="68" s="1"/>
  <c r="S20" i="6"/>
  <c r="H20" i="6"/>
  <c r="R20" i="6" s="1"/>
  <c r="S24" i="6"/>
  <c r="H24" i="6"/>
  <c r="R24" i="6" s="1"/>
  <c r="S21" i="6"/>
  <c r="H21" i="6"/>
  <c r="R21" i="6" s="1"/>
  <c r="S25" i="6"/>
  <c r="H25" i="6"/>
  <c r="R25" i="6" s="1"/>
  <c r="C23" i="69"/>
  <c r="C27" i="12"/>
  <c r="C25" i="12" s="1"/>
  <c r="J6" i="67"/>
  <c r="M17" i="67"/>
  <c r="C10" i="67"/>
  <c r="C5" i="67" s="1"/>
  <c r="C38" i="67" s="1"/>
  <c r="C31" i="67"/>
  <c r="F69" i="39"/>
  <c r="G67" i="39"/>
  <c r="E43" i="35"/>
  <c r="F43" i="35" s="1"/>
  <c r="E42" i="35"/>
  <c r="F42" i="35" s="1"/>
  <c r="R49" i="21"/>
  <c r="E48" i="21"/>
  <c r="I43" i="35"/>
  <c r="J43" i="35" s="1"/>
  <c r="C38" i="35"/>
  <c r="C39" i="35"/>
  <c r="M3" i="35" s="1"/>
  <c r="I53" i="21"/>
  <c r="J53" i="21" s="1"/>
  <c r="I52" i="21"/>
  <c r="J52" i="21" s="1"/>
  <c r="C30" i="43"/>
  <c r="E47" i="37"/>
  <c r="F47" i="37" s="1"/>
  <c r="E46" i="37"/>
  <c r="F46" i="37" s="1"/>
  <c r="F65" i="40"/>
  <c r="G63" i="40"/>
  <c r="E53" i="33"/>
  <c r="F53" i="33" s="1"/>
  <c r="E52" i="33"/>
  <c r="F52" i="33" s="1"/>
  <c r="E41" i="36"/>
  <c r="F41" i="36" s="1"/>
  <c r="E40" i="36"/>
  <c r="F40" i="36" s="1"/>
  <c r="C31" i="43"/>
  <c r="G53" i="21"/>
  <c r="H53" i="21" s="1"/>
  <c r="C43" i="37"/>
  <c r="C42" i="37"/>
  <c r="C49" i="33"/>
  <c r="C48" i="33"/>
  <c r="C37" i="36"/>
  <c r="C36" i="36"/>
  <c r="E6" i="76"/>
  <c r="C17" i="67"/>
  <c r="C14" i="67"/>
  <c r="C32" i="12" l="1"/>
  <c r="B2" i="12" s="1"/>
  <c r="B3" i="12" s="1"/>
  <c r="C30" i="12"/>
  <c r="C28" i="12" s="1"/>
  <c r="C13" i="15"/>
  <c r="C75" i="15" s="1"/>
  <c r="J59" i="15"/>
  <c r="J60" i="15" s="1"/>
  <c r="Q48" i="15" s="1"/>
  <c r="C36" i="15"/>
  <c r="Q49" i="15"/>
  <c r="J14" i="15"/>
  <c r="J22" i="15" s="1"/>
  <c r="G53" i="34"/>
  <c r="H53" i="34" s="1"/>
  <c r="G54" i="34"/>
  <c r="H54" i="34" s="1"/>
  <c r="E49" i="34"/>
  <c r="R50" i="34"/>
  <c r="C22" i="11"/>
  <c r="P37" i="43"/>
  <c r="Q37" i="43"/>
  <c r="O37" i="43"/>
  <c r="N37" i="43"/>
  <c r="M37" i="43"/>
  <c r="C18" i="67"/>
  <c r="C15" i="67"/>
  <c r="J19" i="67"/>
  <c r="J18" i="67"/>
  <c r="J5" i="67"/>
  <c r="J17" i="67"/>
  <c r="C20" i="68"/>
  <c r="C25" i="68" s="1"/>
  <c r="C24" i="68"/>
  <c r="S10" i="40"/>
  <c r="AA10" i="40"/>
  <c r="U10" i="40"/>
  <c r="AB10" i="40"/>
  <c r="W10" i="39"/>
  <c r="AC10" i="39"/>
  <c r="C33" i="69"/>
  <c r="M27" i="6"/>
  <c r="I19" i="6"/>
  <c r="C29" i="68"/>
  <c r="D27" i="68" s="1"/>
  <c r="F45" i="68"/>
  <c r="C47" i="68"/>
  <c r="D45" i="68" s="1"/>
  <c r="L16" i="1"/>
  <c r="C34" i="68"/>
  <c r="C34" i="11"/>
  <c r="AC10" i="40"/>
  <c r="W10" i="40"/>
  <c r="S10" i="39"/>
  <c r="AA10" i="39"/>
  <c r="U10" i="39"/>
  <c r="AB10" i="39"/>
  <c r="C48" i="67"/>
  <c r="C66" i="67" s="1"/>
  <c r="C59" i="67"/>
  <c r="C24" i="69"/>
  <c r="C22" i="69" s="1"/>
  <c r="C28" i="69"/>
  <c r="C27" i="69" s="1"/>
  <c r="S16" i="1"/>
  <c r="AQ6" i="1"/>
  <c r="T6" i="1"/>
  <c r="T16" i="1" s="1"/>
  <c r="AR6" i="1"/>
  <c r="E6" i="70"/>
  <c r="E2" i="70" s="1"/>
  <c r="F45" i="69"/>
  <c r="C47" i="69"/>
  <c r="D45" i="69" s="1"/>
  <c r="C29" i="69"/>
  <c r="D27" i="69" s="1"/>
  <c r="C29" i="11"/>
  <c r="D27" i="11" s="1"/>
  <c r="C47" i="11"/>
  <c r="D45" i="11" s="1"/>
  <c r="C28" i="11"/>
  <c r="C27" i="11" s="1"/>
  <c r="F50" i="69"/>
  <c r="F50" i="11"/>
  <c r="F50" i="68"/>
  <c r="E2" i="76"/>
  <c r="G65" i="40"/>
  <c r="H63" i="40"/>
  <c r="B2" i="43"/>
  <c r="C48" i="21"/>
  <c r="C49" i="21"/>
  <c r="E53" i="21"/>
  <c r="F53" i="21" s="1"/>
  <c r="E52" i="21"/>
  <c r="F52" i="21" s="1"/>
  <c r="G69" i="39"/>
  <c r="H67" i="39"/>
  <c r="J13" i="15"/>
  <c r="J23" i="15" s="1"/>
  <c r="L46" i="15"/>
  <c r="C37" i="15"/>
  <c r="B6" i="76"/>
  <c r="Q70" i="15" l="1"/>
  <c r="C56" i="15"/>
  <c r="C65" i="15" s="1"/>
  <c r="C58" i="15" s="1"/>
  <c r="C67" i="15" s="1"/>
  <c r="C68" i="15" s="1"/>
  <c r="C71" i="15" s="1"/>
  <c r="C30" i="15"/>
  <c r="C39" i="15" s="1"/>
  <c r="C80" i="15" s="1"/>
  <c r="C79" i="15" s="1"/>
  <c r="C49" i="34"/>
  <c r="C50" i="34"/>
  <c r="E53" i="34"/>
  <c r="F53" i="34" s="1"/>
  <c r="E54" i="34"/>
  <c r="F54" i="34" s="1"/>
  <c r="I54" i="34"/>
  <c r="J54" i="34" s="1"/>
  <c r="C31" i="11"/>
  <c r="C19" i="67"/>
  <c r="C20" i="67" s="1"/>
  <c r="C26" i="67" s="1"/>
  <c r="C31" i="69"/>
  <c r="C22" i="68"/>
  <c r="C35" i="68"/>
  <c r="C38" i="68"/>
  <c r="C35" i="11"/>
  <c r="C38" i="11"/>
  <c r="I27" i="6"/>
  <c r="H19" i="6"/>
  <c r="S19" i="6"/>
  <c r="S27" i="6" s="1"/>
  <c r="C39" i="69"/>
  <c r="C43" i="69" s="1"/>
  <c r="C42" i="69"/>
  <c r="C28" i="68"/>
  <c r="C27" i="68" s="1"/>
  <c r="J24" i="67"/>
  <c r="J26" i="67"/>
  <c r="J29" i="67" s="1"/>
  <c r="B2" i="76"/>
  <c r="B3" i="76" s="1"/>
  <c r="H69" i="39"/>
  <c r="I67" i="39"/>
  <c r="B3" i="43"/>
  <c r="H65" i="40"/>
  <c r="I63" i="40"/>
  <c r="J16" i="15"/>
  <c r="J25" i="15" s="1"/>
  <c r="L51" i="15"/>
  <c r="C40" i="15" l="1"/>
  <c r="Q47" i="15" s="1"/>
  <c r="Q53" i="15" s="1"/>
  <c r="Q69" i="15"/>
  <c r="Q68" i="15" s="1"/>
  <c r="C46" i="69"/>
  <c r="C45" i="69" s="1"/>
  <c r="B2" i="34"/>
  <c r="B3" i="34"/>
  <c r="C33" i="11"/>
  <c r="C42" i="11" s="1"/>
  <c r="C23" i="67"/>
  <c r="C29" i="67" s="1"/>
  <c r="J14" i="67" s="1"/>
  <c r="C31" i="68"/>
  <c r="C33" i="68"/>
  <c r="C42" i="68" s="1"/>
  <c r="C41" i="69"/>
  <c r="H27" i="6"/>
  <c r="R19" i="6"/>
  <c r="I69" i="39"/>
  <c r="J67" i="39"/>
  <c r="I65" i="40"/>
  <c r="J63" i="40"/>
  <c r="Q67" i="15"/>
  <c r="L57" i="15"/>
  <c r="L60" i="15" s="1"/>
  <c r="Q65" i="15"/>
  <c r="C19" i="9"/>
  <c r="C20" i="9"/>
  <c r="C43" i="15" l="1"/>
  <c r="C46" i="15"/>
  <c r="B2" i="15"/>
  <c r="B3" i="15" s="1"/>
  <c r="C83" i="15"/>
  <c r="C82" i="15" s="1"/>
  <c r="Q56" i="15"/>
  <c r="C39" i="11"/>
  <c r="C43" i="11" s="1"/>
  <c r="C41" i="11" s="1"/>
  <c r="Q49" i="67"/>
  <c r="C49" i="69"/>
  <c r="C51" i="69" s="1"/>
  <c r="C52" i="69" s="1"/>
  <c r="B2" i="69" s="1"/>
  <c r="B3" i="69" s="1"/>
  <c r="C103" i="9"/>
  <c r="C102" i="9"/>
  <c r="C21" i="9"/>
  <c r="C39" i="68"/>
  <c r="C43" i="68" s="1"/>
  <c r="C41" i="68" s="1"/>
  <c r="C36" i="67"/>
  <c r="C57" i="67"/>
  <c r="C64" i="67" s="1"/>
  <c r="J59" i="67"/>
  <c r="J60" i="67" s="1"/>
  <c r="L46" i="67" s="1"/>
  <c r="C13" i="67"/>
  <c r="C75" i="67" s="1"/>
  <c r="J22" i="67"/>
  <c r="J13" i="67"/>
  <c r="J23" i="67" s="1"/>
  <c r="C46" i="11"/>
  <c r="C45" i="11" s="1"/>
  <c r="R27" i="6"/>
  <c r="R6" i="1"/>
  <c r="J65" i="40"/>
  <c r="K63" i="40"/>
  <c r="J69" i="39"/>
  <c r="K67" i="39"/>
  <c r="Q66" i="15"/>
  <c r="Q75" i="15" s="1"/>
  <c r="Q57" i="15"/>
  <c r="Q62" i="15" s="1"/>
  <c r="F35" i="67"/>
  <c r="M21" i="67"/>
  <c r="C46" i="68" l="1"/>
  <c r="C45" i="68" s="1"/>
  <c r="C49" i="68" s="1"/>
  <c r="C51" i="68" s="1"/>
  <c r="C52" i="68" s="1"/>
  <c r="B2" i="68" s="1"/>
  <c r="B3" i="68" s="1"/>
  <c r="C57" i="69"/>
  <c r="C56" i="69" s="1"/>
  <c r="C37" i="67"/>
  <c r="C30" i="67" s="1"/>
  <c r="C39" i="67" s="1"/>
  <c r="C80" i="67" s="1"/>
  <c r="C79" i="67" s="1"/>
  <c r="Q70" i="67"/>
  <c r="Q48" i="67"/>
  <c r="C56" i="67"/>
  <c r="C65" i="67" s="1"/>
  <c r="C58" i="67" s="1"/>
  <c r="C67" i="67" s="1"/>
  <c r="C68" i="67" s="1"/>
  <c r="C71" i="67" s="1"/>
  <c r="C49" i="11"/>
  <c r="C51" i="11" s="1"/>
  <c r="C52" i="11" s="1"/>
  <c r="B2" i="11" s="1"/>
  <c r="B3" i="11" s="1"/>
  <c r="J20" i="67"/>
  <c r="F63" i="67"/>
  <c r="C62" i="67" s="1"/>
  <c r="R16" i="1"/>
  <c r="J16" i="67"/>
  <c r="J25" i="67" s="1"/>
  <c r="K69" i="39"/>
  <c r="L67" i="39"/>
  <c r="K65" i="40"/>
  <c r="L63" i="40"/>
  <c r="C40" i="67" l="1"/>
  <c r="Q56" i="67" s="1"/>
  <c r="Q62" i="67" s="1"/>
  <c r="Q69" i="67"/>
  <c r="Q68" i="67" s="1"/>
  <c r="C56" i="11"/>
  <c r="C57" i="11" s="1"/>
  <c r="C57" i="68"/>
  <c r="C56" i="68" s="1"/>
  <c r="L65" i="40"/>
  <c r="M63" i="40"/>
  <c r="L69" i="39"/>
  <c r="M67" i="39"/>
  <c r="L51" i="67"/>
  <c r="C45" i="67" l="1"/>
  <c r="C46" i="67" s="1"/>
  <c r="Q47" i="67"/>
  <c r="Q53" i="67" s="1"/>
  <c r="C83" i="67"/>
  <c r="C82" i="67" s="1"/>
  <c r="C43" i="67"/>
  <c r="D2" i="67"/>
  <c r="B2" i="67" s="1"/>
  <c r="Q65" i="67"/>
  <c r="Q75" i="67" s="1"/>
  <c r="Q67" i="67"/>
  <c r="M69" i="39"/>
  <c r="N67" i="39"/>
  <c r="M65" i="40"/>
  <c r="N63" i="40"/>
  <c r="AO6" i="1"/>
  <c r="D19" i="9"/>
  <c r="B3" i="67" l="1"/>
  <c r="D102" i="9"/>
  <c r="G19" i="9"/>
  <c r="D21" i="9"/>
  <c r="D22" i="9"/>
  <c r="B6" i="70"/>
  <c r="B2" i="70" s="1"/>
  <c r="B3" i="70" s="1"/>
  <c r="N65" i="40"/>
  <c r="O63" i="40"/>
  <c r="O65" i="40" s="1"/>
  <c r="N69" i="39"/>
  <c r="O67" i="39"/>
  <c r="O69" i="39" s="1"/>
  <c r="D35" i="9"/>
  <c r="D20" i="9"/>
  <c r="D34" i="9"/>
  <c r="D103" i="9" l="1"/>
  <c r="G20" i="9"/>
  <c r="R24" i="31" s="1"/>
  <c r="T24" i="31" s="1"/>
  <c r="G21" i="9"/>
  <c r="J7" i="39"/>
  <c r="H7" i="39"/>
  <c r="F7" i="39"/>
  <c r="F7" i="40"/>
  <c r="H7" i="40"/>
  <c r="J7" i="40"/>
  <c r="C32" i="9" l="1"/>
  <c r="R25" i="31"/>
  <c r="T25" i="31" s="1"/>
  <c r="R26" i="31"/>
  <c r="T26" i="31" s="1"/>
  <c r="S24" i="31"/>
  <c r="C35" i="9"/>
  <c r="AC7" i="40"/>
  <c r="V42" i="40" s="1"/>
  <c r="I42" i="40" s="1"/>
  <c r="W7" i="40"/>
  <c r="AA7" i="40"/>
  <c r="R42" i="40" s="1"/>
  <c r="S7" i="40"/>
  <c r="AB7" i="39"/>
  <c r="T47" i="39" s="1"/>
  <c r="G47" i="39" s="1"/>
  <c r="U7" i="39"/>
  <c r="U7" i="40"/>
  <c r="AB7" i="40"/>
  <c r="T42" i="40" s="1"/>
  <c r="G42" i="40" s="1"/>
  <c r="S7" i="39"/>
  <c r="AA7" i="39"/>
  <c r="R47" i="39" s="1"/>
  <c r="W7" i="39"/>
  <c r="AC7" i="39"/>
  <c r="V47" i="39" s="1"/>
  <c r="I47" i="39" s="1"/>
  <c r="S25" i="31" l="1"/>
  <c r="S26" i="31"/>
  <c r="T22" i="31"/>
  <c r="C34" i="9"/>
  <c r="I51" i="39"/>
  <c r="J51" i="39" s="1"/>
  <c r="R48" i="39"/>
  <c r="E47" i="39"/>
  <c r="G47" i="40"/>
  <c r="H47" i="40" s="1"/>
  <c r="G46" i="40"/>
  <c r="H46" i="40" s="1"/>
  <c r="G52" i="39"/>
  <c r="H52" i="39" s="1"/>
  <c r="G51" i="39"/>
  <c r="H51" i="39" s="1"/>
  <c r="R43" i="40"/>
  <c r="E42" i="40"/>
  <c r="I46" i="40"/>
  <c r="J46" i="40" s="1"/>
  <c r="I47" i="40"/>
  <c r="J47" i="40" s="1"/>
  <c r="S22" i="31" l="1"/>
  <c r="B20" i="31" s="1"/>
  <c r="B21" i="31" s="1"/>
  <c r="E46" i="40"/>
  <c r="F46" i="40" s="1"/>
  <c r="E47" i="40"/>
  <c r="F47" i="40" s="1"/>
  <c r="E52" i="39"/>
  <c r="F52" i="39" s="1"/>
  <c r="E51" i="39"/>
  <c r="F51" i="39" s="1"/>
  <c r="C43" i="40"/>
  <c r="C42" i="40"/>
  <c r="C48" i="39"/>
  <c r="C47" i="39"/>
  <c r="I52" i="39"/>
  <c r="J52" i="39" s="1"/>
  <c r="R22" i="31" l="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B54" i="40"/>
  <c r="F54" i="40" s="1"/>
  <c r="B52" i="40"/>
  <c r="F52" i="40" s="1"/>
  <c r="F61" i="40"/>
  <c r="B2" i="40" s="1"/>
  <c r="B3" i="40" s="1"/>
  <c r="I118" i="9" l="1"/>
  <c r="H102" i="9" l="1"/>
  <c r="D7" i="53" s="1"/>
  <c r="B21" i="72" s="1"/>
  <c r="H118" i="9"/>
  <c r="C105" i="9"/>
  <c r="C112" i="9" s="1"/>
  <c r="I4" i="52"/>
  <c r="H101" i="9" l="1"/>
  <c r="H4" i="52"/>
  <c r="C104" i="9"/>
  <c r="H119" i="9"/>
  <c r="H5" i="52" s="1"/>
  <c r="D14" i="74"/>
  <c r="F14" i="74" l="1"/>
  <c r="G14" i="74"/>
  <c r="B6" i="74" s="1"/>
  <c r="B5" i="74"/>
  <c r="E14" i="74"/>
  <c r="H107" i="9"/>
  <c r="M48" i="9"/>
  <c r="D45" i="9"/>
  <c r="D5" i="53"/>
  <c r="D55" i="9" l="1"/>
  <c r="M53" i="9" s="1"/>
  <c r="C72" i="9"/>
  <c r="C93" i="9"/>
  <c r="C86" i="9" s="1"/>
  <c r="C78" i="9"/>
  <c r="C73" i="9" s="1"/>
  <c r="C85" i="9"/>
  <c r="C95" i="9" s="1"/>
  <c r="C96" i="9" s="1"/>
  <c r="E96" i="9" s="1"/>
  <c r="E97" i="9" s="1"/>
  <c r="D53" i="9"/>
  <c r="C64" i="9"/>
  <c r="C63" i="9" s="1"/>
  <c r="C67" i="9" s="1"/>
  <c r="D52" i="9"/>
  <c r="D6" i="53"/>
  <c r="B22" i="72" s="1"/>
  <c r="B20" i="72"/>
  <c r="D6" i="74"/>
  <c r="M49" i="9"/>
  <c r="D13" i="53"/>
  <c r="D122" i="9"/>
  <c r="H108" i="9"/>
  <c r="D15" i="53" s="1"/>
  <c r="B31" i="72" s="1"/>
  <c r="C5" i="74"/>
  <c r="D5" i="74"/>
  <c r="C97" i="9" l="1"/>
  <c r="D58" i="9" s="1"/>
  <c r="D56" i="9" s="1"/>
  <c r="M54" i="9" s="1"/>
  <c r="D123" i="9"/>
  <c r="D9" i="52" s="1"/>
  <c r="D8" i="52"/>
  <c r="L64" i="9"/>
  <c r="M64" i="9" s="1"/>
  <c r="L66" i="9"/>
  <c r="M66" i="9" s="1"/>
  <c r="L68" i="9"/>
  <c r="M68" i="9" s="1"/>
  <c r="L63" i="9"/>
  <c r="M63" i="9" s="1"/>
  <c r="L65" i="9"/>
  <c r="M65" i="9" s="1"/>
  <c r="L67" i="9"/>
  <c r="M67" i="9" s="1"/>
  <c r="B30" i="72"/>
  <c r="D14" i="53"/>
  <c r="B32" i="72" s="1"/>
  <c r="C6" i="74"/>
  <c r="C79" i="9"/>
  <c r="D59" i="9"/>
  <c r="M55" i="9" s="1"/>
  <c r="C68" i="9"/>
  <c r="D54" i="9" s="1"/>
  <c r="N57" i="9" l="1"/>
  <c r="N58" i="9" s="1"/>
  <c r="C80" i="9"/>
  <c r="E80" i="9" s="1"/>
  <c r="E81" i="9" s="1"/>
  <c r="M69" i="9"/>
  <c r="N69" i="9" s="1"/>
  <c r="N59" i="9" l="1"/>
  <c r="P57" i="9"/>
  <c r="C81" i="9"/>
  <c r="G118" i="9"/>
  <c r="E118" i="9" s="1"/>
  <c r="N60" i="9" l="1"/>
  <c r="N61" i="9"/>
  <c r="F118" i="9"/>
  <c r="F119" i="9" s="1"/>
  <c r="F5" i="52" s="1"/>
  <c r="B53" i="72" s="1"/>
  <c r="D118" i="9"/>
  <c r="E4" i="52"/>
  <c r="B48" i="72" s="1"/>
  <c r="G4" i="52"/>
  <c r="B52" i="72" s="1"/>
  <c r="F4" i="52" l="1"/>
  <c r="B51" i="72" s="1"/>
  <c r="D119" i="9"/>
  <c r="D5" i="52" s="1"/>
  <c r="B49" i="72" s="1"/>
  <c r="D4" i="52"/>
  <c r="B47"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<sst xmlns="http://schemas.openxmlformats.org/spreadsheetml/2006/main" count="7878" uniqueCount="2760">
  <si>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</si>
  <si>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</si>
  <si>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</si>
  <si>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</si>
  <si>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</si>
  <si>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</si>
  <si>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</si>
  <si>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</si>
  <si>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</si>
  <si>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</si>
  <si>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</si>
  <si>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</si>
  <si>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</si>
  <si>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</si>
  <si>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</si>
  <si>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</si>
  <si>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</si>
  <si>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</si>
  <si>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</si>
  <si>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</si>
  <si>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</si>
  <si>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</si>
  <si>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</si>
  <si>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</si>
  <si>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</si>
  <si>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</si>
  <si>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</si>
  <si>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</si>
  <si>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</si>
  <si>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</si>
  <si>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</si>
  <si>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</si>
  <si>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</si>
  <si>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</si>
  <si>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</si>
  <si>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</si>
  <si>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</si>
  <si>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</si>
  <si>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</si>
  <si>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</si>
  <si>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</si>
  <si>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</si>
  <si>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</si>
  <si>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</si>
  <si>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</si>
  <si>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</si>
  <si>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</si>
  <si>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</si>
  <si>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</si>
  <si>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</si>
  <si>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</si>
  <si>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</si>
  <si>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</si>
  <si>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</si>
  <si>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</si>
  <si>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</si>
  <si>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</si>
  <si>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</si>
  <si>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</si>
  <si>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</si>
  <si>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</si>
  <si>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</si>
  <si>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</si>
  <si>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</si>
  <si>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</si>
  <si>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</si>
  <si>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</si>
  <si>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</si>
  <si>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</si>
  <si>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</si>
  <si>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</si>
  <si>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</si>
  <si>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</si>
  <si>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</si>
  <si>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</si>
  <si>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</si>
  <si>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</si>
  <si>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</si>
  <si>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</si>
  <si>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</si>
  <si>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</si>
  <si>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</si>
  <si>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</si>
  <si>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</si>
  <si>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</si>
  <si>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</si>
  <si>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</si>
  <si>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</si>
  <si>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</si>
  <si>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</si>
  <si>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</si>
  <si>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</si>
  <si>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</si>
  <si>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</si>
  <si>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</si>
  <si>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</si>
  <si>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</si>
  <si>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</si>
  <si>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</si>
  <si>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</si>
  <si>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</si>
  <si>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</si>
  <si>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</si>
  <si>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</si>
  <si>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</si>
  <si>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</si>
  <si>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</si>
  <si>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</si>
  <si>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</si>
  <si>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</si>
  <si>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</si>
  <si>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</si>
  <si>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</si>
  <si>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</si>
  <si>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</si>
  <si>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</si>
  <si>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</si>
  <si>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</si>
  <si>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</si>
  <si>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</si>
  <si>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</si>
  <si>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</si>
  <si>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</si>
  <si>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</si>
  <si>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</si>
  <si>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</si>
  <si>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</si>
  <si>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</si>
  <si>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</si>
  <si>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</si>
  <si>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</si>
  <si>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</si>
  <si>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</si>
  <si>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</si>
  <si>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</si>
  <si>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</si>
  <si>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</si>
  <si>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</si>
  <si>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</si>
  <si>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</si>
  <si>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</si>
  <si>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</si>
  <si>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</si>
  <si>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</si>
  <si>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</si>
  <si>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</si>
  <si>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</si>
  <si>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</si>
  <si>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</si>
  <si>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</si>
  <si>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</si>
  <si>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</si>
  <si>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</si>
  <si>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</si>
  <si>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</si>
  <si>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</si>
  <si>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</si>
  <si>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</si>
  <si>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</si>
  <si>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</si>
  <si>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</si>
  <si>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</si>
  <si>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</si>
  <si>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</si>
  <si>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</si>
  <si>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</si>
  <si>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</si>
  <si>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</si>
  <si>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</si>
  <si>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</si>
  <si>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</si>
  <si>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</si>
  <si>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</si>
  <si>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</si>
  <si>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</si>
  <si>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</si>
  <si>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</si>
  <si>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</si>
  <si>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</si>
  <si>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</si>
  <si>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</si>
  <si>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</si>
  <si>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</si>
  <si>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</si>
  <si>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</si>
  <si>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</si>
  <si>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</si>
  <si>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</si>
  <si>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</si>
  <si>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</si>
  <si>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</si>
  <si>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</si>
  <si>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</si>
  <si>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</si>
  <si>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</si>
  <si>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</si>
  <si>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</si>
  <si>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</si>
  <si>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</si>
  <si>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</si>
  <si>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</si>
  <si>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</si>
  <si>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</si>
  <si>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</si>
  <si>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</si>
  <si>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</si>
  <si>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</si>
  <si>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</si>
  <si>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</si>
  <si>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</si>
  <si>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</si>
  <si>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</si>
  <si>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</si>
  <si>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</si>
  <si>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</si>
  <si>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</si>
  <si>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</si>
  <si>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</si>
  <si>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</si>
  <si>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</si>
  <si>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</si>
  <si>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</si>
  <si>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</si>
  <si>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</si>
  <si>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</si>
  <si>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</si>
  <si>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</si>
  <si>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</si>
  <si>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</si>
  <si>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</si>
  <si>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</si>
  <si>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</si>
  <si>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</si>
  <si>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</si>
  <si>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</si>
  <si>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</si>
  <si>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</si>
  <si>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</si>
  <si>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</si>
  <si>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</si>
  <si>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</si>
  <si>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</si>
  <si>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</si>
  <si>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</si>
  <si>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</si>
  <si>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</si>
  <si>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</si>
  <si>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</si>
  <si>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</si>
  <si>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</si>
  <si>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</si>
  <si>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</si>
  <si>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</si>
  <si>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</si>
  <si>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</si>
  <si>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</si>
  <si>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</si>
  <si>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</si>
  <si>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</si>
  <si>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</si>
  <si>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</si>
  <si>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</si>
  <si>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</si>
  <si>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</si>
  <si>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</si>
  <si>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</si>
  <si>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</si>
  <si>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</si>
  <si>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</si>
  <si>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</si>
  <si>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</si>
  <si>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</si>
  <si>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</si>
  <si>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</si>
  <si>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</si>
  <si>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</si>
  <si>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</si>
  <si>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</si>
  <si>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</si>
  <si>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</si>
  <si>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</si>
  <si>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</si>
  <si>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</si>
  <si>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</si>
  <si>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</si>
  <si>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</si>
  <si>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</si>
  <si>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</si>
  <si>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</si>
  <si>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</si>
  <si>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</si>
  <si>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</si>
  <si>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</si>
  <si>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</si>
  <si>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</si>
  <si>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</si>
  <si>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</si>
  <si>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</si>
  <si>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</si>
  <si>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</si>
  <si>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</si>
  <si>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</si>
  <si>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</si>
  <si>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</si>
  <si>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</si>
  <si>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</si>
  <si>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</si>
  <si>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</si>
  <si>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</si>
  <si>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</si>
  <si>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</si>
  <si>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</si>
  <si>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</si>
  <si>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</si>
  <si>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</si>
  <si>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</si>
  <si>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</si>
  <si>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</si>
  <si>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</si>
  <si>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</si>
  <si>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</si>
  <si>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</si>
  <si>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</si>
  <si>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</si>
  <si>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</si>
  <si>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</si>
  <si>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</si>
  <si>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</si>
  <si>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</si>
  <si>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</si>
  <si>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</si>
  <si>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</si>
  <si>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</si>
  <si>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</si>
  <si>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</si>
  <si>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</si>
  <si>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</si>
  <si>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</si>
  <si>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</si>
  <si>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</si>
  <si>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</si>
  <si>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</si>
  <si>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</si>
  <si>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</si>
  <si>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</si>
  <si>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</si>
  <si>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</si>
  <si>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</si>
  <si>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</si>
  <si>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</si>
  <si>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</si>
  <si>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</si>
  <si>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</si>
  <si>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</si>
  <si>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</si>
  <si>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</si>
  <si>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</si>
  <si>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</si>
  <si>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</si>
  <si>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</si>
  <si>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</si>
  <si>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</si>
  <si>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</si>
  <si>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</si>
  <si>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</si>
  <si>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</si>
  <si>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</si>
  <si>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</si>
  <si>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</si>
  <si>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</si>
  <si>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</si>
  <si>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</si>
  <si>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</si>
  <si>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</si>
  <si>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</si>
  <si>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</si>
  <si>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</si>
  <si>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</si>
  <si>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</si>
  <si>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</si>
  <si>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</si>
  <si>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</si>
  <si>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</si>
  <si>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</si>
  <si>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</si>
  <si>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</si>
  <si>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</si>
  <si>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</si>
  <si>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</si>
  <si>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</si>
  <si>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</si>
  <si>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</si>
  <si>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</si>
  <si>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</si>
  <si>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</si>
  <si>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</si>
  <si>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</si>
  <si>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</si>
  <si>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</si>
  <si>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</si>
  <si>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</si>
  <si>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</si>
  <si>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</si>
  <si>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</si>
  <si>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</si>
  <si>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</si>
  <si>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</si>
  <si>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</si>
  <si>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</si>
  <si>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</si>
  <si>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</si>
  <si>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</si>
  <si>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</si>
  <si>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</si>
  <si>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</si>
  <si>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</si>
  <si>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</si>
  <si>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</si>
  <si>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</si>
  <si>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</si>
  <si>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</si>
  <si>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</si>
  <si>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</si>
  <si>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</si>
  <si>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</si>
  <si>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</si>
  <si>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</si>
  <si>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</si>
  <si>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</si>
  <si>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</si>
  <si>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</si>
  <si>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</si>
  <si>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</si>
  <si>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</si>
  <si>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</si>
  <si>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</si>
  <si>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</si>
  <si>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</si>
  <si>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</si>
  <si>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</si>
  <si>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</si>
  <si>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</si>
  <si>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</si>
  <si>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</si>
  <si>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</si>
  <si>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</si>
  <si>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</si>
  <si>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</si>
  <si>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</si>
  <si>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</si>
  <si>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</si>
  <si>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</si>
  <si>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</si>
  <si>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</si>
  <si>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</si>
  <si>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</si>
  <si>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</si>
  <si>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</si>
  <si>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</si>
  <si>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</si>
  <si>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</si>
  <si>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</si>
  <si>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</si>
  <si>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</si>
  <si>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</si>
  <si>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</si>
  <si>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</si>
  <si>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</si>
  <si>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</si>
  <si>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</si>
  <si>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</si>
  <si>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</si>
  <si>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</si>
  <si>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</si>
  <si>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</si>
  <si>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</si>
  <si>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</si>
  <si>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</si>
  <si>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</si>
  <si>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</si>
  <si>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</si>
  <si>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</si>
  <si>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</si>
  <si>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</si>
  <si>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</si>
  <si>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</si>
  <si>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</si>
  <si>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</si>
  <si>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</si>
  <si>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</si>
  <si>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</si>
  <si>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</si>
  <si>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</si>
  <si>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</si>
  <si>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</si>
  <si>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</si>
  <si>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</si>
  <si>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</si>
  <si>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</si>
  <si>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</si>
  <si>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</si>
  <si>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</si>
  <si>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</si>
  <si>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</si>
  <si>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</si>
  <si>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</si>
  <si>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</si>
  <si>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</si>
  <si>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</si>
  <si>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</si>
  <si>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</si>
  <si>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</si>
  <si>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</si>
  <si>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</si>
  <si>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</si>
  <si>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</si>
  <si>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</si>
  <si>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</si>
  <si>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</si>
  <si>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</si>
  <si>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</si>
  <si>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</si>
  <si>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</si>
  <si>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</si>
  <si>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</si>
  <si>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</si>
  <si>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</si>
  <si>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</si>
  <si>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</si>
  <si>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</si>
  <si>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</si>
  <si>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</si>
  <si>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</si>
  <si>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</si>
  <si>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</si>
  <si>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</si>
  <si>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</si>
  <si>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</si>
  <si>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</si>
  <si>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</si>
  <si>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</si>
  <si>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</si>
  <si>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</si>
  <si>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</si>
  <si>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</si>
  <si>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</si>
  <si>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</si>
  <si>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</si>
  <si>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</si>
  <si>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</si>
  <si>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</si>
  <si>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</si>
  <si>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</si>
  <si>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</si>
  <si>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</si>
  <si>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</si>
  <si>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</si>
  <si>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</si>
  <si>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</si>
  <si>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</si>
  <si>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</si>
  <si>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</si>
  <si>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</si>
  <si>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</si>
  <si>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</si>
  <si>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</si>
  <si>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</si>
  <si>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</si>
  <si>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</si>
  <si>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</si>
  <si>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</si>
  <si>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</si>
  <si>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</si>
  <si>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</si>
  <si>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</si>
  <si>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</si>
  <si>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</si>
  <si>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</si>
  <si>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</si>
  <si>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</si>
  <si>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</si>
  <si>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</si>
  <si>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</si>
  <si>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</si>
  <si>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</si>
  <si>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</si>
  <si>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</si>
  <si>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</si>
  <si>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</si>
  <si>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</si>
  <si>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</si>
  <si>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</si>
  <si>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</si>
  <si>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</si>
  <si>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</si>
  <si>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</si>
  <si>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</si>
  <si>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</si>
  <si>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</si>
  <si>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</si>
  <si>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</si>
  <si>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</si>
  <si>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</si>
  <si>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</si>
  <si>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</si>
  <si>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</si>
  <si>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</si>
  <si>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</si>
  <si>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</si>
  <si>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</si>
  <si>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</si>
  <si>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</si>
  <si>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</si>
  <si>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</si>
  <si>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</si>
  <si>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</si>
  <si>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</si>
  <si>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</si>
  <si>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</si>
  <si>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</si>
  <si>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</si>
  <si>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</si>
  <si>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</si>
  <si>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</si>
  <si>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</si>
  <si>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</si>
  <si>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</si>
  <si>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</si>
  <si>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</si>
  <si>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</si>
  <si>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</si>
  <si>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</si>
  <si>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</si>
  <si>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</si>
  <si>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</si>
  <si>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</si>
  <si>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</si>
  <si>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</si>
  <si>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</si>
  <si>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</si>
  <si>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</si>
  <si>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</si>
  <si>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</si>
  <si>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</si>
  <si>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</si>
  <si>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</si>
  <si>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</si>
  <si>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</si>
  <si>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</si>
  <si>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</si>
  <si>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</si>
  <si>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</si>
  <si>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</si>
  <si>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</si>
  <si>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</si>
  <si>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</si>
  <si>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</si>
  <si>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</si>
  <si>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</si>
  <si>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</si>
  <si>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</si>
  <si>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</si>
  <si>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</si>
  <si>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</si>
  <si>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</si>
  <si>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</si>
  <si>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</si>
  <si>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</si>
  <si>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</si>
  <si>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</si>
  <si>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</si>
  <si>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</si>
  <si>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</si>
  <si>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</si>
  <si>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</si>
  <si>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</si>
  <si>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</si>
  <si>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</si>
  <si>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</si>
  <si>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</si>
  <si>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</si>
  <si>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</si>
  <si>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</si>
  <si>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</si>
  <si>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</si>
  <si>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</si>
  <si>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</si>
  <si>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</si>
  <si>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</si>
  <si>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</si>
  <si>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</si>
  <si>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</si>
  <si>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</si>
  <si>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</si>
  <si>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</si>
  <si>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</si>
  <si>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</si>
  <si>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</si>
  <si>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</si>
  <si>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</si>
  <si>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</si>
  <si>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</si>
  <si>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</si>
  <si>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</si>
  <si>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</si>
  <si>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</si>
  <si>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</si>
  <si>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</si>
  <si>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</si>
  <si>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</si>
  <si>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</si>
  <si>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</si>
  <si>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</si>
  <si>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</si>
  <si>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</si>
  <si>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</si>
  <si>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</si>
  <si>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</si>
  <si>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</si>
  <si>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</si>
  <si>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</si>
  <si>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</si>
  <si>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</si>
  <si>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</si>
  <si>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</si>
  <si>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</si>
  <si>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</si>
  <si>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</si>
  <si>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</si>
  <si>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</si>
  <si>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</si>
  <si>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</si>
  <si>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</si>
  <si>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</si>
  <si>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</si>
  <si>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</si>
  <si>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</si>
  <si>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</si>
  <si>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</si>
  <si>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</si>
  <si>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</si>
  <si>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</si>
  <si>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</si>
  <si>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</si>
  <si>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</si>
  <si>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</si>
  <si>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</si>
  <si>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</si>
  <si>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</si>
  <si>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</si>
  <si>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</si>
  <si>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</si>
  <si>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</si>
  <si>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</si>
  <si>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</si>
  <si>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</si>
  <si>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</si>
  <si>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</si>
  <si>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</si>
  <si>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</si>
  <si>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</si>
  <si>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</si>
  <si>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</si>
  <si>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</si>
  <si>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</si>
  <si>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</si>
  <si>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</si>
  <si>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</si>
  <si>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</si>
  <si>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</si>
  <si>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</si>
  <si>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</si>
  <si>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</si>
  <si>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</si>
  <si>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</si>
  <si>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</si>
  <si>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</si>
  <si>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</si>
  <si>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</si>
  <si>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</si>
  <si>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</si>
  <si>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</si>
  <si>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</si>
  <si>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</si>
  <si>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</si>
  <si>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</si>
  <si>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</si>
  <si>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</si>
  <si>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</si>
  <si>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</si>
  <si>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</si>
  <si>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</si>
  <si>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</si>
  <si>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</si>
  <si>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</si>
  <si>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</si>
  <si>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</si>
  <si>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</si>
  <si>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</si>
  <si>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</si>
  <si>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</si>
  <si>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</si>
  <si>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</si>
  <si>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</si>
  <si>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</si>
  <si>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</si>
  <si>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</si>
  <si>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</si>
  <si>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</si>
  <si>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</si>
  <si>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</si>
  <si>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</si>
  <si>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</si>
  <si>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</si>
  <si>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</si>
  <si>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</si>
  <si>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</si>
  <si>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</si>
  <si>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</si>
  <si>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</si>
  <si>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</si>
  <si>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</si>
  <si>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</si>
  <si>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</si>
  <si>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</si>
  <si>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</si>
  <si>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</si>
  <si>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</si>
  <si>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</si>
  <si>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</si>
  <si>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</si>
  <si>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</si>
  <si>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</si>
  <si>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</si>
  <si>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</si>
  <si>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</si>
  <si>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</si>
  <si>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</si>
  <si>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</si>
  <si>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</si>
  <si>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</si>
  <si>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</si>
  <si>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</si>
  <si>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</si>
  <si>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</si>
  <si>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</si>
  <si>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</si>
  <si>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</si>
  <si>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</si>
  <si>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</si>
  <si>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</si>
  <si>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</si>
  <si>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</si>
  <si>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</si>
  <si>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</si>
  <si>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</si>
  <si>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</si>
  <si>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</si>
  <si>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</si>
  <si>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</si>
  <si>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</si>
  <si>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</si>
  <si>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</si>
  <si>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</si>
  <si>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</si>
  <si>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</si>
  <si>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</si>
  <si>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</si>
  <si>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</si>
  <si>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</si>
  <si>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</si>
  <si>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</si>
  <si>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</si>
  <si>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</si>
  <si>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</si>
  <si>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</si>
  <si>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</si>
  <si>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</si>
  <si>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</si>
  <si>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</si>
  <si>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</si>
  <si>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</si>
  <si>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</si>
  <si>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</si>
  <si>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</si>
  <si>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</si>
  <si>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</si>
  <si>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</si>
  <si>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</si>
  <si>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</si>
  <si>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</si>
  <si>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</si>
  <si>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</si>
  <si>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</si>
  <si>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</si>
  <si>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</si>
  <si>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</si>
  <si>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</si>
  <si>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</si>
  <si>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</si>
  <si>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</si>
  <si>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</si>
  <si>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</si>
  <si>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</si>
  <si>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</si>
  <si>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</si>
  <si>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</si>
  <si>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</si>
  <si>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</si>
  <si>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</si>
  <si>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</si>
  <si>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</si>
  <si>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</si>
  <si>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</si>
  <si>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</si>
  <si>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</si>
  <si>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</si>
  <si>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</si>
  <si>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</si>
  <si>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</si>
  <si>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</si>
  <si>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</si>
  <si>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</si>
  <si>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</si>
  <si>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</si>
  <si>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</si>
  <si>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</si>
  <si>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</si>
  <si>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</si>
  <si>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</si>
  <si>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</si>
  <si>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</si>
  <si>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</si>
  <si>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</si>
  <si>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</si>
  <si>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</si>
  <si>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</si>
  <si>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</si>
  <si>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</si>
  <si>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</si>
  <si>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</si>
  <si>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</si>
  <si>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</si>
  <si>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</si>
  <si>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</si>
  <si>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</si>
  <si>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</si>
  <si>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</si>
  <si>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</si>
  <si>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</si>
  <si>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</si>
  <si>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</si>
  <si>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</si>
  <si>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</si>
  <si>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</si>
  <si>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</si>
  <si>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</si>
  <si>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</si>
  <si>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</si>
  <si>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</si>
  <si>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</si>
  <si>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</si>
  <si>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</si>
  <si>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</si>
  <si>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</si>
  <si>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</si>
  <si>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</si>
  <si>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</si>
  <si>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</si>
  <si>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</si>
  <si>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</si>
  <si>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</si>
  <si>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</si>
  <si>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</si>
  <si>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</si>
  <si>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</si>
  <si>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</si>
  <si>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</si>
  <si>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</si>
  <si>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</si>
  <si>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</si>
  <si>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</si>
  <si>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</si>
  <si>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</si>
  <si>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</si>
  <si>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</si>
  <si>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</si>
  <si>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</si>
  <si>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</si>
  <si>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</si>
  <si>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</si>
  <si>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</si>
  <si>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</si>
  <si>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</si>
  <si>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</si>
  <si>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</si>
  <si>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</si>
  <si>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</si>
  <si>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</si>
  <si>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</si>
  <si>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</si>
  <si>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</si>
  <si>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</si>
  <si>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</si>
  <si>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</si>
  <si>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</si>
  <si>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</si>
  <si>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</si>
  <si>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</si>
  <si>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</si>
  <si>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</si>
  <si>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</si>
  <si>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</si>
  <si>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</si>
  <si>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</si>
  <si>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</si>
  <si>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</si>
  <si>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</si>
  <si>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</si>
  <si>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</si>
  <si>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</si>
  <si>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</si>
  <si>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</si>
  <si>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</si>
  <si>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</si>
  <si>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</si>
  <si>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</si>
  <si>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</si>
  <si>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</si>
  <si>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</si>
  <si>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</si>
  <si>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</si>
  <si>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</si>
  <si>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</si>
  <si>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</si>
  <si>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</si>
  <si>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</si>
  <si>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</si>
  <si>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</si>
  <si>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</si>
  <si>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</si>
  <si>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</si>
  <si>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</si>
  <si>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</si>
  <si>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</si>
  <si>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</si>
  <si>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</si>
  <si>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</si>
  <si>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</si>
  <si>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</si>
  <si>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</si>
  <si>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</si>
  <si>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</si>
  <si>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</si>
  <si>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</si>
  <si>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</si>
  <si>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</si>
  <si>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</si>
  <si>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</si>
  <si>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</si>
  <si>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</si>
  <si>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</si>
  <si>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</si>
  <si>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</si>
  <si>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</si>
  <si>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</si>
  <si>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</si>
  <si>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</si>
  <si>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</si>
  <si>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</si>
  <si>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</si>
  <si>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</si>
  <si>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</si>
  <si>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</si>
  <si>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</si>
  <si>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</si>
  <si>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</si>
  <si>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</si>
  <si>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</si>
  <si>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</si>
  <si>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</si>
  <si>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</si>
  <si>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</si>
  <si>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</si>
  <si>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</si>
  <si>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</si>
  <si>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</si>
  <si>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</si>
  <si>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</si>
  <si>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</si>
  <si>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</si>
  <si>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</si>
  <si>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</si>
  <si>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</si>
  <si>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</si>
  <si>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</si>
  <si>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</si>
  <si>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</si>
  <si>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</si>
  <si>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</si>
  <si>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</si>
  <si>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</si>
  <si>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</si>
  <si>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</si>
  <si>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</si>
  <si>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</si>
  <si>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</si>
  <si>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</si>
  <si>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</si>
  <si>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</si>
  <si>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</si>
  <si>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</si>
  <si>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</si>
  <si>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</si>
  <si>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</si>
  <si>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</si>
  <si>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</si>
  <si>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</si>
  <si>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</si>
  <si>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</si>
  <si>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</si>
  <si>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</si>
  <si>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</si>
  <si>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</si>
  <si>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</si>
  <si>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</si>
  <si>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</si>
  <si>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</si>
  <si>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</si>
  <si>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</si>
  <si>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</si>
  <si>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</si>
  <si>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</si>
  <si>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</si>
  <si>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</si>
  <si>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</si>
  <si>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</si>
  <si>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</si>
  <si>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</si>
  <si>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</si>
  <si>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</si>
  <si>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</si>
  <si>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</si>
  <si>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</si>
  <si>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</si>
  <si>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</si>
  <si>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</si>
  <si>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</si>
  <si>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</si>
  <si>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</si>
  <si>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</si>
  <si>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</si>
  <si>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</si>
  <si>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</si>
  <si>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</si>
  <si>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</si>
  <si>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</si>
  <si>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</si>
  <si>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</si>
  <si>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</si>
  <si>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</si>
  <si>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</si>
  <si>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</si>
  <si>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</si>
  <si>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</si>
  <si>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</si>
  <si>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</si>
  <si>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</si>
  <si>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</si>
  <si>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</si>
  <si>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</si>
  <si>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</si>
  <si>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</si>
  <si>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</si>
  <si>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</si>
  <si>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</si>
  <si>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</si>
  <si>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</si>
  <si>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</si>
  <si>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</si>
  <si>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</si>
  <si>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</si>
  <si>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</si>
  <si>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</si>
  <si>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</si>
  <si>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</si>
  <si>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</si>
  <si>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</si>
  <si>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</si>
  <si>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</si>
  <si>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</si>
  <si>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</si>
  <si>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</si>
  <si>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</si>
  <si>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</si>
  <si>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</si>
  <si>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</si>
  <si>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</si>
  <si>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</si>
  <si>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</si>
  <si>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</si>
  <si>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</si>
  <si>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</si>
  <si>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</si>
  <si>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</si>
  <si>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</si>
  <si>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</si>
  <si>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</si>
  <si>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</si>
  <si>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</si>
  <si>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</si>
  <si>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</si>
  <si>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</si>
  <si>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</si>
  <si>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</si>
  <si>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</si>
  <si>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</si>
  <si>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</si>
  <si>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</si>
  <si>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</si>
  <si>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</si>
  <si>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</si>
  <si>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</si>
  <si>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</si>
  <si>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</si>
  <si>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</si>
  <si>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</si>
  <si>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</si>
  <si>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</si>
  <si>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</si>
  <si>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</si>
  <si>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</si>
  <si>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</si>
  <si>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</si>
  <si>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</si>
  <si>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</si>
  <si>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</si>
  <si>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</si>
  <si>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</si>
  <si>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</si>
  <si>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</si>
  <si>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</si>
  <si>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</si>
  <si>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</si>
  <si>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</si>
  <si>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</si>
  <si>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</si>
  <si>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</si>
  <si>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</si>
  <si>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</si>
  <si>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</si>
  <si>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</si>
  <si>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</si>
  <si>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</si>
  <si>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</si>
  <si>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</si>
  <si>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</si>
  <si>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</si>
  <si>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</si>
  <si>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</si>
  <si>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</si>
  <si>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</si>
  <si>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</si>
  <si>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</si>
  <si>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</si>
  <si>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</si>
  <si>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</si>
  <si>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</si>
  <si>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</si>
  <si>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</si>
  <si>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</si>
  <si>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</si>
  <si>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</si>
  <si>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</si>
  <si>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</si>
  <si>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</si>
  <si>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</si>
  <si>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</si>
  <si>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</si>
  <si>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</si>
  <si>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</si>
  <si>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</si>
  <si>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</si>
  <si>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</si>
  <si>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</si>
  <si>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</si>
  <si>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</si>
  <si>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</si>
  <si>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</si>
  <si>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</si>
  <si>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</si>
  <si>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</si>
  <si>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</si>
  <si>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</si>
  <si>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</si>
  <si>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</si>
  <si>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</si>
  <si>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</si>
  <si>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</si>
  <si>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</si>
  <si>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</si>
  <si>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</si>
  <si>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</si>
  <si>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</si>
  <si>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</si>
  <si>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</si>
  <si>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</si>
  <si>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</si>
  <si>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</si>
  <si>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</si>
  <si>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</si>
  <si>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</si>
  <si>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</si>
  <si>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</si>
  <si>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</si>
  <si>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</si>
  <si>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</si>
  <si>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</si>
  <si>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</si>
  <si>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</si>
  <si>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</si>
  <si>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</si>
  <si>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</si>
  <si>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</si>
  <si>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</si>
  <si>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</si>
  <si>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</si>
  <si>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</si>
  <si>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</si>
  <si>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</si>
  <si>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</si>
  <si>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</si>
  <si>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</si>
  <si>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</si>
  <si>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</si>
  <si>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</si>
  <si>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</si>
  <si>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</si>
  <si>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</si>
  <si>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</si>
  <si>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</si>
  <si>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</si>
  <si>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</si>
  <si>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</si>
  <si>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</si>
  <si>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</si>
  <si>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</si>
  <si>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</si>
  <si>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</si>
  <si>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</si>
  <si>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</si>
  <si>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</si>
  <si>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</si>
  <si>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</si>
  <si>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</si>
  <si>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</si>
  <si>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</si>
  <si>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</si>
  <si>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</si>
  <si>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</si>
  <si>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</si>
  <si>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</si>
  <si>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</si>
  <si>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</si>
  <si>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</si>
  <si>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</si>
  <si>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</si>
  <si>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</si>
  <si>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</si>
  <si>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</si>
  <si>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</si>
  <si>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</si>
  <si>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</si>
  <si>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</si>
  <si>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</si>
  <si>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</si>
  <si>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</si>
  <si>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</si>
  <si>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</si>
  <si>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</si>
  <si>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</si>
  <si>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</si>
  <si>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</si>
  <si>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</si>
  <si>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</si>
  <si>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</si>
  <si>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</si>
  <si>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</si>
  <si>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</si>
  <si>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</si>
  <si>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</si>
  <si>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</si>
  <si>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</si>
  <si>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</si>
  <si>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</si>
  <si>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</si>
  <si>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</si>
  <si>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</si>
  <si>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</si>
  <si>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</si>
  <si>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</si>
  <si>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</si>
  <si>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</si>
  <si>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</si>
  <si>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</si>
  <si>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</si>
  <si>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</si>
  <si>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</si>
  <si>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</si>
  <si>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</si>
  <si>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</si>
  <si>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</si>
  <si>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</si>
  <si>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</si>
  <si>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</si>
  <si>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</si>
  <si>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</si>
  <si>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</si>
  <si>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</si>
  <si>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</si>
  <si>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</si>
  <si>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</si>
  <si>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</si>
  <si>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</si>
  <si>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</si>
  <si>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</si>
  <si>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</si>
  <si>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</si>
  <si>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</si>
  <si>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</si>
  <si>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</si>
  <si>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</si>
  <si>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</si>
  <si>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</si>
  <si>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</si>
  <si>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</si>
  <si>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</si>
  <si>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</si>
  <si>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</si>
  <si>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</si>
  <si>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</si>
  <si>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</si>
  <si>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</si>
  <si>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</si>
  <si>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</si>
  <si>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</si>
  <si>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</si>
  <si>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</si>
  <si>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</si>
  <si>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</si>
  <si>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</si>
  <si>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</si>
  <si>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</si>
  <si>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</si>
  <si>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</si>
  <si>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</si>
  <si>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</si>
  <si>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</si>
  <si>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</si>
  <si>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</si>
  <si>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</si>
  <si>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</si>
  <si>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</si>
  <si>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</si>
  <si>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</si>
  <si>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</si>
  <si>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</si>
  <si>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</si>
  <si>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</si>
  <si>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</si>
  <si>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</si>
  <si>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</si>
  <si>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</si>
  <si>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</si>
  <si>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</si>
  <si>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</si>
  <si>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</si>
  <si>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</si>
  <si>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</si>
  <si>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</si>
  <si>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</si>
  <si>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</si>
  <si>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</si>
  <si>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</si>
  <si>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</si>
  <si>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</si>
  <si>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</si>
  <si>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</si>
  <si>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</si>
  <si>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</si>
  <si>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</si>
  <si>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</si>
  <si>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</si>
  <si>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</si>
  <si>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</si>
  <si>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</si>
  <si>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</si>
  <si>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</si>
  <si>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</si>
  <si>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</si>
  <si>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</si>
  <si>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</si>
  <si>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</si>
  <si>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</si>
  <si>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</si>
  <si>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</si>
  <si>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</si>
  <si>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</si>
  <si>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</si>
  <si>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</si>
  <si>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</si>
  <si>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</si>
  <si>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</si>
  <si>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</si>
  <si>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</si>
  <si>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</si>
  <si>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</si>
  <si>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</si>
  <si>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</si>
  <si>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</si>
  <si>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</si>
  <si>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</si>
  <si>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</si>
  <si>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</si>
  <si>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</si>
  <si>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</si>
  <si>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</si>
  <si>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</si>
  <si>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</si>
  <si>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</si>
  <si>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</si>
  <si>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</si>
  <si>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</si>
  <si>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</si>
  <si>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</si>
  <si>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</si>
  <si>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</si>
  <si>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</si>
  <si>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</si>
  <si>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</si>
  <si>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</si>
  <si>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</si>
  <si>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</si>
  <si>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</si>
  <si>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</si>
  <si>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</si>
  <si>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</si>
  <si>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</si>
  <si>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</si>
  <si>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</si>
  <si>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</si>
  <si>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</si>
  <si>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</si>
  <si>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</si>
  <si>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</si>
  <si>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</si>
  <si>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</si>
  <si>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</si>
  <si>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</si>
  <si>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</si>
  <si>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</si>
  <si>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</si>
  <si>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</si>
  <si>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</si>
  <si>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</si>
  <si>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</si>
  <si>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</si>
  <si>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</si>
  <si>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</si>
  <si>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</si>
  <si>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</si>
  <si>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</si>
  <si>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</si>
  <si>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</si>
  <si>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</si>
  <si>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</si>
  <si>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</si>
  <si>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</si>
  <si>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</si>
  <si>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</si>
  <si>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</si>
  <si>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</si>
  <si>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</si>
  <si>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</si>
  <si>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</si>
  <si>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</si>
  <si>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</si>
  <si>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</si>
  <si>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</si>
  <si>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</si>
  <si>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</si>
  <si>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</si>
  <si>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</si>
  <si>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</si>
  <si>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</si>
  <si>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</si>
  <si>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</si>
  <si>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</si>
  <si>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</si>
  <si>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</si>
  <si>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</si>
  <si>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</si>
  <si>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</si>
  <si>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</si>
  <si>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</si>
  <si>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</si>
  <si>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</si>
  <si>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</si>
  <si>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</si>
  <si>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</si>
  <si>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</si>
  <si>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</si>
  <si>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</si>
  <si>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</si>
  <si>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</si>
  <si>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</si>
  <si>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</si>
  <si>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</si>
  <si>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</si>
  <si>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</si>
  <si>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</si>
  <si>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</si>
  <si>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</si>
  <si>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</si>
  <si>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</si>
  <si>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</si>
  <si>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</si>
  <si>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</si>
  <si>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</si>
  <si>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</si>
  <si>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</si>
  <si>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</si>
  <si>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</si>
  <si>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</si>
  <si>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</si>
  <si>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</si>
  <si>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</si>
  <si>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</si>
  <si>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</si>
  <si>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</si>
  <si>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</si>
  <si>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</si>
  <si>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</si>
  <si>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</si>
  <si>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</si>
  <si>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</si>
  <si>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</si>
  <si>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</si>
  <si>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</si>
  <si>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</si>
  <si>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</si>
  <si>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</si>
  <si>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</si>
  <si>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</si>
  <si>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</si>
  <si>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</si>
  <si>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</si>
  <si>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</si>
  <si>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</si>
  <si>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</si>
  <si>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</si>
  <si>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</si>
  <si>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</si>
  <si>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</si>
  <si>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</si>
  <si>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</si>
  <si>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</si>
  <si>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</si>
  <si>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</si>
  <si>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</si>
  <si>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</si>
  <si>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</si>
  <si>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</si>
  <si>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</si>
  <si>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</si>
  <si>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</si>
  <si>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</si>
  <si>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</si>
  <si>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</si>
  <si>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</si>
  <si>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</si>
  <si>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</si>
  <si>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</si>
  <si>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</si>
  <si>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</si>
  <si>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</si>
  <si>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</si>
  <si>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</si>
  <si>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</si>
  <si>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</si>
  <si>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</si>
  <si>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</si>
  <si>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</si>
  <si>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</si>
  <si>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</si>
  <si>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</si>
  <si>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</si>
  <si>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</si>
  <si>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</si>
  <si>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</si>
  <si>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</si>
  <si>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</si>
  <si>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</si>
  <si>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</si>
  <si>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</si>
  <si>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</si>
  <si>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</si>
  <si>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</si>
  <si>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</si>
  <si>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</si>
  <si>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</si>
  <si>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</si>
  <si>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</si>
  <si>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</si>
  <si>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</si>
  <si>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</si>
  <si>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</si>
  <si>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</si>
  <si>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</si>
  <si>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</si>
  <si>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</si>
  <si>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</si>
  <si>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</si>
  <si>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</si>
  <si>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</si>
  <si>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</si>
  <si>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</si>
  <si>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</si>
  <si>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</si>
  <si>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</si>
  <si>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</si>
  <si>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</si>
  <si>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</si>
  <si>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</si>
  <si>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</si>
  <si>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</si>
  <si>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</si>
  <si>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</si>
  <si>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</si>
  <si>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</si>
  <si>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</si>
  <si>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</si>
  <si>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</si>
  <si>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</si>
  <si>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</si>
  <si>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</si>
  <si>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</si>
  <si>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</si>
  <si>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</si>
  <si>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</si>
  <si>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</si>
  <si>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</si>
  <si>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</si>
  <si>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</si>
  <si>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</si>
  <si>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</si>
  <si>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</si>
  <si>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</si>
  <si>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</si>
  <si>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</si>
  <si>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</si>
  <si>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</si>
  <si>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</si>
  <si>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</si>
  <si>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</si>
  <si>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</si>
  <si>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</si>
  <si>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</si>
  <si>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</si>
  <si>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</si>
  <si>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</si>
  <si>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</si>
  <si>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</si>
  <si>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</si>
  <si>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</si>
  <si>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</si>
  <si>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</si>
  <si>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</si>
  <si>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</si>
  <si>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</si>
  <si>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</si>
  <si>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</si>
  <si>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</si>
  <si>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</si>
  <si>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</si>
  <si>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</si>
  <si>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</si>
  <si>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</si>
  <si>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</si>
  <si>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</si>
  <si>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</si>
  <si>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</si>
  <si>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</si>
  <si>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</si>
  <si>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</si>
  <si>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</si>
  <si>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</si>
  <si>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</si>
  <si>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</si>
  <si>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</si>
  <si>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</si>
  <si>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</si>
  <si>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</si>
  <si>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</si>
  <si>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</si>
  <si>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</si>
  <si>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</si>
  <si>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</si>
  <si>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</si>
  <si>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</si>
  <si>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</si>
  <si>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</si>
  <si>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</si>
  <si>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</si>
  <si>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</si>
  <si>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</si>
  <si>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</si>
  <si>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</si>
  <si>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</si>
  <si>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</si>
  <si>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</si>
  <si>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</si>
  <si>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</si>
  <si>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</si>
  <si>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</si>
  <si>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</si>
  <si>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</si>
  <si>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</si>
  <si>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</si>
  <si>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</si>
  <si>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</si>
  <si>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</si>
  <si>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</si>
  <si>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</si>
  <si>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</si>
  <si>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</si>
  <si>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</si>
  <si>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</si>
  <si>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</si>
  <si>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</si>
  <si>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</si>
  <si>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</si>
  <si>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</si>
  <si>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</si>
  <si>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</si>
  <si>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</si>
  <si>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</si>
  <si>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</si>
  <si>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</si>
  <si>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</si>
  <si>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</si>
  <si>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</si>
  <si>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</si>
  <si>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</si>
  <si>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</si>
  <si>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</si>
  <si>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</si>
  <si>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</si>
  <si>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</si>
  <si>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</si>
  <si>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</si>
  <si>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</si>
  <si>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</si>
  <si>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</si>
  <si>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</si>
  <si>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</si>
  <si>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</si>
  <si>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</si>
  <si>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</si>
  <si>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</si>
  <si>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</si>
  <si>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</si>
  <si>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</si>
  <si>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</si>
  <si>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</si>
  <si>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</si>
  <si>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</si>
  <si>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</si>
  <si>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</si>
  <si>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</si>
  <si>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</si>
  <si>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</si>
  <si>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</si>
  <si>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</si>
  <si>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</si>
  <si>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</si>
  <si>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</si>
  <si>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</si>
  <si>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</si>
  <si>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</si>
  <si>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</si>
  <si>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</si>
  <si>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</si>
  <si>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</si>
  <si>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</si>
  <si>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</si>
  <si>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</si>
  <si>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</si>
  <si>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</si>
  <si>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</si>
  <si>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</si>
  <si>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</si>
  <si>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</si>
  <si>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</si>
  <si>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</si>
  <si>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</si>
  <si>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</si>
  <si>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</si>
  <si>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</si>
  <si>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</si>
  <si>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</si>
  <si>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</si>
  <si>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</si>
  <si>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</si>
  <si>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</si>
  <si>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</si>
  <si>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</si>
  <si>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</si>
  <si>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</si>
  <si>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</si>
  <si>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</si>
  <si>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</si>
  <si>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</si>
  <si>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</si>
  <si>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</si>
  <si>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</si>
  <si>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</si>
  <si>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</si>
  <si>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</si>
  <si>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</si>
  <si>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</si>
  <si>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</si>
  <si>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</si>
  <si>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</si>
  <si>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</si>
  <si>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</si>
  <si>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</si>
  <si>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</si>
  <si>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</si>
  <si>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</si>
  <si>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</si>
  <si>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</si>
  <si>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</si>
  <si>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</si>
  <si>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</si>
  <si>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</si>
  <si>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</si>
  <si>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</si>
  <si>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</si>
  <si>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</si>
  <si>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</si>
  <si>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</si>
  <si>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</si>
  <si>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</si>
  <si>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</si>
  <si>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</si>
  <si>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</si>
  <si>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</si>
  <si>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</si>
  <si>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</si>
  <si>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</si>
  <si>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</si>
  <si>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</si>
  <si>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</si>
  <si>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</si>
  <si>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</si>
  <si>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</si>
  <si>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</si>
  <si>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</si>
  <si>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</si>
  <si>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</si>
  <si>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</si>
  <si>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</si>
  <si>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</si>
  <si>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</si>
  <si>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</si>
  <si>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</si>
  <si>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</si>
  <si>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</si>
  <si>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</si>
  <si>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</si>
  <si>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</si>
  <si>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</si>
  <si>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</si>
  <si>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</si>
  <si>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</si>
  <si>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</si>
  <si>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</si>
  <si>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</si>
  <si>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</si>
  <si>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</si>
  <si>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</si>
  <si>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</si>
  <si>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</si>
  <si>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</si>
  <si>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</si>
  <si>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</si>
  <si>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</si>
  <si>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</si>
  <si>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</si>
  <si>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</si>
  <si>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</si>
  <si>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</si>
  <si>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</si>
  <si>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</si>
  <si>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</si>
  <si>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</si>
  <si>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</si>
  <si>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</si>
  <si>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</si>
  <si>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</si>
  <si>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</si>
  <si>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</si>
  <si>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</si>
  <si>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</si>
  <si>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</si>
  <si>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</si>
  <si>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</si>
  <si>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</si>
  <si>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</si>
  <si>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</si>
  <si>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</si>
  <si>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</si>
  <si>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</si>
  <si>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</si>
  <si>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</si>
  <si>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</si>
  <si>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</si>
  <si>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</si>
  <si>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</si>
  <si>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</si>
  <si>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</si>
  <si>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</si>
  <si>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</si>
  <si>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</si>
  <si>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</si>
  <si>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</si>
  <si>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</si>
  <si>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</si>
  <si>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</si>
  <si>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</si>
  <si>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</si>
  <si>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</si>
  <si>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</si>
  <si>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</si>
  <si>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</si>
  <si>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</si>
  <si>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</si>
  <si>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</si>
  <si>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</si>
  <si>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</si>
  <si>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</si>
  <si>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</si>
  <si>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</si>
  <si>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</si>
  <si>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</si>
  <si>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</si>
  <si>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</si>
  <si>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</si>
  <si>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</si>
  <si>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</si>
  <si>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</si>
  <si>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</si>
  <si>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</si>
  <si>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</si>
  <si>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</si>
  <si>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</si>
  <si>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</si>
  <si>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</si>
  <si>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</si>
  <si>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</si>
  <si>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</si>
  <si>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</si>
  <si>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</si>
  <si>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</si>
  <si>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</si>
  <si>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</si>
  <si>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</si>
  <si>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</si>
  <si>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</si>
  <si>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</si>
  <si>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</si>
  <si>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</si>
  <si>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</si>
  <si>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</si>
  <si>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</si>
  <si>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</si>
  <si>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</si>
  <si>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</si>
  <si>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</si>
  <si>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</si>
  <si>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</si>
  <si>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</si>
  <si>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</si>
  <si>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</si>
  <si>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</si>
  <si>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</si>
  <si>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</si>
  <si>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</si>
  <si>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</si>
  <si>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</si>
  <si>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</si>
  <si>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</si>
  <si>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</si>
  <si>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</si>
  <si>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</si>
  <si>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</si>
  <si>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</si>
  <si>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</si>
  <si>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</si>
  <si>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</si>
  <si>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</si>
  <si>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</si>
  <si>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</si>
  <si>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</si>
  <si>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</si>
  <si>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</si>
  <si>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</si>
  <si>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</si>
  <si>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</si>
  <si>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</si>
  <si>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</si>
  <si>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</si>
  <si>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</si>
  <si>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</si>
  <si>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</si>
  <si>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</si>
  <si>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</si>
  <si>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</si>
  <si>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</si>
  <si>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</si>
  <si>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</si>
  <si>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</si>
  <si>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</si>
  <si>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</si>
  <si>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</si>
  <si>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</si>
  <si>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</si>
  <si>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</si>
  <si>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</si>
  <si>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</si>
  <si>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</si>
  <si>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</si>
  <si>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</si>
  <si>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</si>
  <si>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</si>
  <si>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</si>
  <si>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</si>
  <si>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</si>
  <si>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</si>
  <si>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</si>
  <si>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</si>
  <si>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</si>
  <si>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</si>
  <si>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</si>
  <si>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</si>
  <si>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</si>
  <si>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</si>
  <si>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</si>
  <si>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</si>
  <si>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</si>
  <si>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</si>
  <si>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</si>
  <si>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</si>
  <si>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</si>
  <si>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</si>
  <si>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</si>
  <si>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</si>
  <si>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</si>
  <si>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</si>
  <si>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</si>
  <si>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</si>
  <si>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</si>
  <si>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</si>
  <si>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</si>
  <si>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</si>
  <si>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</si>
  <si>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</si>
  <si>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</si>
  <si>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</si>
  <si>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</si>
  <si>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</si>
  <si>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</si>
  <si>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</si>
  <si>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</si>
  <si>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</si>
  <si>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</si>
  <si>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</si>
  <si>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</si>
  <si>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</si>
  <si>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</si>
  <si>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</si>
  <si>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</si>
  <si>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</si>
  <si>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</si>
  <si>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</si>
  <si>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</si>
  <si>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</si>
  <si>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</si>
  <si>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</si>
  <si>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</si>
  <si>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</si>
  <si>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</si>
  <si>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</si>
  <si>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</si>
  <si>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</si>
  <si>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</si>
  <si>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</si>
  <si>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</si>
  <si>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</si>
  <si>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</si>
  <si>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</si>
  <si>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</si>
  <si>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</si>
  <si>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</si>
  <si>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</si>
  <si>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</si>
  <si>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</si>
  <si>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</si>
  <si>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</si>
  <si>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</si>
  <si>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</si>
  <si>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</si>
  <si>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</si>
  <si>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</si>
  <si>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</si>
  <si>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</si>
  <si>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</si>
  <si>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</si>
  <si>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</si>
  <si>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</si>
  <si>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</si>
  <si>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</si>
  <si>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</si>
  <si>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</si>
  <si>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</si>
  <si>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</si>
  <si>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</si>
  <si>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</si>
  <si>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</si>
  <si>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</si>
  <si>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</si>
  <si>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</si>
  <si>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</si>
  <si>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</si>
  <si>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</si>
  <si>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</si>
  <si>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</si>
  <si>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</si>
  <si>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</si>
  <si>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</si>
  <si>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</si>
  <si>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</si>
  <si>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</si>
  <si>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</si>
  <si>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</si>
  <si>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</si>
  <si>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</si>
  <si>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</si>
  <si>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</si>
  <si>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</si>
  <si>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</si>
  <si>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</si>
  <si>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</si>
  <si>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</si>
  <si>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</si>
  <si>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</si>
  <si>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</si>
  <si>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</si>
  <si>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</si>
  <si>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</si>
  <si>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</si>
  <si>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</si>
  <si>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</si>
  <si>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</si>
  <si>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</si>
  <si>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</si>
  <si>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</si>
  <si>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</si>
  <si>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</si>
  <si>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</si>
  <si>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</si>
  <si>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</si>
  <si>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</si>
  <si>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</si>
  <si>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</si>
  <si>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</si>
  <si>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</si>
  <si>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</si>
  <si>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</si>
  <si>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</si>
  <si>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</si>
  <si>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</si>
  <si>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</si>
  <si>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</si>
  <si>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</si>
  <si>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</si>
  <si>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</si>
  <si>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</si>
  <si>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</si>
  <si>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</si>
  <si>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</si>
  <si>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</si>
  <si>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</si>
  <si>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</si>
  <si>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</si>
  <si>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</si>
  <si>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</si>
  <si>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</si>
  <si>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</si>
  <si>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</si>
  <si>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</si>
  <si>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</si>
  <si>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</si>
  <si>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</si>
  <si>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</si>
  <si>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</si>
  <si>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</si>
  <si>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</si>
  <si>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</si>
  <si>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</si>
  <si>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</si>
  <si>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</si>
  <si>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</si>
  <si>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</si>
  <si>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</si>
  <si>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</si>
  <si>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</si>
  <si>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</si>
  <si>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</si>
  <si>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</si>
  <si>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</si>
  <si>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</si>
  <si>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</si>
  <si>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</si>
  <si>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</si>
  <si>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</si>
  <si>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</si>
  <si>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</si>
  <si>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</si>
  <si>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</si>
  <si>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</si>
  <si>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</si>
  <si>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</si>
  <si>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</si>
  <si>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</si>
  <si>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</si>
  <si>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</si>
  <si>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</si>
  <si>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</si>
  <si>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</si>
  <si>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</si>
  <si>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</si>
  <si>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</si>
  <si>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</si>
  <si>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</si>
  <si>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</si>
  <si>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</si>
  <si>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</si>
  <si>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</si>
  <si>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</si>
  <si>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</si>
  <si>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</si>
  <si>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</si>
  <si>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</si>
  <si>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</si>
  <si>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</si>
  <si>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</si>
  <si>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</si>
  <si>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</si>
  <si>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</si>
  <si>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</si>
  <si>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</si>
  <si>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</si>
  <si>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</si>
  <si>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</si>
  <si>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</si>
  <si>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</si>
  <si>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</si>
  <si>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</si>
  <si>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</si>
  <si>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</si>
  <si>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</si>
  <si>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</si>
  <si>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</si>
  <si>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</si>
  <si>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</si>
  <si>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</si>
  <si>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</si>
  <si>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</si>
  <si>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</si>
  <si>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</si>
  <si>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</si>
  <si>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</si>
  <si>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</si>
  <si>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</si>
  <si>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</si>
  <si>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</si>
  <si>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</si>
  <si>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</si>
  <si>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</si>
  <si>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</si>
  <si>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</si>
  <si>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</si>
  <si>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</si>
  <si>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</si>
  <si>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</si>
  <si>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</si>
  <si>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</si>
  <si>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</si>
  <si>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</si>
  <si>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</si>
  <si>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</si>
  <si>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</si>
  <si>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</si>
  <si>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</si>
  <si>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</si>
  <si>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</si>
  <si>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</si>
  <si>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</si>
  <si>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</si>
  <si>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</si>
  <si>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</si>
  <si>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</si>
  <si>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</si>
  <si>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</si>
  <si>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</si>
  <si>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</si>
  <si>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</si>
  <si>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</si>
  <si>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</si>
  <si>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</si>
  <si>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</si>
  <si>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</si>
  <si>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</si>
  <si>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</si>
  <si>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</si>
  <si>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</si>
  <si>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</si>
  <si>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</si>
  <si>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</si>
  <si>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</si>
  <si>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</si>
  <si>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</si>
  <si>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</si>
  <si>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</si>
  <si>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</si>
  <si>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</si>
  <si>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</si>
  <si>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</si>
  <si>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</si>
  <si>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</si>
  <si>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</si>
  <si>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</si>
  <si>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</si>
  <si>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</si>
  <si>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</si>
  <si>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</si>
  <si>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</si>
  <si>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</si>
  <si>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</si>
  <si>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</si>
  <si>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</si>
  <si>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</si>
  <si>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</si>
  <si>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</si>
  <si>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</si>
  <si>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</si>
  <si>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</si>
  <si>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</si>
  <si>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</si>
  <si>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</si>
  <si>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</si>
  <si>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</si>
  <si>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</si>
  <si>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</si>
  <si>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</si>
  <si>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</si>
  <si>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</si>
  <si>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</si>
  <si>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</si>
  <si>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</si>
  <si>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</si>
  <si>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</si>
  <si>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</si>
  <si>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</si>
  <si>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</si>
  <si>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</si>
  <si>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</si>
  <si>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</si>
  <si>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</si>
  <si>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</si>
  <si>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</si>
  <si>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</si>
  <si>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</si>
  <si>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</si>
  <si>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</si>
  <si>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</si>
  <si>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</si>
  <si>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</si>
  <si>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</si>
  <si>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</si>
  <si>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</si>
  <si>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</si>
  <si>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</si>
  <si>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</si>
  <si>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</si>
  <si>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</si>
  <si>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</si>
  <si>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</si>
  <si>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</si>
  <si>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</si>
  <si>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</si>
  <si>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</si>
  <si>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</si>
  <si>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</si>
  <si>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</si>
  <si>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</si>
  <si>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</si>
  <si>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</si>
  <si>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</si>
  <si>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</si>
  <si>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</si>
  <si>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</si>
  <si>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</si>
  <si>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</si>
  <si>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</si>
  <si>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</si>
  <si>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</si>
  <si>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</si>
  <si>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</si>
  <si>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</si>
  <si>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</si>
  <si>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</si>
  <si>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</si>
  <si>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</si>
  <si>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</si>
  <si>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</si>
  <si>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</si>
  <si>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</si>
  <si>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</si>
  <si>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</si>
  <si>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</si>
  <si>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</si>
  <si>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</si>
  <si>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</si>
  <si>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</si>
  <si>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</si>
  <si>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</si>
  <si>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</si>
  <si>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</si>
  <si>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</si>
  <si>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</si>
  <si>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</si>
  <si>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</si>
  <si>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</si>
  <si>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</si>
  <si>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</si>
  <si>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</si>
  <si>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</si>
  <si>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</si>
  <si>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</si>
  <si>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</si>
  <si>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</si>
  <si>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</si>
  <si>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</si>
  <si>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</si>
  <si>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</si>
  <si>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</si>
  <si>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</si>
  <si>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</si>
  <si>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</si>
  <si>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</si>
  <si>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</si>
  <si>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</si>
  <si>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</si>
  <si>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</si>
  <si>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</si>
  <si>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</si>
  <si>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</si>
  <si>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</si>
  <si>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</si>
  <si>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</si>
  <si>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</si>
  <si>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</si>
  <si>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</si>
  <si>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</si>
  <si>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</si>
  <si>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</si>
  <si>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</si>
  <si>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</si>
  <si>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</si>
  <si>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</si>
  <si>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</si>
  <si>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</si>
  <si>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</si>
  <si>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</si>
  <si>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</si>
  <si>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</si>
  <si>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</si>
  <si>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</si>
  <si>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</si>
  <si>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</si>
  <si>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</si>
  <si>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</si>
  <si>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</si>
  <si>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</si>
  <si>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</si>
  <si>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</si>
  <si>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</si>
  <si>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</si>
  <si>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</si>
  <si>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</si>
  <si>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</si>
  <si>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</si>
  <si>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</si>
  <si>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</si>
  <si>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</si>
  <si>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</si>
  <si>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</si>
  <si>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</si>
  <si>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</si>
  <si>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</si>
  <si>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</si>
  <si>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</si>
  <si>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</si>
  <si>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</si>
  <si>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</si>
  <si>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</si>
  <si>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</si>
  <si>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</si>
  <si>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</si>
  <si>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</si>
  <si>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</si>
  <si>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</si>
  <si>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</si>
  <si>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</si>
  <si>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</si>
  <si>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</si>
  <si>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</si>
  <si>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</si>
  <si>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</si>
  <si>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</si>
  <si>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</si>
  <si>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</si>
  <si>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</si>
  <si>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</si>
  <si>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</si>
  <si>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</si>
  <si>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</si>
  <si>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</si>
  <si>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</si>
  <si>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</si>
  <si>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</si>
  <si>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</si>
  <si>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</si>
  <si>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</si>
  <si>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</si>
  <si>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</si>
  <si>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</si>
  <si>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</si>
  <si>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</si>
  <si>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</si>
  <si>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</si>
  <si>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</si>
  <si>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</si>
  <si>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</si>
  <si>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</si>
  <si>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</si>
  <si>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</si>
  <si>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</si>
  <si>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</si>
  <si>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</si>
  <si>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</si>
  <si>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</si>
  <si>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</si>
  <si>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</si>
  <si>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</si>
  <si>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</si>
  <si>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</si>
  <si>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</si>
  <si>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</si>
  <si>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</si>
  <si>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</si>
  <si>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</si>
  <si>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</si>
  <si>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</si>
  <si>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</si>
  <si>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</si>
  <si>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</si>
  <si>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</si>
  <si>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</si>
  <si>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</si>
  <si>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</si>
  <si>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</si>
  <si>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</si>
  <si>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</si>
  <si>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</si>
  <si>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</si>
  <si>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</si>
  <si>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</si>
  <si>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</si>
  <si>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</si>
  <si>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</si>
  <si>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</si>
  <si>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</si>
  <si>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</si>
  <si>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</si>
  <si>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</si>
  <si>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</si>
  <si>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</si>
  <si>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</si>
  <si>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</si>
  <si>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</si>
  <si>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</si>
  <si>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</si>
  <si>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</si>
  <si>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</si>
  <si>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</si>
  <si>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</si>
  <si>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</si>
  <si>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</si>
  <si>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</si>
  <si>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</si>
  <si>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</si>
  <si>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</si>
  <si>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</si>
  <si>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</si>
  <si>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</si>
  <si>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</si>
  <si>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</si>
  <si>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</si>
  <si>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</si>
  <si>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</si>
  <si>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</si>
  <si>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</si>
  <si>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</si>
  <si>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</si>
  <si>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</si>
  <si>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</si>
  <si>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</si>
  <si>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</si>
  <si>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</si>
  <si>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</si>
  <si>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</si>
  <si>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</si>
  <si>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</si>
  <si>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</si>
  <si>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</si>
  <si>
    <t>高区</t>
    <phoneticPr fontId="228" type="noConversion"/>
  </si>
  <si>
    <t>中区</t>
    <phoneticPr fontId="228" type="noConversion"/>
  </si>
  <si>
    <t>低区</t>
    <phoneticPr fontId="228" type="noConversion"/>
  </si>
  <si>
    <t>收益比率</t>
  </si>
  <si>
    <t>板塔结合</t>
  </si>
  <si>
    <t>板塔结合</t>
    <phoneticPr fontId="228" type="noConversion"/>
  </si>
  <si>
    <t>、</t>
    <phoneticPr fontId="228" type="noConversion"/>
  </si>
  <si>
    <t>楼面单价</t>
  </si>
  <si>
    <t>上奥世纪中心</t>
    <phoneticPr fontId="228" type="noConversion"/>
  </si>
  <si>
    <t>上奥世纪中心</t>
    <phoneticPr fontId="228" type="noConversion"/>
  </si>
  <si>
    <t>上奥世纪中心</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</si>
</sst>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7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8"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88" fontId="55" fillId="10" borderId="7" xfId="0" applyNumberFormat="1" applyFont="1" applyFill="1" applyBorder="1" applyAlignment="1" applyProtection="1">
      <alignment horizontal="center" vertical="center" shrinkToFit="1"/>
      <protection locked="0"/>
    </xf>
    <xf numFmtId="14" fontId="21" fillId="0" borderId="12" xfId="0" applyNumberFormat="1" applyFont="1" applyFill="1" applyBorder="1" applyAlignment="1" applyProtection="1">
      <alignment horizontal="left" vertical="center"/>
      <protection locked="0"/>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247191</xdr:colOff>
      <xdr:row>33</xdr:row>
      <xdr:rowOff>56436</xdr:rowOff>
    </xdr:to>
    <xdr:pic>
      <xdr:nvPicPr>
        <xdr:cNvPr id="2" name="图片 1"/>
        <xdr:cNvPicPr>
          <a:picLocks noChangeAspect="1"/>
        </xdr:cNvPicPr>
      </xdr:nvPicPr>
      <xdr:blipFill>
        <a:blip xmlns:r="http://schemas.openxmlformats.org/officeDocument/2006/relationships" r:embed="rId1"/>
        <a:stretch>
          <a:fillRect/>
        </a:stretch>
      </xdr:blipFill>
      <xdr:spPr>
        <a:xfrm>
          <a:off x="2057400" y="0"/>
          <a:ext cx="3676191" cy="5714286"/>
        </a:xfrm>
        <a:prstGeom prst="rect">
          <a:avLst/>
        </a:prstGeom>
      </xdr:spPr>
    </xdr:pic>
    <xdr:clientData/>
  </xdr:twoCellAnchor>
  <xdr:twoCellAnchor editAs="oneCell">
    <xdr:from>
      <xdr:col>9</xdr:col>
      <xdr:colOff>285750</xdr:colOff>
      <xdr:row>0</xdr:row>
      <xdr:rowOff>85726</xdr:rowOff>
    </xdr:from>
    <xdr:to>
      <xdr:col>19</xdr:col>
      <xdr:colOff>322690</xdr:colOff>
      <xdr:row>19</xdr:row>
      <xdr:rowOff>3384</xdr:rowOff>
    </xdr:to>
    <xdr:pic>
      <xdr:nvPicPr>
        <xdr:cNvPr id="3" name="图片 2"/>
        <xdr:cNvPicPr>
          <a:picLocks noChangeAspect="1"/>
        </xdr:cNvPicPr>
      </xdr:nvPicPr>
      <xdr:blipFill>
        <a:blip xmlns:r="http://schemas.openxmlformats.org/officeDocument/2006/relationships" r:embed="rId2"/>
        <a:stretch>
          <a:fillRect/>
        </a:stretch>
      </xdr:blipFill>
      <xdr:spPr>
        <a:xfrm>
          <a:off x="6457950" y="85726"/>
          <a:ext cx="6894940" cy="31752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估价对象为北京市房地产，为所有。根据《国有土地使用证》[]，估价对象（分摊）出让国有建设用地使用权面积为0平方米，建筑面积为46.53平方米。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估价对象为北京市房地产,属开发建设的办公项目，该项目尚在开发建设中。根据《国有土地使用证》[]，估价对象（分摊）出让国有建设用地使用权面积为0平方米，规划建筑面积为46.53平方米。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2023年10月19日</v>
      </c>
    </row>
    <row r="13" spans="1:2" s="3417" customFormat="1">
      <c r="A13" s="3425" t="s">
        <v>13</v>
      </c>
      <c r="B13" s="3426" t="str">
        <f>'预评函-1'!A18</f>
        <v>本次估价的“房地产价值”是指在正常市场情况下，在价值时点2023年10月19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本次评估采用的主估价方法为比较法和收益法。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106</v>
      </c>
    </row>
    <row r="21" spans="1:2" s="3417" customFormat="1">
      <c r="A21" s="3425" t="s">
        <v>21</v>
      </c>
      <c r="B21" s="3426">
        <f ca="1">'预评函-2'!D7</f>
        <v>22860</v>
      </c>
    </row>
    <row r="22" spans="1:2" s="3417" customFormat="1">
      <c r="A22" s="3425" t="s">
        <v>22</v>
      </c>
      <c r="B22" s="3426" t="str">
        <f ca="1">'预评函-2'!D6</f>
        <v>壹佰零陆万元整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106</v>
      </c>
    </row>
    <row r="31" spans="1:2" s="3417" customFormat="1">
      <c r="A31" s="3425" t="s">
        <v>31</v>
      </c>
      <c r="B31" s="3426">
        <f ca="1">'预评函-2'!D15</f>
        <v>22860</v>
      </c>
    </row>
    <row r="32" spans="1:2" s="3417" customFormat="1">
      <c r="A32" s="3425" t="s">
        <v>32</v>
      </c>
      <c r="B32" s="3426" t="str">
        <f ca="1">'预评函-2'!D14</f>
        <v>壹佰零陆万元整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46.53</v>
      </c>
    </row>
    <row r="44" spans="1:2" s="3417" customFormat="1">
      <c r="A44" s="3425" t="s">
        <v>44</v>
      </c>
      <c r="B44" s="3426" t="str">
        <f>'预评函-3'!C2</f>
        <v>(分摊)土地面积</v>
      </c>
    </row>
    <row r="45" spans="1:2" s="3417" customFormat="1">
      <c r="A45" s="3425" t="s">
        <v>45</v>
      </c>
      <c r="B45" s="3426">
        <f>'预评函-3'!C4</f>
        <v>0</v>
      </c>
    </row>
    <row r="46" spans="1:2" s="3417" customFormat="1">
      <c r="A46" s="3425" t="s">
        <v>46</v>
      </c>
      <c r="B46" s="3426" t="str">
        <f>'预评函-3'!D2</f>
        <v>出让国有建设用地使用权价值</v>
      </c>
    </row>
    <row r="47" spans="1:2" s="3417" customFormat="1">
      <c r="A47" s="3425" t="s">
        <v>47</v>
      </c>
      <c r="B47" s="3426">
        <f ca="1">'预评函-3'!D4</f>
        <v>65</v>
      </c>
    </row>
    <row r="48" spans="1:2" s="3417" customFormat="1">
      <c r="A48" s="3425" t="s">
        <v>48</v>
      </c>
      <c r="B48" s="3426">
        <f ca="1">'预评函-3'!E4</f>
        <v>13967</v>
      </c>
    </row>
    <row r="49" spans="1:2" s="3417" customFormat="1">
      <c r="A49" s="3425" t="s">
        <v>49</v>
      </c>
      <c r="B49" s="3426" t="str">
        <f ca="1">'预评函-3'!D5</f>
        <v>陆拾伍万元整</v>
      </c>
    </row>
    <row r="50" spans="1:2" s="3417" customFormat="1">
      <c r="A50" s="3425" t="s">
        <v>50</v>
      </c>
      <c r="B50" s="3426" t="str">
        <f>'预评函-3'!F2</f>
        <v>在建建筑物价值</v>
      </c>
    </row>
    <row r="51" spans="1:2" s="3417" customFormat="1">
      <c r="A51" s="3425" t="s">
        <v>51</v>
      </c>
      <c r="B51" s="3426">
        <f ca="1">'预评函-3'!F4</f>
        <v>41</v>
      </c>
    </row>
    <row r="52" spans="1:2" s="3417" customFormat="1">
      <c r="A52" s="3425" t="s">
        <v>52</v>
      </c>
      <c r="B52" s="3426">
        <f ca="1">'预评函-3'!G4</f>
        <v>8893</v>
      </c>
    </row>
    <row r="53" spans="1:2" s="3417" customFormat="1">
      <c r="A53" s="3425" t="s">
        <v>53</v>
      </c>
      <c r="B53" s="3426" t="str">
        <f ca="1">'预评函-3'!F5</f>
        <v>肆拾壹万元整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5"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08" t="s">
        <v>330</v>
      </c>
      <c r="C54" s="3295" t="s">
        <v>331</v>
      </c>
    </row>
    <row r="55" spans="1:4">
      <c r="A55" s="3475"/>
      <c r="B55" s="3308" t="s">
        <v>332</v>
      </c>
      <c r="C55" s="3295" t="s">
        <v>333</v>
      </c>
    </row>
    <row r="56" spans="1:4">
      <c r="A56" s="3475"/>
      <c r="B56" s="3308" t="s">
        <v>334</v>
      </c>
      <c r="C56" s="3295" t="s">
        <v>335</v>
      </c>
    </row>
    <row r="57" spans="1:4">
      <c r="A57" s="3475"/>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6" t="s">
        <v>340</v>
      </c>
      <c r="J2" s="3476"/>
      <c r="K2" s="3476"/>
      <c r="L2" s="3476"/>
      <c r="M2" s="3476"/>
      <c r="N2" s="3476"/>
      <c r="O2" s="3476"/>
      <c r="P2" s="3476"/>
      <c r="Q2" s="3476"/>
      <c r="R2" s="3476"/>
    </row>
    <row r="3" spans="1:18">
      <c r="A3" s="485" t="s">
        <v>341</v>
      </c>
      <c r="B3" s="3250">
        <f>项目基本情况!D3</f>
        <v>45218</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3.16</v>
      </c>
      <c r="D5" s="3252">
        <f>IF(ISERROR(ROUND(POWER(1+E5,A5-C5)*(POWER(1+E5,C5)-1)/(POWER(1+E5,A5)-1),3)),0,ROUND(POWER(1+E5,A5-C5)*(POWER(1+E5,C5)-1)/(POWER(1+E5,A5)-1),4))</f>
        <v>0.1472</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13.17</v>
      </c>
      <c r="D6" s="3252">
        <f>IF(ISERROR(ROUND(POWER(1+E6,A6-C6)*(POWER(1+E6,C6)-1)/(POWER(1+E6,A6)-1),3)),0,ROUND(POWER(1+E6,A6-C6)*(POWER(1+E6,C6)-1)/(POWER(1+E6,A6)-1),4))</f>
        <v>0.46949999999999997</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33.19</v>
      </c>
      <c r="D7" s="3252">
        <f>IF(ISERROR(ROUND(POWER(1+E7,A7-C7)*(POWER(1+E7,C7)-1)/(POWER(1+E7,A7)-1),3)),0,ROUND(POWER(1+E7,A7-C7)*(POWER(1+E7,C7)-1)/(POWER(1+E7,A7)-1),4))</f>
        <v>0.77790000000000004</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5.3</v>
      </c>
      <c r="L25" s="3243" t="s">
        <v>385</v>
      </c>
      <c r="M25" s="3243">
        <v>8</v>
      </c>
    </row>
    <row r="26" spans="1:13">
      <c r="A26" s="3269"/>
      <c r="B26" s="3270"/>
      <c r="C26" s="3270"/>
      <c r="D26" s="3270"/>
      <c r="E26" s="3270"/>
      <c r="F26" s="3270"/>
      <c r="G26" s="3271"/>
      <c r="I26" s="3243">
        <v>30</v>
      </c>
      <c r="J26" s="3243">
        <v>90.5</v>
      </c>
      <c r="K26" s="3243">
        <f t="shared" si="2"/>
        <v>4.2</v>
      </c>
      <c r="L26" s="3243" t="s">
        <v>386</v>
      </c>
      <c r="M26" s="3243">
        <v>5</v>
      </c>
    </row>
    <row r="27" spans="1:13">
      <c r="A27" s="3269" t="s">
        <v>387</v>
      </c>
      <c r="B27" s="3270"/>
      <c r="C27" s="3270"/>
      <c r="D27" s="3270"/>
      <c r="E27" s="3270"/>
      <c r="F27" s="3270"/>
      <c r="G27" s="3271"/>
      <c r="I27" s="3243">
        <v>35</v>
      </c>
      <c r="J27" s="3243">
        <v>93.8</v>
      </c>
      <c r="K27" s="3243">
        <f t="shared" si="2"/>
        <v>3.3</v>
      </c>
      <c r="L27" s="3243" t="s">
        <v>388</v>
      </c>
      <c r="M27" s="3243">
        <v>3</v>
      </c>
    </row>
    <row r="28" spans="1:13">
      <c r="A28" s="3269" t="s">
        <v>389</v>
      </c>
      <c r="B28" s="3270"/>
      <c r="C28" s="3270"/>
      <c r="D28" s="3270"/>
      <c r="E28" s="3270"/>
      <c r="F28" s="3270"/>
      <c r="G28" s="3271"/>
      <c r="I28" s="3243">
        <v>40</v>
      </c>
      <c r="J28" s="3243">
        <v>96.4</v>
      </c>
      <c r="K28" s="3243">
        <f t="shared" si="2"/>
        <v>2.6000000000000099</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1.5999999999999901</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11.9</v>
      </c>
    </row>
    <row r="36" spans="1:13">
      <c r="A36" s="3269" t="s">
        <v>400</v>
      </c>
      <c r="B36" s="3270"/>
      <c r="C36" s="3270"/>
      <c r="D36" s="3270"/>
      <c r="E36" s="3270"/>
      <c r="F36" s="3270"/>
      <c r="G36" s="3271"/>
      <c r="I36" s="3243">
        <v>15</v>
      </c>
      <c r="J36" s="3243">
        <v>76.3</v>
      </c>
      <c r="K36" s="3243">
        <f t="shared" ref="K36:K41" si="3">J36-J35</f>
        <v>9.3000000000000007</v>
      </c>
      <c r="L36" s="3243" t="s">
        <v>380</v>
      </c>
      <c r="M36" s="3243" t="s">
        <v>381</v>
      </c>
    </row>
    <row r="37" spans="1:13">
      <c r="A37" s="3269" t="s">
        <v>401</v>
      </c>
      <c r="B37" s="3270"/>
      <c r="C37" s="3270"/>
      <c r="D37" s="3270"/>
      <c r="E37" s="3270"/>
      <c r="F37" s="3270"/>
      <c r="G37" s="3271"/>
      <c r="I37" s="3243">
        <v>20</v>
      </c>
      <c r="J37" s="3243">
        <v>83.6</v>
      </c>
      <c r="K37" s="3243">
        <f t="shared" si="3"/>
        <v>7.3</v>
      </c>
      <c r="L37" s="3243" t="s">
        <v>383</v>
      </c>
      <c r="M37" s="3243">
        <v>10</v>
      </c>
    </row>
    <row r="38" spans="1:13">
      <c r="A38" s="3269" t="s">
        <v>402</v>
      </c>
      <c r="B38" s="3270"/>
      <c r="C38" s="3270"/>
      <c r="D38" s="3270"/>
      <c r="E38" s="3270"/>
      <c r="F38" s="3270"/>
      <c r="G38" s="3271"/>
      <c r="I38" s="3243">
        <v>25</v>
      </c>
      <c r="J38" s="3243">
        <v>89.3</v>
      </c>
      <c r="K38" s="3243">
        <f t="shared" si="3"/>
        <v>5.7</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3.4000000000000101</v>
      </c>
      <c r="L40" s="3243" t="s">
        <v>388</v>
      </c>
      <c r="M40" s="3243">
        <v>3</v>
      </c>
    </row>
    <row r="41" spans="1:13">
      <c r="A41" s="3275" t="s">
        <v>404</v>
      </c>
      <c r="B41" s="3276" t="s">
        <v>405</v>
      </c>
      <c r="C41" s="3277" t="s">
        <v>406</v>
      </c>
      <c r="D41" s="3277" t="s">
        <v>407</v>
      </c>
      <c r="E41" s="3278"/>
      <c r="F41" s="3279"/>
      <c r="G41" s="3280"/>
      <c r="I41" s="3243">
        <v>40</v>
      </c>
      <c r="J41" s="3243">
        <v>100</v>
      </c>
      <c r="K41" s="3243">
        <f t="shared" si="3"/>
        <v>2.8</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44" sqref="D44"/>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09" customWidth="1"/>
    <col min="12" max="13" width="10" style="3110" customWidth="1"/>
    <col min="14" max="14" width="10" style="2926" customWidth="1"/>
    <col min="15" max="15" width="10" style="945" customWidth="1"/>
    <col min="16" max="17" width="10" style="2926"/>
    <col min="18" max="18" width="10" style="2926" customWidth="1"/>
    <col min="19" max="30" width="10" style="2926"/>
    <col min="31" max="16384" width="10" style="2731"/>
  </cols>
  <sheetData>
    <row r="1" spans="1:30">
      <c r="A1" s="3111"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81"/>
      <c r="K1" s="3209"/>
      <c r="L1" s="3210"/>
      <c r="M1" s="3210"/>
      <c r="N1" s="3153"/>
      <c r="O1" s="3021"/>
      <c r="P1" s="3153"/>
      <c r="Q1" s="3153"/>
      <c r="R1" s="3153"/>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2" t="s">
        <v>426</v>
      </c>
      <c r="B2" s="3113"/>
      <c r="C2" s="3114"/>
      <c r="D2" s="3115"/>
      <c r="E2" s="3116"/>
      <c r="F2" s="3116"/>
      <c r="G2" s="3117"/>
      <c r="H2" s="3117"/>
      <c r="I2" s="3117"/>
      <c r="J2" s="2681"/>
      <c r="K2" s="3209"/>
      <c r="L2" s="3210"/>
      <c r="M2" s="3210"/>
      <c r="N2" s="3153"/>
      <c r="O2" s="3021"/>
      <c r="P2" s="3153"/>
      <c r="Q2" s="3153"/>
      <c r="R2" s="3153"/>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72" t="s">
        <v>427</v>
      </c>
      <c r="B3" s="3118"/>
      <c r="C3" s="3119" t="s">
        <v>428</v>
      </c>
      <c r="D3" s="3434">
        <v>45218</v>
      </c>
      <c r="E3" s="3117"/>
      <c r="F3" s="3117"/>
      <c r="G3" s="3117"/>
      <c r="H3" s="3117"/>
      <c r="I3" s="3117"/>
      <c r="J3" s="2681"/>
      <c r="K3" s="3209"/>
      <c r="L3" s="3210"/>
      <c r="M3" s="3210"/>
      <c r="N3" s="3153"/>
      <c r="O3" s="3021"/>
      <c r="P3" s="3153"/>
      <c r="Q3" s="3153"/>
      <c r="R3" s="3153"/>
      <c r="S3" s="2732"/>
      <c r="T3" s="2731"/>
      <c r="U3" s="2731"/>
      <c r="V3" s="2731"/>
      <c r="W3" s="2731"/>
      <c r="X3" s="2731"/>
      <c r="Y3" s="2731"/>
      <c r="Z3" s="2731"/>
      <c r="AA3" s="2731"/>
      <c r="AB3" s="2731"/>
    </row>
    <row r="4" spans="1:30">
      <c r="A4" s="199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5"/>
      <c r="K4" s="3211" t="str">
        <f>CONCATENATE(B4,"（注册号：",C4,")、",D4,"（注册号：",E4,")")</f>
        <v>（注册号：0)、（注册号：0)</v>
      </c>
      <c r="L4" s="3210"/>
      <c r="M4" s="3210"/>
      <c r="N4" s="3153"/>
      <c r="O4" s="3021"/>
      <c r="P4" s="3153"/>
      <c r="Q4" s="3153"/>
      <c r="R4" s="3153"/>
      <c r="S4" s="2732"/>
      <c r="T4" s="2731"/>
      <c r="U4" s="2731"/>
      <c r="V4" s="2731"/>
      <c r="W4" s="2731"/>
      <c r="X4" s="2731"/>
      <c r="Y4" s="2731"/>
      <c r="Z4" s="2731"/>
      <c r="AA4" s="2731"/>
      <c r="AB4" s="2731"/>
    </row>
    <row r="5" spans="1:30">
      <c r="A5" s="3123" t="s">
        <v>430</v>
      </c>
      <c r="B5" s="3124"/>
      <c r="C5" s="3125"/>
      <c r="D5" s="3126"/>
      <c r="E5" s="2836"/>
      <c r="F5" s="2836"/>
      <c r="G5" s="2836"/>
      <c r="H5" s="2836"/>
      <c r="I5" s="2836"/>
      <c r="J5" s="2715"/>
      <c r="K5" s="3211" t="str">
        <f>IF(F4="——","",IF(H4="——",F4&amp;"（注册号："&amp;G4&amp;")",CONCATENATE(F4,"（注册号：",G4,")、",H4,"（注册号：",I4,")")))</f>
        <v>（注册号：0)、（注册号：0)</v>
      </c>
      <c r="L5" s="3210"/>
      <c r="M5" s="3210"/>
      <c r="N5" s="3153"/>
      <c r="O5" s="3021"/>
      <c r="P5" s="3153"/>
      <c r="Q5" s="3153"/>
      <c r="R5" s="3153"/>
      <c r="S5" s="2731"/>
      <c r="T5" s="2731"/>
      <c r="U5" s="2731"/>
      <c r="V5" s="2731"/>
      <c r="W5" s="2731"/>
      <c r="X5" s="2731"/>
      <c r="Y5" s="2731"/>
      <c r="Z5" s="2731"/>
      <c r="AA5" s="2731"/>
      <c r="AB5" s="2731"/>
    </row>
    <row r="6" spans="1:30">
      <c r="A6" s="3127" t="s">
        <v>431</v>
      </c>
      <c r="B6" s="3128"/>
      <c r="C6" s="3129"/>
      <c r="D6" s="3130"/>
      <c r="E6" s="3116"/>
      <c r="F6" s="2836"/>
      <c r="G6" s="2836"/>
      <c r="H6" s="2836"/>
      <c r="I6" s="2836"/>
      <c r="J6" s="2715"/>
      <c r="K6" s="3212" t="str">
        <f>IF(COUNTIF(B6,"*上海银行*"),"上海银行","")</f>
        <v/>
      </c>
      <c r="L6" s="3213"/>
      <c r="M6" s="3213"/>
      <c r="N6" s="2715"/>
      <c r="O6" s="3214"/>
      <c r="P6" s="2715"/>
      <c r="Q6" s="2715"/>
      <c r="R6" s="2715"/>
    </row>
    <row r="7" spans="1:30">
      <c r="A7" s="3127" t="s">
        <v>432</v>
      </c>
      <c r="B7" s="3131"/>
      <c r="C7" s="3129"/>
      <c r="D7" s="3130"/>
      <c r="E7" s="3116"/>
      <c r="F7" s="2836"/>
      <c r="G7" s="2836"/>
      <c r="H7" s="2836"/>
      <c r="I7" s="2836"/>
      <c r="J7" s="2715"/>
      <c r="K7" s="3215"/>
      <c r="L7" s="3213"/>
      <c r="M7" s="3213"/>
      <c r="N7" s="2715"/>
      <c r="O7" s="3214"/>
      <c r="P7" s="2715"/>
      <c r="Q7" s="2715"/>
      <c r="R7" s="2715"/>
    </row>
    <row r="8" spans="1:30">
      <c r="A8" s="3132" t="s">
        <v>433</v>
      </c>
      <c r="B8" s="3133" t="s">
        <v>325</v>
      </c>
      <c r="C8" s="3134"/>
      <c r="D8" s="3496" t="s">
        <v>434</v>
      </c>
      <c r="E8" s="3135" t="s">
        <v>330</v>
      </c>
      <c r="F8" s="3136"/>
      <c r="G8" s="3117"/>
      <c r="H8" s="3117"/>
      <c r="I8" s="3117"/>
      <c r="J8" s="2715"/>
      <c r="K8" s="3216"/>
      <c r="L8" s="3213"/>
      <c r="M8" s="3213"/>
      <c r="N8" s="2715"/>
      <c r="O8" s="3214"/>
      <c r="P8" s="2715"/>
      <c r="Q8" s="2715"/>
      <c r="R8" s="2715"/>
    </row>
    <row r="9" spans="1:30">
      <c r="A9" s="3137" t="s">
        <v>435</v>
      </c>
      <c r="B9" s="3138" t="s">
        <v>330</v>
      </c>
      <c r="C9" s="3139"/>
      <c r="D9" s="3497"/>
      <c r="E9" s="3138"/>
      <c r="F9" s="3140"/>
      <c r="G9" s="3141"/>
      <c r="H9" s="3141"/>
      <c r="I9" s="3141"/>
      <c r="J9" s="2715"/>
      <c r="K9" s="3215"/>
      <c r="L9" s="3213"/>
      <c r="M9" s="3213"/>
      <c r="N9" s="2715"/>
      <c r="O9" s="3214"/>
      <c r="P9" s="2715"/>
      <c r="Q9" s="2715"/>
      <c r="R9" s="2715"/>
    </row>
    <row r="10" spans="1:30">
      <c r="A10" s="3142" t="s">
        <v>436</v>
      </c>
      <c r="B10" s="3143" t="s">
        <v>437</v>
      </c>
      <c r="C10" s="3144"/>
      <c r="D10" s="3126"/>
      <c r="E10" s="3145" t="s">
        <v>438</v>
      </c>
      <c r="F10" s="3146"/>
      <c r="G10" s="3147"/>
      <c r="H10" s="3148"/>
      <c r="I10" s="3217"/>
      <c r="J10" s="2715"/>
      <c r="K10" s="3215"/>
      <c r="L10" s="3213"/>
      <c r="M10" s="3213"/>
      <c r="N10" s="2715"/>
      <c r="O10" s="3214"/>
      <c r="P10" s="2715"/>
      <c r="Q10" s="2715"/>
      <c r="R10" s="2715"/>
    </row>
    <row r="11" spans="1:30">
      <c r="A11" s="3149" t="s">
        <v>439</v>
      </c>
      <c r="B11" s="3150" t="s">
        <v>2748</v>
      </c>
      <c r="C11" s="3151"/>
      <c r="D11" s="3152"/>
      <c r="E11" s="3153"/>
      <c r="F11" s="3153"/>
      <c r="G11" s="3153"/>
      <c r="H11" s="3153"/>
      <c r="I11" s="3153"/>
      <c r="J11" s="3218"/>
      <c r="K11" s="3219"/>
      <c r="L11" s="3213"/>
      <c r="M11" s="3213"/>
      <c r="N11" s="2715"/>
      <c r="O11" s="3214"/>
      <c r="P11" s="2715"/>
      <c r="Q11" s="2715"/>
      <c r="R11" s="2715"/>
    </row>
    <row r="12" spans="1:30">
      <c r="A12" s="3154" t="s">
        <v>440</v>
      </c>
      <c r="B12" s="2013" t="s">
        <v>441</v>
      </c>
      <c r="C12" s="3155" t="s">
        <v>442</v>
      </c>
      <c r="D12" s="3155" t="s">
        <v>443</v>
      </c>
      <c r="E12" s="3155" t="s">
        <v>444</v>
      </c>
      <c r="F12" s="3155" t="s">
        <v>445</v>
      </c>
      <c r="G12" s="3155" t="s">
        <v>446</v>
      </c>
      <c r="H12" s="3155" t="s">
        <v>447</v>
      </c>
      <c r="I12" s="3220" t="s">
        <v>280</v>
      </c>
      <c r="J12" s="3221"/>
      <c r="K12" s="3213"/>
      <c r="L12" s="3213"/>
      <c r="M12" s="2715"/>
      <c r="N12" s="3214"/>
      <c r="O12" s="2715"/>
      <c r="P12" s="2715"/>
      <c r="Q12" s="2715"/>
      <c r="AD12" s="2731"/>
    </row>
    <row r="13" spans="1:30">
      <c r="A13" s="3156" t="s">
        <v>448</v>
      </c>
      <c r="B13" s="3157" t="s">
        <v>449</v>
      </c>
      <c r="C13" s="3158"/>
      <c r="D13" s="3158"/>
      <c r="E13" s="3433">
        <v>57631</v>
      </c>
      <c r="F13" s="3158"/>
      <c r="G13" s="3158"/>
      <c r="H13" s="3158"/>
      <c r="I13" s="3158"/>
      <c r="J13" s="3221"/>
      <c r="K13" s="3213"/>
      <c r="L13" s="3213"/>
      <c r="M13" s="2715"/>
      <c r="N13" s="3214"/>
      <c r="O13" s="2715"/>
      <c r="P13" s="2715"/>
      <c r="Q13" s="2715"/>
      <c r="AD13" s="2731"/>
    </row>
    <row r="14" spans="1:30">
      <c r="A14" s="1999"/>
      <c r="B14" s="3157" t="s">
        <v>450</v>
      </c>
      <c r="C14" s="3159"/>
      <c r="D14" s="3159"/>
      <c r="E14" s="3159">
        <v>50</v>
      </c>
      <c r="F14" s="3159"/>
      <c r="G14" s="3159"/>
      <c r="H14" s="3159"/>
      <c r="I14" s="3159"/>
      <c r="J14" s="3222"/>
      <c r="K14" s="3213"/>
      <c r="L14" s="3213"/>
      <c r="M14" s="2715"/>
      <c r="N14" s="3214"/>
      <c r="O14" s="2715"/>
      <c r="P14" s="2715"/>
      <c r="Q14" s="2715"/>
      <c r="AD14" s="2731"/>
    </row>
    <row r="15" spans="1:30">
      <c r="A15" s="2006"/>
      <c r="B15" s="3160" t="s">
        <v>451</v>
      </c>
      <c r="C15" s="3161" t="str">
        <f>IF(A13="出让",IF(C13="","",ROUNDDOWN(MIN((C13-$D$3)/365,C14),2)),C14)</f>
        <v/>
      </c>
      <c r="D15" s="3161" t="str">
        <f>IF(A13="出让",IF(D13="","",ROUNDDOWN(MIN((D13-$D$3)/365,D14),2)),D14)</f>
        <v/>
      </c>
      <c r="E15" s="3161">
        <f>IF(A13="出让",IF(E13="","",ROUNDDOWN(MIN((E13-$D$3)/365,E14),2)),E14)</f>
        <v>34</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3"/>
      <c r="K15" s="3224"/>
      <c r="L15" s="3224"/>
      <c r="M15" s="2716"/>
      <c r="N15" s="3224"/>
      <c r="O15" s="2716"/>
      <c r="P15" s="2715"/>
      <c r="Q15" s="2715"/>
      <c r="AD15" s="2731"/>
    </row>
    <row r="16" spans="1:30">
      <c r="A16" s="3145" t="s">
        <v>452</v>
      </c>
      <c r="B16" s="3484"/>
      <c r="C16" s="3485"/>
      <c r="D16" s="3486"/>
      <c r="E16" s="3162" t="s">
        <v>453</v>
      </c>
      <c r="F16" s="3487"/>
      <c r="G16" s="3488"/>
      <c r="H16" s="3488"/>
      <c r="I16" s="3489"/>
      <c r="J16" s="2715"/>
      <c r="K16" s="3225"/>
      <c r="L16" s="3224"/>
      <c r="M16" s="3224"/>
      <c r="N16" s="2716"/>
      <c r="O16" s="3224"/>
      <c r="P16" s="2716"/>
      <c r="Q16" s="2715"/>
      <c r="R16" s="2715"/>
    </row>
    <row r="17" spans="1:28">
      <c r="A17" s="1983" t="s">
        <v>454</v>
      </c>
      <c r="B17" s="1972" t="s">
        <v>455</v>
      </c>
      <c r="C17" s="1007">
        <f>'数据-汇总表'!E3</f>
        <v>46.53</v>
      </c>
      <c r="D17" s="2026" t="s">
        <v>456</v>
      </c>
      <c r="E17" s="3490" t="s">
        <v>457</v>
      </c>
      <c r="F17" s="3491"/>
      <c r="G17" s="3491"/>
      <c r="H17" s="3491"/>
      <c r="I17" s="3492"/>
      <c r="J17" s="2715"/>
      <c r="K17" s="3226"/>
      <c r="L17" s="3224"/>
      <c r="M17" s="3224"/>
      <c r="N17" s="2716"/>
      <c r="O17" s="3224"/>
      <c r="P17" s="2716"/>
      <c r="Q17" s="2715"/>
      <c r="R17" s="2715"/>
      <c r="S17" s="2715"/>
      <c r="T17" s="2715"/>
      <c r="U17" s="2715"/>
      <c r="V17" s="2715"/>
    </row>
    <row r="18" spans="1:28" ht="24">
      <c r="A18" s="3163" t="s">
        <v>458</v>
      </c>
      <c r="B18" s="1994" t="s">
        <v>459</v>
      </c>
      <c r="C18" s="3164">
        <f>'数据-汇总表'!D3</f>
        <v>0</v>
      </c>
      <c r="D18" s="2019" t="s">
        <v>456</v>
      </c>
      <c r="E18" s="3493" t="s">
        <v>460</v>
      </c>
      <c r="F18" s="3494"/>
      <c r="G18" s="3494"/>
      <c r="H18" s="3494"/>
      <c r="I18" s="3495"/>
      <c r="J18" s="2715"/>
      <c r="K18" s="3226"/>
      <c r="L18" s="3224"/>
      <c r="M18" s="3224"/>
      <c r="N18" s="2716"/>
      <c r="O18" s="3224"/>
      <c r="P18" s="2716"/>
      <c r="Q18" s="2715"/>
      <c r="R18" s="2715"/>
      <c r="S18" s="2715"/>
      <c r="T18" s="2715"/>
      <c r="U18" s="2715"/>
      <c r="V18" s="2715"/>
    </row>
    <row r="19" spans="1:28" ht="36">
      <c r="A19" s="2036" t="s">
        <v>461</v>
      </c>
      <c r="B19" s="1976" t="s">
        <v>462</v>
      </c>
      <c r="C19" s="3165"/>
      <c r="D19" s="3166" t="s">
        <v>463</v>
      </c>
      <c r="E19" s="3167"/>
      <c r="F19" s="3168" t="str">
        <f>IF(AND(C19="是",E19="否"),"是否提供他项权证或相关说明","")</f>
        <v/>
      </c>
      <c r="G19" s="3169"/>
      <c r="H19" s="2836"/>
      <c r="I19" s="2836"/>
      <c r="J19" s="2715"/>
      <c r="K19" s="3215"/>
      <c r="L19" s="3213"/>
      <c r="M19" s="3213"/>
      <c r="N19" s="2716"/>
      <c r="O19" s="3224"/>
      <c r="P19" s="2716"/>
      <c r="Q19" s="2715"/>
      <c r="R19" s="2715"/>
      <c r="S19" s="2715"/>
      <c r="T19" s="2715"/>
      <c r="U19" s="2715"/>
      <c r="V19" s="2715"/>
    </row>
    <row r="20" spans="1:28">
      <c r="A20" s="3170" t="s">
        <v>464</v>
      </c>
      <c r="B20" s="3500" t="s">
        <v>465</v>
      </c>
      <c r="C20" s="3501"/>
      <c r="D20" s="3502" t="s">
        <v>466</v>
      </c>
      <c r="E20" s="3503"/>
      <c r="F20" s="3171" t="s">
        <v>467</v>
      </c>
      <c r="G20" s="2836"/>
      <c r="H20" s="2836"/>
      <c r="I20" s="2836"/>
      <c r="J20" s="2715"/>
      <c r="K20" s="3498" t="s">
        <v>468</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3"/>
      <c r="R20" s="3153"/>
      <c r="S20" s="3153"/>
      <c r="T20" s="3153"/>
      <c r="U20" s="3153"/>
      <c r="V20" s="3153"/>
      <c r="W20" s="2731"/>
      <c r="X20" s="2731"/>
      <c r="Y20" s="2731"/>
      <c r="Z20" s="2731"/>
      <c r="AA20" s="2731"/>
      <c r="AB20" s="2731"/>
    </row>
    <row r="21" spans="1:28" ht="24">
      <c r="A21" s="3170"/>
      <c r="B21" s="3172" t="s">
        <v>469</v>
      </c>
      <c r="C21" s="3173" t="s">
        <v>470</v>
      </c>
      <c r="D21" s="3174" t="s">
        <v>471</v>
      </c>
      <c r="E21" s="3175" t="s">
        <v>470</v>
      </c>
      <c r="F21" s="3176"/>
      <c r="G21" s="2836"/>
      <c r="H21" s="2836"/>
      <c r="I21" s="2836"/>
      <c r="J21" s="2715"/>
      <c r="K21" s="3498"/>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3"/>
      <c r="R21" s="3153"/>
      <c r="S21" s="3153"/>
      <c r="T21" s="3153"/>
      <c r="U21" s="3153"/>
      <c r="V21" s="3153"/>
      <c r="W21" s="2731"/>
      <c r="X21" s="2731"/>
      <c r="Y21" s="2731"/>
      <c r="Z21" s="2731"/>
      <c r="AA21" s="2731"/>
      <c r="AB21" s="2731"/>
    </row>
    <row r="22" spans="1:28" ht="24">
      <c r="A22" s="3170"/>
      <c r="B22" s="3177" t="s">
        <v>472</v>
      </c>
      <c r="C22" s="3173" t="s">
        <v>473</v>
      </c>
      <c r="D22" s="3117"/>
      <c r="E22" s="3117"/>
      <c r="F22" s="3117"/>
      <c r="G22" s="2836">
        <f>2023-'数据-取费表'!N20+2</f>
        <v>16</v>
      </c>
      <c r="H22" s="2836"/>
      <c r="I22" s="2836"/>
      <c r="J22" s="2715"/>
      <c r="K22" s="3498"/>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3"/>
      <c r="R22" s="3153"/>
      <c r="S22" s="3153"/>
      <c r="T22" s="3153"/>
      <c r="U22" s="3153"/>
      <c r="V22" s="3153"/>
      <c r="W22" s="2731"/>
      <c r="X22" s="2731"/>
      <c r="Y22" s="2731"/>
      <c r="Z22" s="2731"/>
      <c r="AA22" s="2731"/>
      <c r="AB22" s="2731"/>
    </row>
    <row r="23" spans="1:28">
      <c r="A23" s="3178" t="s">
        <v>474</v>
      </c>
      <c r="B23" s="2706" t="s">
        <v>475</v>
      </c>
      <c r="C23" s="3179"/>
      <c r="D23" s="3180" t="s">
        <v>475</v>
      </c>
      <c r="E23" s="3181"/>
      <c r="F23" s="3117"/>
      <c r="G23" s="2836">
        <f>50-G22</f>
        <v>34</v>
      </c>
      <c r="H23" s="2836"/>
      <c r="I23" s="2836"/>
      <c r="J23" s="2715"/>
      <c r="K23" s="3229"/>
      <c r="L23" s="2135"/>
      <c r="M23" s="3213"/>
      <c r="N23" s="2716"/>
      <c r="O23" s="3224"/>
      <c r="P23" s="2716"/>
      <c r="Q23" s="2715"/>
      <c r="R23" s="2715"/>
      <c r="S23" s="2715"/>
      <c r="T23" s="2715"/>
      <c r="U23" s="2715"/>
      <c r="V23" s="2715"/>
    </row>
    <row r="24" spans="1:28">
      <c r="A24" s="3178"/>
      <c r="B24" s="2706" t="s">
        <v>476</v>
      </c>
      <c r="C24" s="3182"/>
      <c r="D24" s="3178" t="s">
        <v>476</v>
      </c>
      <c r="E24" s="3183"/>
      <c r="F24" s="3117"/>
      <c r="G24" s="2836"/>
      <c r="H24" s="2836"/>
      <c r="I24" s="2836"/>
      <c r="J24" s="2715"/>
      <c r="K24" s="3229"/>
      <c r="L24" s="2135"/>
      <c r="M24" s="3213"/>
      <c r="N24" s="2716"/>
      <c r="O24" s="3224"/>
      <c r="P24" s="2716"/>
      <c r="Q24" s="2715"/>
      <c r="R24" s="2715"/>
      <c r="S24" s="2715"/>
      <c r="T24" s="2715"/>
      <c r="U24" s="2715"/>
      <c r="V24" s="2715"/>
    </row>
    <row r="25" spans="1:28">
      <c r="A25" s="3178"/>
      <c r="B25" s="2706" t="s">
        <v>477</v>
      </c>
      <c r="C25" s="3182"/>
      <c r="D25" s="3178" t="s">
        <v>477</v>
      </c>
      <c r="E25" s="3183"/>
      <c r="F25" s="3117"/>
      <c r="G25" s="2836"/>
      <c r="H25" s="2836"/>
      <c r="I25" s="2836"/>
      <c r="J25" s="2715"/>
      <c r="K25" s="3215"/>
      <c r="L25" s="3213"/>
      <c r="M25" s="3213"/>
      <c r="N25" s="2716"/>
      <c r="O25" s="3224"/>
      <c r="P25" s="2716"/>
      <c r="Q25" s="2715"/>
      <c r="R25" s="2715"/>
      <c r="S25" s="2715"/>
      <c r="T25" s="2715"/>
      <c r="U25" s="2715"/>
      <c r="V25" s="2715"/>
    </row>
    <row r="26" spans="1:28">
      <c r="A26" s="3184"/>
      <c r="B26" s="3185" t="s">
        <v>478</v>
      </c>
      <c r="C26" s="3186"/>
      <c r="D26" s="3184" t="s">
        <v>478</v>
      </c>
      <c r="E26" s="3187"/>
      <c r="F26" s="3141"/>
      <c r="G26" s="3141"/>
      <c r="H26" s="3141"/>
      <c r="I26" s="3141"/>
      <c r="J26" s="2715"/>
      <c r="K26" s="3215"/>
      <c r="L26" s="3213"/>
      <c r="M26" s="3213"/>
      <c r="N26" s="2716"/>
      <c r="O26" s="3224"/>
      <c r="P26" s="2716"/>
      <c r="Q26" s="2715"/>
      <c r="R26" s="2715"/>
      <c r="S26" s="2715"/>
      <c r="T26" s="2715"/>
      <c r="U26" s="2715"/>
      <c r="V26" s="2715"/>
    </row>
    <row r="27" spans="1:28">
      <c r="A27" s="3477" t="s">
        <v>479</v>
      </c>
      <c r="B27" s="2006" t="s">
        <v>480</v>
      </c>
      <c r="C27" s="3188" t="s">
        <v>481</v>
      </c>
      <c r="D27" s="3189"/>
      <c r="E27" s="2836"/>
      <c r="F27" s="2836"/>
      <c r="G27" s="2836"/>
      <c r="H27" s="2836"/>
      <c r="I27" s="2836"/>
      <c r="J27" s="2715"/>
      <c r="K27" s="3225"/>
      <c r="L27" s="3224"/>
      <c r="M27" s="3224"/>
      <c r="N27" s="2716"/>
      <c r="O27" s="3224"/>
      <c r="P27" s="2716"/>
      <c r="Q27" s="2715"/>
      <c r="R27" s="2715"/>
      <c r="S27" s="2715"/>
      <c r="T27" s="2715"/>
      <c r="U27" s="2715"/>
      <c r="V27" s="2715"/>
    </row>
    <row r="28" spans="1:28">
      <c r="A28" s="3477"/>
      <c r="B28" s="1972" t="s">
        <v>482</v>
      </c>
      <c r="C28" s="3190" t="s">
        <v>483</v>
      </c>
      <c r="D28" s="3191"/>
      <c r="E28" s="2836"/>
      <c r="F28" s="2836"/>
      <c r="G28" s="2836"/>
      <c r="H28" s="2836"/>
      <c r="I28" s="2836"/>
      <c r="J28" s="2715"/>
      <c r="K28" s="3215"/>
      <c r="L28" s="3213"/>
      <c r="M28" s="3213"/>
      <c r="N28" s="2715"/>
      <c r="O28" s="3214"/>
      <c r="P28" s="2715"/>
      <c r="Q28" s="2715"/>
      <c r="R28" s="2715"/>
      <c r="S28" s="2715"/>
      <c r="T28" s="2715"/>
      <c r="U28" s="2715"/>
      <c r="V28" s="2715"/>
    </row>
    <row r="29" spans="1:28">
      <c r="A29" s="3477"/>
      <c r="B29" s="1972" t="s">
        <v>484</v>
      </c>
      <c r="C29" s="3192" t="s">
        <v>485</v>
      </c>
      <c r="D29" s="3193"/>
      <c r="E29" s="2836"/>
      <c r="F29" s="2836"/>
      <c r="G29" s="2836"/>
      <c r="H29" s="2836"/>
      <c r="I29" s="2836"/>
      <c r="J29" s="2715"/>
      <c r="K29" s="3215"/>
      <c r="L29" s="3213"/>
      <c r="M29" s="3213"/>
      <c r="N29" s="2715"/>
      <c r="O29" s="3214"/>
      <c r="P29" s="2715"/>
      <c r="Q29" s="2715"/>
      <c r="R29" s="2715"/>
      <c r="S29" s="2715"/>
      <c r="T29" s="2715"/>
      <c r="U29" s="2715"/>
      <c r="V29" s="2715"/>
    </row>
    <row r="30" spans="1:28">
      <c r="A30" s="3478"/>
      <c r="B30" s="1972" t="s">
        <v>486</v>
      </c>
      <c r="C30" s="3504"/>
      <c r="D30" s="3505"/>
      <c r="E30" s="2836"/>
      <c r="F30" s="2836"/>
      <c r="G30" s="2836"/>
      <c r="H30" s="2836"/>
      <c r="I30" s="2836"/>
      <c r="J30" s="2715"/>
      <c r="K30" s="3215"/>
      <c r="L30" s="3213"/>
      <c r="M30" s="3213"/>
      <c r="N30" s="2715"/>
      <c r="O30" s="3214"/>
      <c r="P30" s="2715"/>
      <c r="Q30" s="2715"/>
      <c r="R30" s="2715"/>
      <c r="S30" s="2715"/>
      <c r="T30" s="2715"/>
      <c r="U30" s="2715"/>
      <c r="V30" s="2715"/>
    </row>
    <row r="31" spans="1:28">
      <c r="A31" s="3479" t="s">
        <v>487</v>
      </c>
      <c r="B31" s="3194" t="s">
        <v>488</v>
      </c>
      <c r="C31" s="2126" t="str">
        <f>IF(B31="现房","成新及维护状况正常否",IF(B31="在建","工程状态是否正常",IF(B31="土地","是否闲置","-")))</f>
        <v>成新及维护状况正常否</v>
      </c>
      <c r="D31" s="2241"/>
      <c r="E31" s="3195"/>
      <c r="F31" s="2836"/>
      <c r="G31" s="2836"/>
      <c r="H31" s="2836"/>
      <c r="I31" s="2836"/>
      <c r="J31" s="2715"/>
      <c r="K31" s="3212"/>
      <c r="L31" s="3213"/>
      <c r="M31" s="3213"/>
      <c r="N31" s="2715"/>
      <c r="O31" s="3214"/>
      <c r="P31" s="2715"/>
      <c r="Q31" s="2715"/>
      <c r="R31" s="2715"/>
      <c r="S31" s="2715"/>
      <c r="T31" s="2715"/>
      <c r="U31" s="2715"/>
      <c r="V31" s="2715"/>
    </row>
    <row r="32" spans="1:28">
      <c r="A32" s="3480"/>
      <c r="B32" s="3194"/>
      <c r="C32" s="2126" t="str">
        <f>IF(B32="现房","成新及维护状况是否正常",IF(B32="在建","工程状态是否正常",IF(B32="土地","是否闲置","-")))</f>
        <v>-</v>
      </c>
      <c r="D32" s="2241"/>
      <c r="E32" s="3195"/>
      <c r="F32" s="2836"/>
      <c r="G32" s="2836"/>
      <c r="H32" s="2836"/>
      <c r="I32" s="2836"/>
      <c r="J32" s="2715"/>
      <c r="K32" s="3215"/>
      <c r="L32" s="3213"/>
      <c r="M32" s="3213"/>
      <c r="N32" s="2715"/>
      <c r="O32" s="3214"/>
      <c r="P32" s="2715"/>
      <c r="Q32" s="2715"/>
      <c r="R32" s="2715"/>
      <c r="S32" s="2715"/>
      <c r="T32" s="2715"/>
      <c r="U32" s="2715"/>
      <c r="V32" s="2715"/>
    </row>
    <row r="33" spans="1:30">
      <c r="A33" s="3480"/>
      <c r="B33" s="3196"/>
      <c r="C33" s="2467" t="str">
        <f>IF(B33="现房","成新及维护状况是否正常",IF(B33="在建","工程状态是否正常",IF(B33="土地","是否闲置","-")))</f>
        <v>-</v>
      </c>
      <c r="D33" s="1981"/>
      <c r="E33" s="3197"/>
      <c r="F33" s="2836"/>
      <c r="G33" s="2836"/>
      <c r="H33" s="2836"/>
      <c r="I33" s="2836"/>
      <c r="J33" s="2715"/>
      <c r="K33" s="3215"/>
      <c r="L33" s="3213"/>
      <c r="M33" s="3213"/>
      <c r="N33" s="2715"/>
      <c r="O33" s="3214"/>
      <c r="P33" s="2715"/>
      <c r="Q33" s="2715"/>
      <c r="R33" s="2715"/>
      <c r="S33" s="2715"/>
      <c r="T33" s="2715"/>
      <c r="U33" s="2715"/>
      <c r="V33" s="2715"/>
    </row>
    <row r="34" spans="1:30">
      <c r="A34" s="1972" t="s">
        <v>489</v>
      </c>
      <c r="B34" s="576"/>
      <c r="C34" s="576"/>
      <c r="D34" s="576"/>
      <c r="E34" s="576"/>
      <c r="F34" s="576"/>
      <c r="G34" s="576"/>
      <c r="H34" s="576"/>
      <c r="I34" s="2836"/>
      <c r="J34" s="2715"/>
      <c r="K34" s="1007">
        <f>COUNTIF(B34:H34,"——")</f>
        <v>0</v>
      </c>
      <c r="L34" s="2013" t="s">
        <v>490</v>
      </c>
      <c r="M34" s="2013" t="s">
        <v>491</v>
      </c>
      <c r="N34" s="2013" t="s">
        <v>492</v>
      </c>
      <c r="O34" s="2013" t="s">
        <v>493</v>
      </c>
      <c r="P34" s="2013" t="s">
        <v>494</v>
      </c>
      <c r="Q34" s="2013" t="s">
        <v>495</v>
      </c>
      <c r="R34" s="2013" t="s">
        <v>496</v>
      </c>
      <c r="S34" s="3499" t="s">
        <v>497</v>
      </c>
      <c r="T34" s="2013" t="str">
        <f>NUMBERSTRING(7-K34,1)&amp;"通"</f>
        <v>七通</v>
      </c>
      <c r="U34" s="2715"/>
      <c r="V34" s="2715"/>
    </row>
    <row r="35" spans="1:30">
      <c r="A35" s="3198"/>
      <c r="B35" s="3506" t="s">
        <v>498</v>
      </c>
      <c r="C35" s="3506"/>
      <c r="D35" s="3506"/>
      <c r="E35" s="3506"/>
      <c r="F35" s="1065">
        <f>C10</f>
        <v>0</v>
      </c>
      <c r="G35" s="2836"/>
      <c r="H35" s="2836"/>
      <c r="I35" s="2836"/>
      <c r="J35" s="2715"/>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99"/>
      <c r="T35" s="2015" t="str">
        <f>IF(T34="一通",L35,IF(T34="二通",M35,IF(T34="三通",N35,IF(T34="四通",O35,IF(T34="五通",P35,IF(T34="六通",Q35,R35))))))</f>
        <v>、、、、、、</v>
      </c>
      <c r="U35" s="2715"/>
      <c r="V35" s="2715"/>
    </row>
    <row r="36" spans="1:30">
      <c r="A36" s="3199"/>
      <c r="B36" s="1065" t="s">
        <v>443</v>
      </c>
      <c r="C36" s="1065" t="s">
        <v>444</v>
      </c>
      <c r="D36" s="1065" t="s">
        <v>442</v>
      </c>
      <c r="E36" s="1065" t="s">
        <v>447</v>
      </c>
      <c r="F36" s="3200" t="s">
        <v>280</v>
      </c>
      <c r="G36" s="2836"/>
      <c r="H36" s="2836"/>
      <c r="I36" s="2836"/>
      <c r="J36" s="2715"/>
      <c r="K36" s="3215"/>
      <c r="L36" s="3213"/>
      <c r="M36" s="3213"/>
      <c r="N36" s="2715"/>
      <c r="O36" s="3214"/>
      <c r="P36" s="2715"/>
      <c r="Q36" s="2715"/>
      <c r="R36" s="2715"/>
      <c r="S36" s="2715"/>
      <c r="T36" s="2715"/>
      <c r="U36" s="2715"/>
      <c r="V36" s="2715"/>
    </row>
    <row r="37" spans="1:30">
      <c r="A37" s="3201" t="s">
        <v>499</v>
      </c>
      <c r="B37" s="3202"/>
      <c r="C37" s="3202"/>
      <c r="D37" s="3202"/>
      <c r="E37" s="3202"/>
      <c r="F37" s="3202"/>
      <c r="G37" s="2836"/>
      <c r="H37" s="2836"/>
      <c r="I37" s="2836"/>
      <c r="J37" s="2715"/>
      <c r="K37" s="3215"/>
      <c r="L37" s="3213"/>
      <c r="M37" s="3213"/>
      <c r="N37" s="2715"/>
      <c r="O37" s="3214"/>
      <c r="P37" s="2715"/>
      <c r="Q37" s="2715"/>
      <c r="R37" s="2715"/>
      <c r="S37" s="2715"/>
      <c r="T37" s="2715"/>
      <c r="U37" s="2715"/>
      <c r="V37" s="2715"/>
    </row>
    <row r="38" spans="1:30">
      <c r="A38" s="3203" t="s">
        <v>500</v>
      </c>
      <c r="B38" s="3204"/>
      <c r="C38" s="3204"/>
      <c r="D38" s="3204"/>
      <c r="E38" s="3204"/>
      <c r="F38" s="3204"/>
      <c r="G38" s="3141"/>
      <c r="H38" s="3141"/>
      <c r="I38" s="3141"/>
      <c r="J38" s="2715"/>
      <c r="K38" s="3215"/>
      <c r="L38" s="3213"/>
      <c r="M38" s="3213"/>
      <c r="N38" s="2715"/>
      <c r="O38" s="3214"/>
      <c r="P38" s="2715"/>
      <c r="Q38" s="2715"/>
      <c r="R38" s="2715"/>
      <c r="S38" s="2715"/>
      <c r="T38" s="2715"/>
      <c r="U38" s="2715"/>
      <c r="V38" s="2715"/>
    </row>
    <row r="39" spans="1:30" s="3108" customFormat="1">
      <c r="A39" s="3205" t="s">
        <v>501</v>
      </c>
      <c r="B39" s="3206"/>
      <c r="C39" s="3206"/>
      <c r="D39" s="3206"/>
      <c r="E39" s="3206"/>
      <c r="F39" s="3206"/>
      <c r="G39" s="3206"/>
      <c r="H39" s="3206"/>
      <c r="I39" s="3206"/>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3"/>
      <c r="B40" s="3153"/>
      <c r="C40" s="3153"/>
      <c r="D40" s="3153"/>
      <c r="E40" s="3153"/>
      <c r="F40" s="3153"/>
      <c r="G40" s="3153"/>
      <c r="H40" s="3153"/>
      <c r="I40" s="2487"/>
      <c r="J40" s="2716"/>
      <c r="K40" s="3212"/>
      <c r="L40" s="3224"/>
      <c r="M40" s="3224"/>
      <c r="N40" s="2716"/>
      <c r="O40" s="3224"/>
      <c r="P40" s="2715"/>
      <c r="Q40" s="2715"/>
      <c r="R40" s="2715"/>
      <c r="S40" s="2715"/>
      <c r="T40" s="2715"/>
      <c r="U40" s="2715"/>
      <c r="V40" s="2715"/>
    </row>
    <row r="41" spans="1:30">
      <c r="A41" s="3207" t="s">
        <v>502</v>
      </c>
      <c r="B41" s="2373"/>
      <c r="C41" s="2241"/>
      <c r="D41" s="3153"/>
      <c r="E41" s="3153"/>
      <c r="F41" s="3153"/>
      <c r="G41" s="3153"/>
      <c r="H41" s="3153"/>
      <c r="I41" s="3021"/>
      <c r="J41" s="2715"/>
      <c r="K41" s="3215"/>
      <c r="L41" s="3213"/>
      <c r="M41" s="3213"/>
      <c r="N41" s="2715"/>
      <c r="O41" s="3214"/>
      <c r="P41" s="2715"/>
      <c r="Q41" s="2715"/>
      <c r="R41" s="2715"/>
      <c r="S41" s="2715"/>
      <c r="T41" s="2715"/>
      <c r="U41" s="2715"/>
      <c r="V41" s="2715"/>
    </row>
    <row r="42" spans="1:30" ht="25.5">
      <c r="A42" s="2013" t="s">
        <v>503</v>
      </c>
      <c r="B42" s="1007" t="s">
        <v>504</v>
      </c>
      <c r="C42" s="1007" t="s">
        <v>505</v>
      </c>
      <c r="D42" s="1007" t="s">
        <v>506</v>
      </c>
      <c r="E42" s="1007" t="s">
        <v>507</v>
      </c>
      <c r="F42" s="1007" t="s">
        <v>508</v>
      </c>
      <c r="G42" s="1007" t="s">
        <v>509</v>
      </c>
      <c r="H42" s="1007" t="s">
        <v>510</v>
      </c>
      <c r="I42" s="1007" t="s">
        <v>511</v>
      </c>
      <c r="J42" s="3233" t="s">
        <v>512</v>
      </c>
      <c r="K42" s="3234" t="s">
        <v>513</v>
      </c>
      <c r="L42" s="3234" t="s">
        <v>514</v>
      </c>
      <c r="M42" s="3234" t="s">
        <v>515</v>
      </c>
      <c r="N42" s="3235" t="s">
        <v>516</v>
      </c>
      <c r="O42" s="3235" t="s">
        <v>517</v>
      </c>
      <c r="P42" s="3235" t="s">
        <v>518</v>
      </c>
      <c r="Q42" s="3240" t="s">
        <v>519</v>
      </c>
      <c r="R42" s="3240" t="s">
        <v>520</v>
      </c>
      <c r="S42" s="2715"/>
      <c r="T42" s="2715"/>
      <c r="U42" s="2715"/>
      <c r="V42" s="2715"/>
    </row>
    <row r="43" spans="1:30" s="2926" customFormat="1">
      <c r="A43" s="3208"/>
      <c r="B43" s="3042"/>
      <c r="C43" s="3042"/>
      <c r="D43" s="3042"/>
      <c r="E43" s="3042"/>
      <c r="F43" s="3042"/>
      <c r="G43" s="3042"/>
      <c r="H43" s="3042"/>
      <c r="I43" s="3042"/>
      <c r="J43" s="3236"/>
      <c r="K43" s="3237"/>
      <c r="L43" s="3237"/>
      <c r="M43" s="3042"/>
      <c r="N43" s="3042"/>
      <c r="O43" s="3042"/>
      <c r="P43" s="3042"/>
      <c r="Q43" s="3042"/>
      <c r="R43" s="3042"/>
      <c r="S43" s="2715"/>
      <c r="T43" s="2715"/>
      <c r="U43" s="2715"/>
      <c r="V43" s="2715"/>
    </row>
    <row r="44" spans="1:30" s="2926" customFormat="1">
      <c r="A44" s="3208"/>
      <c r="B44" s="3208"/>
      <c r="C44" s="3042"/>
      <c r="D44" s="3042"/>
      <c r="E44" s="3042"/>
      <c r="F44" s="3042"/>
      <c r="G44" s="3042"/>
      <c r="H44" s="3042"/>
      <c r="I44" s="3042"/>
      <c r="J44" s="3236"/>
      <c r="K44" s="3237"/>
      <c r="L44" s="3237"/>
      <c r="M44" s="3042"/>
      <c r="N44" s="3042"/>
      <c r="O44" s="3042"/>
      <c r="P44" s="3042"/>
      <c r="Q44" s="3042"/>
      <c r="R44" s="3042"/>
      <c r="S44" s="2715"/>
      <c r="T44" s="2715"/>
      <c r="U44" s="2715"/>
      <c r="V44" s="2715"/>
    </row>
    <row r="45" spans="1:30" s="2926" customFormat="1">
      <c r="A45" s="3208"/>
      <c r="B45" s="3208"/>
      <c r="C45" s="3042"/>
      <c r="D45" s="3042"/>
      <c r="E45" s="3042"/>
      <c r="F45" s="3042"/>
      <c r="G45" s="3042"/>
      <c r="H45" s="3042"/>
      <c r="I45" s="3042"/>
      <c r="J45" s="3236"/>
      <c r="K45" s="3237"/>
      <c r="L45" s="3237"/>
      <c r="M45" s="3042"/>
      <c r="N45" s="3042"/>
      <c r="O45" s="3042"/>
      <c r="P45" s="3042"/>
      <c r="Q45" s="3042"/>
      <c r="R45" s="3042"/>
      <c r="S45" s="2715"/>
      <c r="T45" s="2715"/>
      <c r="U45" s="2715"/>
      <c r="V45" s="2715"/>
    </row>
    <row r="46" spans="1:30" s="2926" customFormat="1">
      <c r="A46" s="3208"/>
      <c r="B46" s="3208"/>
      <c r="C46" s="3042"/>
      <c r="D46" s="3042"/>
      <c r="E46" s="3042"/>
      <c r="F46" s="3042"/>
      <c r="G46" s="3042"/>
      <c r="H46" s="3042"/>
      <c r="I46" s="3042"/>
      <c r="J46" s="3236"/>
      <c r="K46" s="3237"/>
      <c r="L46" s="3237"/>
      <c r="M46" s="3042"/>
      <c r="N46" s="3042"/>
      <c r="O46" s="3042"/>
      <c r="P46" s="3042"/>
      <c r="Q46" s="3042"/>
      <c r="R46" s="3042"/>
      <c r="S46" s="2715"/>
      <c r="T46" s="2715"/>
      <c r="U46" s="2715"/>
      <c r="V46" s="2715"/>
    </row>
    <row r="47" spans="1:30" s="2926" customFormat="1">
      <c r="A47" s="3208"/>
      <c r="B47" s="3208"/>
      <c r="C47" s="3042"/>
      <c r="D47" s="3042"/>
      <c r="E47" s="3042"/>
      <c r="F47" s="3042"/>
      <c r="G47" s="3042"/>
      <c r="H47" s="3042"/>
      <c r="I47" s="3042"/>
      <c r="J47" s="3236"/>
      <c r="K47" s="3237"/>
      <c r="L47" s="3237"/>
      <c r="M47" s="3042"/>
      <c r="N47" s="3042"/>
      <c r="O47" s="3042"/>
      <c r="P47" s="3042"/>
      <c r="Q47" s="3042"/>
      <c r="R47" s="3042"/>
      <c r="S47" s="2715"/>
      <c r="T47" s="2715"/>
      <c r="U47" s="2715"/>
      <c r="V47" s="2715"/>
    </row>
    <row r="48" spans="1:30" s="2926" customFormat="1">
      <c r="A48" s="3208"/>
      <c r="B48" s="3208"/>
      <c r="C48" s="3042"/>
      <c r="D48" s="3042"/>
      <c r="E48" s="3042"/>
      <c r="F48" s="3042"/>
      <c r="G48" s="3042"/>
      <c r="H48" s="3042"/>
      <c r="I48" s="3042"/>
      <c r="J48" s="3236"/>
      <c r="K48" s="3237"/>
      <c r="L48" s="3237"/>
      <c r="M48" s="3042"/>
      <c r="N48" s="3042"/>
      <c r="O48" s="3042"/>
      <c r="P48" s="3042"/>
      <c r="Q48" s="3042"/>
      <c r="R48" s="3042"/>
      <c r="S48" s="2715"/>
      <c r="T48" s="2715"/>
      <c r="U48" s="2715"/>
      <c r="V48" s="2715"/>
    </row>
    <row r="49" spans="1:22" s="2926" customFormat="1">
      <c r="A49" s="3208"/>
      <c r="B49" s="3208"/>
      <c r="C49" s="3042"/>
      <c r="D49" s="3042"/>
      <c r="E49" s="3042"/>
      <c r="F49" s="3042"/>
      <c r="G49" s="3042"/>
      <c r="H49" s="3042"/>
      <c r="I49" s="3042"/>
      <c r="J49" s="3236"/>
      <c r="K49" s="3237"/>
      <c r="L49" s="3237"/>
      <c r="M49" s="3042"/>
      <c r="N49" s="3042"/>
      <c r="O49" s="3042"/>
      <c r="P49" s="3042"/>
      <c r="Q49" s="3042"/>
      <c r="R49" s="3042"/>
      <c r="S49" s="2715"/>
      <c r="T49" s="2715"/>
      <c r="U49" s="2715"/>
      <c r="V49" s="2715"/>
    </row>
    <row r="50" spans="1:22" s="2926" customFormat="1">
      <c r="A50" s="3208"/>
      <c r="B50" s="3208"/>
      <c r="C50" s="3042"/>
      <c r="D50" s="3042"/>
      <c r="E50" s="3042"/>
      <c r="F50" s="3042"/>
      <c r="G50" s="3042"/>
      <c r="H50" s="3042"/>
      <c r="I50" s="3042"/>
      <c r="J50" s="3236"/>
      <c r="K50" s="3237"/>
      <c r="L50" s="3237"/>
      <c r="M50" s="3042"/>
      <c r="N50" s="3042"/>
      <c r="O50" s="3042"/>
      <c r="P50" s="3042"/>
      <c r="Q50" s="3042"/>
      <c r="R50" s="3042"/>
      <c r="S50" s="2715"/>
      <c r="T50" s="2715"/>
      <c r="U50" s="2715"/>
      <c r="V50" s="2715"/>
    </row>
    <row r="51" spans="1:22" s="2926" customFormat="1">
      <c r="A51" s="3208"/>
      <c r="B51" s="3208"/>
      <c r="C51" s="3042"/>
      <c r="D51" s="3042"/>
      <c r="E51" s="3042"/>
      <c r="F51" s="3042"/>
      <c r="G51" s="3042"/>
      <c r="H51" s="3042"/>
      <c r="I51" s="3042"/>
      <c r="J51" s="3236"/>
      <c r="K51" s="3237"/>
      <c r="L51" s="3237"/>
      <c r="M51" s="3042"/>
      <c r="N51" s="3042"/>
      <c r="O51" s="3042"/>
      <c r="P51" s="3042"/>
      <c r="Q51" s="3042"/>
      <c r="R51" s="3042"/>
    </row>
    <row r="52" spans="1:22" s="2926" customFormat="1">
      <c r="A52" s="3208"/>
      <c r="B52" s="3208"/>
      <c r="C52" s="3208"/>
      <c r="D52" s="3208"/>
      <c r="E52" s="3208"/>
      <c r="F52" s="3042"/>
      <c r="G52" s="3208"/>
      <c r="H52" s="3208"/>
      <c r="I52" s="3208"/>
      <c r="J52" s="3238"/>
      <c r="K52" s="3237"/>
      <c r="L52" s="3237"/>
      <c r="M52" s="3237"/>
      <c r="N52" s="3208"/>
      <c r="O52" s="3208"/>
      <c r="P52" s="3208"/>
      <c r="Q52" s="3208"/>
      <c r="R52" s="3208"/>
    </row>
    <row r="53" spans="1:22" s="2926" customFormat="1">
      <c r="A53" s="3208"/>
      <c r="B53" s="3208"/>
      <c r="C53" s="3208"/>
      <c r="D53" s="3208"/>
      <c r="E53" s="3208"/>
      <c r="F53" s="3042"/>
      <c r="G53" s="3208"/>
      <c r="H53" s="3208"/>
      <c r="I53" s="3208"/>
      <c r="J53" s="3238"/>
      <c r="K53" s="3237"/>
      <c r="L53" s="3237"/>
      <c r="M53" s="3237"/>
      <c r="N53" s="3208"/>
      <c r="O53" s="3208"/>
      <c r="P53" s="3208"/>
      <c r="Q53" s="3208"/>
      <c r="R53" s="3208"/>
    </row>
    <row r="54" spans="1:22" s="2926" customFormat="1">
      <c r="A54" s="3208"/>
      <c r="B54" s="3208"/>
      <c r="C54" s="3208"/>
      <c r="D54" s="3208"/>
      <c r="E54" s="3208"/>
      <c r="F54" s="3042"/>
      <c r="G54" s="3208"/>
      <c r="H54" s="3208"/>
      <c r="I54" s="3208"/>
      <c r="J54" s="3238"/>
      <c r="K54" s="3237"/>
      <c r="L54" s="3237"/>
      <c r="M54" s="3237"/>
      <c r="N54" s="3208"/>
      <c r="O54" s="3208"/>
      <c r="P54" s="3208"/>
      <c r="Q54" s="3208"/>
      <c r="R54" s="3208"/>
    </row>
    <row r="55" spans="1:22" s="2926" customFormat="1">
      <c r="A55" s="3208"/>
      <c r="B55" s="3208"/>
      <c r="C55" s="3208"/>
      <c r="D55" s="3208"/>
      <c r="E55" s="3208"/>
      <c r="F55" s="3042"/>
      <c r="G55" s="3208"/>
      <c r="H55" s="3208"/>
      <c r="I55" s="3208"/>
      <c r="J55" s="3238"/>
      <c r="K55" s="3237"/>
      <c r="L55" s="3237"/>
      <c r="M55" s="3237"/>
      <c r="N55" s="3208"/>
      <c r="O55" s="3208"/>
      <c r="P55" s="3208"/>
      <c r="Q55" s="3208"/>
      <c r="R55" s="3208"/>
    </row>
    <row r="56" spans="1:22" s="2926" customFormat="1">
      <c r="A56" s="3208"/>
      <c r="B56" s="3208"/>
      <c r="C56" s="3208"/>
      <c r="D56" s="3208"/>
      <c r="E56" s="3208"/>
      <c r="F56" s="3042"/>
      <c r="G56" s="3208"/>
      <c r="H56" s="3208"/>
      <c r="I56" s="3208"/>
      <c r="J56" s="3238"/>
      <c r="K56" s="3237"/>
      <c r="L56" s="3237"/>
      <c r="M56" s="3237"/>
      <c r="N56" s="3208"/>
      <c r="O56" s="3208"/>
      <c r="P56" s="3208"/>
      <c r="Q56" s="3208"/>
      <c r="R56" s="32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1"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7" t="s">
        <v>459</v>
      </c>
      <c r="B2" s="1007" t="s">
        <v>455</v>
      </c>
      <c r="C2" s="1007" t="s">
        <v>523</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1" t="s">
        <v>524</v>
      </c>
      <c r="AZ2" s="3082" t="s">
        <v>525</v>
      </c>
      <c r="BA2" s="1007"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46.53</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3"/>
      <c r="AZ3" s="3042"/>
      <c r="BA3" s="3084"/>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5"/>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26" t="s">
        <v>528</v>
      </c>
      <c r="B5" s="2370"/>
      <c r="C5" s="2370"/>
      <c r="D5" s="2498"/>
      <c r="E5" s="3028" t="s">
        <v>124</v>
      </c>
      <c r="F5" s="3028">
        <f>SUM(F13:F587)</f>
        <v>0</v>
      </c>
      <c r="G5" s="3028">
        <f>SUM(G13:G587)</f>
        <v>46.53</v>
      </c>
      <c r="H5" s="3028">
        <f t="shared" ref="H5:AT5" si="0">SUM(H13:H656)</f>
        <v>46.53</v>
      </c>
      <c r="I5" s="3028">
        <f t="shared" si="0"/>
        <v>46.53</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2126" t="s">
        <v>528</v>
      </c>
      <c r="AW5" s="2370"/>
      <c r="AX5" s="2370"/>
      <c r="AY5" s="3086" t="s">
        <v>124</v>
      </c>
      <c r="AZ5" s="3087">
        <f t="shared" ref="AZ5:BT5" si="1">SUM(AZ13:AZ656)</f>
        <v>46.53</v>
      </c>
      <c r="BA5" s="3087">
        <f t="shared" si="1"/>
        <v>46.53</v>
      </c>
      <c r="BB5" s="3087">
        <f t="shared" si="1"/>
        <v>46.53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5" customFormat="1" ht="12.75">
      <c r="A6" s="2126" t="s">
        <v>529</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2"/>
      <c r="AV6" s="2126" t="s">
        <v>529</v>
      </c>
      <c r="AW6" s="3029"/>
      <c r="AX6" s="3029"/>
      <c r="AY6" s="3088">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7">
        <f t="shared" si="5"/>
        <v>0</v>
      </c>
    </row>
    <row r="7" spans="1:72" s="3013" customFormat="1" ht="24.75">
      <c r="A7" s="3032" t="s">
        <v>530</v>
      </c>
      <c r="B7" s="3032" t="s">
        <v>531</v>
      </c>
      <c r="C7" s="3032" t="s">
        <v>504</v>
      </c>
      <c r="D7" s="3032" t="s">
        <v>532</v>
      </c>
      <c r="E7" s="3032" t="s">
        <v>529</v>
      </c>
      <c r="F7" s="3032" t="s">
        <v>533</v>
      </c>
      <c r="G7" s="2467"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535</v>
      </c>
      <c r="AV7" s="3073" t="s">
        <v>530</v>
      </c>
      <c r="AW7" s="2487" t="s">
        <v>531</v>
      </c>
      <c r="AX7" s="3073" t="s">
        <v>504</v>
      </c>
      <c r="AY7" s="2370" t="s">
        <v>536</v>
      </c>
      <c r="AZ7" s="3064"/>
      <c r="BA7" s="3033"/>
      <c r="BB7" s="3033"/>
      <c r="BC7" s="3033"/>
      <c r="BD7" s="3033"/>
      <c r="BE7" s="3033"/>
      <c r="BF7" s="3033"/>
      <c r="BG7" s="3033"/>
      <c r="BH7" s="3033"/>
      <c r="BI7" s="3033"/>
      <c r="BJ7" s="3033"/>
      <c r="BK7" s="3033"/>
      <c r="BL7" s="3033"/>
      <c r="BM7" s="3033"/>
      <c r="BN7" s="3033"/>
      <c r="BO7" s="3033"/>
      <c r="BP7" s="3033"/>
      <c r="BQ7" s="3033"/>
      <c r="BR7" s="3033"/>
      <c r="BS7" s="3033"/>
      <c r="BT7" s="3098"/>
    </row>
    <row r="8" spans="1:72" s="2734" customFormat="1" ht="24">
      <c r="A8" s="3034"/>
      <c r="B8" s="3034"/>
      <c r="C8" s="3034"/>
      <c r="D8" s="3034"/>
      <c r="E8" s="3034"/>
      <c r="F8" s="3034"/>
      <c r="G8" s="3035" t="s">
        <v>537</v>
      </c>
      <c r="H8" s="3036" t="s">
        <v>538</v>
      </c>
      <c r="I8" s="3053"/>
      <c r="J8" s="1006"/>
      <c r="K8" s="1006"/>
      <c r="L8" s="1006"/>
      <c r="M8" s="1006"/>
      <c r="N8" s="1006"/>
      <c r="O8" s="1006"/>
      <c r="P8" s="1006"/>
      <c r="Q8" s="1006"/>
      <c r="R8" s="1006"/>
      <c r="S8" s="1006"/>
      <c r="T8" s="1006"/>
      <c r="U8" s="1006"/>
      <c r="V8" s="3060"/>
      <c r="W8" s="1006"/>
      <c r="X8" s="1006"/>
      <c r="Y8" s="1006"/>
      <c r="Z8" s="1006"/>
      <c r="AA8" s="3060"/>
      <c r="AB8" s="3062"/>
      <c r="AC8" s="2291" t="s">
        <v>539</v>
      </c>
      <c r="AD8" s="3063"/>
      <c r="AE8" s="3064"/>
      <c r="AF8" s="1006"/>
      <c r="AG8" s="1006"/>
      <c r="AH8" s="1006"/>
      <c r="AI8" s="1006"/>
      <c r="AJ8" s="1006"/>
      <c r="AK8" s="1006"/>
      <c r="AL8" s="1006"/>
      <c r="AM8" s="1006"/>
      <c r="AN8" s="1006"/>
      <c r="AO8" s="1006"/>
      <c r="AP8" s="1006"/>
      <c r="AQ8" s="1006"/>
      <c r="AR8" s="1006"/>
      <c r="AS8" s="1006"/>
      <c r="AT8" s="1965" t="s">
        <v>540</v>
      </c>
      <c r="AU8" s="3034" t="s">
        <v>541</v>
      </c>
      <c r="AV8" s="1965"/>
      <c r="AW8" s="2447"/>
      <c r="AX8" s="1965"/>
      <c r="AY8" s="2487" t="s">
        <v>529</v>
      </c>
      <c r="AZ8" s="1005" t="s">
        <v>455</v>
      </c>
      <c r="BA8" s="1006"/>
      <c r="BB8" s="1006"/>
      <c r="BC8" s="1006"/>
      <c r="BD8" s="1006"/>
      <c r="BE8" s="1006"/>
      <c r="BF8" s="1006"/>
      <c r="BG8" s="1006"/>
      <c r="BH8" s="1006"/>
      <c r="BI8" s="1006"/>
      <c r="BJ8" s="1006"/>
      <c r="BK8" s="1006"/>
      <c r="BL8" s="1006"/>
      <c r="BM8" s="1006"/>
      <c r="BN8" s="1006"/>
      <c r="BO8" s="1006"/>
      <c r="BP8" s="1006"/>
      <c r="BQ8" s="1006"/>
      <c r="BR8" s="1006"/>
      <c r="BS8" s="1006"/>
      <c r="BT8" s="2011"/>
    </row>
    <row r="9" spans="1:72" s="2734" customFormat="1" ht="12.75">
      <c r="A9" s="3034"/>
      <c r="B9" s="3034"/>
      <c r="C9" s="3034"/>
      <c r="D9" s="3034"/>
      <c r="E9" s="3034"/>
      <c r="F9" s="3034"/>
      <c r="G9" s="1965"/>
      <c r="H9" s="3037" t="s">
        <v>542</v>
      </c>
      <c r="I9" s="3054" t="s">
        <v>543</v>
      </c>
      <c r="J9" s="2291"/>
      <c r="K9" s="3054"/>
      <c r="L9" s="2291"/>
      <c r="M9" s="3054"/>
      <c r="N9" s="2291"/>
      <c r="O9" s="3054"/>
      <c r="P9" s="2291"/>
      <c r="Q9" s="3054"/>
      <c r="R9" s="2291"/>
      <c r="S9" s="3054"/>
      <c r="T9" s="2291"/>
      <c r="U9" s="3054"/>
      <c r="V9" s="2291"/>
      <c r="W9" s="3054"/>
      <c r="X9" s="3061"/>
      <c r="Y9" s="3054"/>
      <c r="Z9" s="2291"/>
      <c r="AA9" s="3054"/>
      <c r="AB9" s="2291"/>
      <c r="AC9" s="3035" t="s">
        <v>542</v>
      </c>
      <c r="AD9" s="2126" t="s">
        <v>544</v>
      </c>
      <c r="AE9" s="1977"/>
      <c r="AF9" s="2126" t="s">
        <v>545</v>
      </c>
      <c r="AG9" s="1977"/>
      <c r="AH9" s="2126" t="s">
        <v>544</v>
      </c>
      <c r="AI9" s="1977"/>
      <c r="AJ9" s="2126" t="s">
        <v>545</v>
      </c>
      <c r="AK9" s="1977"/>
      <c r="AL9" s="2126" t="s">
        <v>544</v>
      </c>
      <c r="AM9" s="1977"/>
      <c r="AN9" s="2126" t="s">
        <v>545</v>
      </c>
      <c r="AO9" s="1977"/>
      <c r="AP9" s="2126" t="s">
        <v>544</v>
      </c>
      <c r="AQ9" s="1977"/>
      <c r="AR9" s="2126" t="s">
        <v>545</v>
      </c>
      <c r="AS9" s="3074"/>
      <c r="AT9" s="3034"/>
      <c r="AU9" s="3034" t="s">
        <v>546</v>
      </c>
      <c r="AV9" s="1965"/>
      <c r="AW9" s="2447"/>
      <c r="AX9" s="1965"/>
      <c r="AY9" s="3038"/>
      <c r="AZ9" s="3038" t="s">
        <v>537</v>
      </c>
      <c r="BA9" s="3089" t="s">
        <v>547</v>
      </c>
      <c r="BB9" s="3090"/>
      <c r="BC9" s="2023"/>
      <c r="BD9" s="2023"/>
      <c r="BE9" s="2023"/>
      <c r="BF9" s="2023"/>
      <c r="BG9" s="2023"/>
      <c r="BH9" s="2023"/>
      <c r="BI9" s="2023"/>
      <c r="BJ9" s="2023"/>
      <c r="BK9" s="3095"/>
      <c r="BL9" s="2126" t="s">
        <v>548</v>
      </c>
      <c r="BM9" s="1006"/>
      <c r="BN9" s="3053"/>
      <c r="BO9" s="1006"/>
      <c r="BP9" s="1006"/>
      <c r="BQ9" s="1006"/>
      <c r="BR9" s="1006"/>
      <c r="BS9" s="1006"/>
      <c r="BT9" s="2011"/>
    </row>
    <row r="10" spans="1:72" s="2734" customFormat="1" ht="12.75">
      <c r="A10" s="3034"/>
      <c r="B10" s="3034"/>
      <c r="C10" s="3034"/>
      <c r="D10" s="3034"/>
      <c r="E10" s="3034"/>
      <c r="F10" s="3034"/>
      <c r="G10" s="1965"/>
      <c r="H10" s="3038"/>
      <c r="I10" s="3054" t="s">
        <v>549</v>
      </c>
      <c r="J10" s="2291"/>
      <c r="K10" s="3055"/>
      <c r="L10" s="2291"/>
      <c r="M10" s="3055"/>
      <c r="N10" s="2291"/>
      <c r="O10" s="3055"/>
      <c r="P10" s="2291"/>
      <c r="Q10" s="3055"/>
      <c r="R10" s="2291"/>
      <c r="S10" s="3055"/>
      <c r="T10" s="2291"/>
      <c r="U10" s="3055"/>
      <c r="V10" s="2291"/>
      <c r="W10" s="3055"/>
      <c r="X10" s="2291"/>
      <c r="Y10" s="3055"/>
      <c r="Z10" s="2291"/>
      <c r="AA10" s="3055"/>
      <c r="AB10" s="2291"/>
      <c r="AC10" s="1965"/>
      <c r="AD10" s="2126" t="s">
        <v>550</v>
      </c>
      <c r="AE10" s="3065"/>
      <c r="AF10" s="2126" t="s">
        <v>550</v>
      </c>
      <c r="AG10" s="3065"/>
      <c r="AH10" s="2126" t="s">
        <v>551</v>
      </c>
      <c r="AI10" s="3065"/>
      <c r="AJ10" s="2126" t="s">
        <v>551</v>
      </c>
      <c r="AK10" s="3065"/>
      <c r="AL10" s="2126" t="s">
        <v>552</v>
      </c>
      <c r="AM10" s="1977"/>
      <c r="AN10" s="2126" t="s">
        <v>552</v>
      </c>
      <c r="AO10" s="1977"/>
      <c r="AP10" s="2126" t="s">
        <v>553</v>
      </c>
      <c r="AQ10" s="1977"/>
      <c r="AR10" s="2126" t="s">
        <v>553</v>
      </c>
      <c r="AS10" s="1977"/>
      <c r="AT10" s="3034"/>
      <c r="AU10" s="3034"/>
      <c r="AV10" s="1965"/>
      <c r="AW10" s="2447"/>
      <c r="AX10" s="1965"/>
      <c r="AY10" s="3038"/>
      <c r="AZ10" s="3038"/>
      <c r="BA10" s="3039" t="s">
        <v>542</v>
      </c>
      <c r="BB10" s="3091" t="str">
        <f>I9</f>
        <v>地上</v>
      </c>
      <c r="BC10" s="2035">
        <f>K9</f>
        <v>0</v>
      </c>
      <c r="BD10" s="2035">
        <f>M9</f>
        <v>0</v>
      </c>
      <c r="BE10" s="2035">
        <f>O9</f>
        <v>0</v>
      </c>
      <c r="BF10" s="2035">
        <f>Q9</f>
        <v>0</v>
      </c>
      <c r="BG10" s="2035">
        <f>S9</f>
        <v>0</v>
      </c>
      <c r="BH10" s="2035">
        <f>U9</f>
        <v>0</v>
      </c>
      <c r="BI10" s="2035">
        <f>W9</f>
        <v>0</v>
      </c>
      <c r="BJ10" s="2035">
        <f>Y9</f>
        <v>0</v>
      </c>
      <c r="BK10" s="2035">
        <f>AA9</f>
        <v>0</v>
      </c>
      <c r="BL10" s="2031" t="s">
        <v>542</v>
      </c>
      <c r="BM10" s="1005" t="str">
        <f>AD9</f>
        <v>地上</v>
      </c>
      <c r="BN10" s="2035" t="str">
        <f>AF9</f>
        <v>地下</v>
      </c>
      <c r="BO10" s="1005" t="str">
        <f>AH9</f>
        <v>地上</v>
      </c>
      <c r="BP10" s="2035" t="str">
        <f>AJ9</f>
        <v>地下</v>
      </c>
      <c r="BQ10" s="1005" t="str">
        <f>AL9</f>
        <v>地上</v>
      </c>
      <c r="BR10" s="2035" t="str">
        <f>AN9</f>
        <v>地下</v>
      </c>
      <c r="BS10" s="1005" t="str">
        <f>AP9</f>
        <v>地上</v>
      </c>
      <c r="BT10" s="3099" t="str">
        <f>AR9</f>
        <v>地下</v>
      </c>
    </row>
    <row r="11" spans="1:72" s="2734" customFormat="1" ht="12.75">
      <c r="A11" s="3034"/>
      <c r="B11" s="3034"/>
      <c r="C11" s="3034"/>
      <c r="D11" s="3034"/>
      <c r="E11" s="3034"/>
      <c r="F11" s="3034"/>
      <c r="G11" s="1965"/>
      <c r="H11" s="3039"/>
      <c r="I11" s="3056"/>
      <c r="J11" s="3057"/>
      <c r="K11" s="3056"/>
      <c r="L11" s="3057"/>
      <c r="M11" s="3056"/>
      <c r="N11" s="3057"/>
      <c r="O11" s="3056"/>
      <c r="P11" s="3057"/>
      <c r="Q11" s="3056"/>
      <c r="R11" s="3057"/>
      <c r="S11" s="3056"/>
      <c r="T11" s="3057"/>
      <c r="U11" s="3056"/>
      <c r="V11" s="3057"/>
      <c r="W11" s="3056"/>
      <c r="X11" s="3057"/>
      <c r="Y11" s="3056"/>
      <c r="Z11" s="3057"/>
      <c r="AA11" s="3056"/>
      <c r="AB11" s="3057"/>
      <c r="AC11" s="1965"/>
      <c r="AD11" s="3066" t="s">
        <v>554</v>
      </c>
      <c r="AE11" s="1063"/>
      <c r="AF11" s="3066" t="s">
        <v>554</v>
      </c>
      <c r="AG11" s="1063"/>
      <c r="AH11" s="3066" t="s">
        <v>555</v>
      </c>
      <c r="AI11" s="3070"/>
      <c r="AJ11" s="3066" t="s">
        <v>555</v>
      </c>
      <c r="AK11" s="1063"/>
      <c r="AL11" s="1005"/>
      <c r="AM11" s="1063"/>
      <c r="AN11" s="1005"/>
      <c r="AO11" s="1063"/>
      <c r="AP11" s="1005"/>
      <c r="AQ11" s="1063"/>
      <c r="AR11" s="1005"/>
      <c r="AS11" s="1063"/>
      <c r="AT11" s="2447"/>
      <c r="AU11" s="3034"/>
      <c r="AV11" s="1965"/>
      <c r="AW11" s="2447"/>
      <c r="AX11" s="1965"/>
      <c r="AY11" s="3038"/>
      <c r="AZ11" s="3038"/>
      <c r="BA11" s="3038"/>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965"/>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1" t="str">
        <f>AP10</f>
        <v>未注明</v>
      </c>
      <c r="BT11" s="3100" t="str">
        <f>AR10</f>
        <v>未注明</v>
      </c>
    </row>
    <row r="12" spans="1:72" s="3013" customFormat="1" ht="12.75">
      <c r="A12" s="3040"/>
      <c r="B12" s="3040"/>
      <c r="C12" s="3040"/>
      <c r="D12" s="3040"/>
      <c r="E12" s="3040"/>
      <c r="F12" s="3040"/>
      <c r="G12" s="602"/>
      <c r="H12" s="3041"/>
      <c r="I12" s="2498" t="s">
        <v>556</v>
      </c>
      <c r="J12" s="1007" t="s">
        <v>557</v>
      </c>
      <c r="K12" s="1007" t="s">
        <v>556</v>
      </c>
      <c r="L12" s="1007" t="s">
        <v>557</v>
      </c>
      <c r="M12" s="1007" t="s">
        <v>556</v>
      </c>
      <c r="N12" s="1007" t="s">
        <v>557</v>
      </c>
      <c r="O12" s="1007" t="s">
        <v>556</v>
      </c>
      <c r="P12" s="1007" t="s">
        <v>557</v>
      </c>
      <c r="Q12" s="1007" t="s">
        <v>556</v>
      </c>
      <c r="R12" s="1007" t="s">
        <v>557</v>
      </c>
      <c r="S12" s="1007" t="s">
        <v>556</v>
      </c>
      <c r="T12" s="1007" t="s">
        <v>557</v>
      </c>
      <c r="U12" s="1007" t="s">
        <v>556</v>
      </c>
      <c r="V12" s="2369" t="s">
        <v>557</v>
      </c>
      <c r="W12" s="1007" t="s">
        <v>556</v>
      </c>
      <c r="X12" s="1007" t="s">
        <v>557</v>
      </c>
      <c r="Y12" s="1007" t="s">
        <v>556</v>
      </c>
      <c r="Z12" s="1007" t="s">
        <v>557</v>
      </c>
      <c r="AA12" s="1007" t="s">
        <v>556</v>
      </c>
      <c r="AB12" s="1007" t="s">
        <v>557</v>
      </c>
      <c r="AC12" s="3067"/>
      <c r="AD12" s="2498" t="s">
        <v>556</v>
      </c>
      <c r="AE12" s="1007" t="s">
        <v>557</v>
      </c>
      <c r="AF12" s="1007" t="s">
        <v>556</v>
      </c>
      <c r="AG12" s="1007" t="s">
        <v>557</v>
      </c>
      <c r="AH12" s="1007" t="s">
        <v>556</v>
      </c>
      <c r="AI12" s="1007" t="s">
        <v>557</v>
      </c>
      <c r="AJ12" s="1007" t="s">
        <v>556</v>
      </c>
      <c r="AK12" s="1007" t="s">
        <v>557</v>
      </c>
      <c r="AL12" s="1007" t="s">
        <v>556</v>
      </c>
      <c r="AM12" s="1007" t="s">
        <v>557</v>
      </c>
      <c r="AN12" s="1007" t="s">
        <v>556</v>
      </c>
      <c r="AO12" s="1007" t="s">
        <v>557</v>
      </c>
      <c r="AP12" s="1007" t="s">
        <v>556</v>
      </c>
      <c r="AQ12" s="1007" t="s">
        <v>557</v>
      </c>
      <c r="AR12" s="602" t="s">
        <v>556</v>
      </c>
      <c r="AS12" s="3040" t="s">
        <v>557</v>
      </c>
      <c r="AT12" s="3075"/>
      <c r="AU12" s="3040"/>
      <c r="AV12" s="3076"/>
      <c r="AW12" s="2487"/>
      <c r="AX12" s="3076"/>
      <c r="AY12" s="3092"/>
      <c r="AZ12" s="3038"/>
      <c r="BA12" s="3039"/>
      <c r="BB12" s="1004">
        <f>I11</f>
        <v>0</v>
      </c>
      <c r="BC12" s="3093">
        <f>K11</f>
        <v>0</v>
      </c>
      <c r="BD12" s="3093">
        <f>M11</f>
        <v>0</v>
      </c>
      <c r="BE12" s="3062">
        <f>O11</f>
        <v>0</v>
      </c>
      <c r="BF12" s="3062">
        <f>Q11</f>
        <v>0</v>
      </c>
      <c r="BG12" s="3062">
        <f>S11</f>
        <v>0</v>
      </c>
      <c r="BH12" s="3062">
        <f>U11</f>
        <v>0</v>
      </c>
      <c r="BI12" s="3062">
        <f>W11</f>
        <v>0</v>
      </c>
      <c r="BJ12" s="3062">
        <f>Y11</f>
        <v>0</v>
      </c>
      <c r="BK12" s="3062">
        <f>AA11</f>
        <v>0</v>
      </c>
      <c r="BL12" s="1965"/>
      <c r="BM12" s="1005" t="str">
        <f>AD11</f>
        <v>（住宅）</v>
      </c>
      <c r="BN12" s="1005" t="str">
        <f>AF11</f>
        <v>（住宅）</v>
      </c>
      <c r="BO12" s="1004" t="str">
        <f>AH11</f>
        <v>（住宅、计出让金）</v>
      </c>
      <c r="BP12" s="1004" t="str">
        <f>AJ11</f>
        <v>（住宅、计出让金）</v>
      </c>
      <c r="BQ12" s="1004">
        <f>AL11</f>
        <v>0</v>
      </c>
      <c r="BR12" s="1004">
        <f>AN11</f>
        <v>0</v>
      </c>
      <c r="BS12" s="2031">
        <f>AP11</f>
        <v>0</v>
      </c>
      <c r="BT12" s="3100">
        <f>AR11</f>
        <v>0</v>
      </c>
    </row>
    <row r="13" spans="1:72" s="3013" customFormat="1" ht="12.75">
      <c r="A13" s="3042"/>
      <c r="B13" s="3042"/>
      <c r="C13" s="3042">
        <v>1919</v>
      </c>
      <c r="D13" s="3043" t="s">
        <v>558</v>
      </c>
      <c r="E13" s="3028">
        <f>IF($C$3="是",ROUND($A$3*G13/$B$3,2),ROUND($A$3*(G13-AT13)/$B$3,2))</f>
        <v>0</v>
      </c>
      <c r="F13" s="3044"/>
      <c r="G13" s="3045">
        <f>H13+AC13+AT13</f>
        <v>46.53</v>
      </c>
      <c r="H13" s="3031">
        <f>SUMIF(I$12:AB$12,"总值",I13:AB13)</f>
        <v>46.53</v>
      </c>
      <c r="I13" s="3058">
        <v>46.53</v>
      </c>
      <c r="J13" s="3058"/>
      <c r="K13" s="3058"/>
      <c r="L13" s="3058"/>
      <c r="M13" s="3058"/>
      <c r="N13" s="3058"/>
      <c r="O13" s="3058"/>
      <c r="P13" s="3058"/>
      <c r="Q13" s="3058"/>
      <c r="R13" s="3058"/>
      <c r="S13" s="3058"/>
      <c r="T13" s="3058"/>
      <c r="U13" s="3058"/>
      <c r="V13" s="3058"/>
      <c r="W13" s="3058"/>
      <c r="X13" s="3058"/>
      <c r="Y13" s="3058"/>
      <c r="Z13" s="3058"/>
      <c r="AA13" s="3058"/>
      <c r="AB13" s="3058"/>
      <c r="AC13" s="3028">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7">
        <f t="shared" ref="AV13:AX17" si="6">A13</f>
        <v>0</v>
      </c>
      <c r="AW13" s="1007">
        <f t="shared" si="6"/>
        <v>0</v>
      </c>
      <c r="AX13" s="1007">
        <f t="shared" si="6"/>
        <v>1919</v>
      </c>
      <c r="AY13" s="2498">
        <f>ROUND($AY$6*AZ13/$AZ$5,2)</f>
        <v>0</v>
      </c>
      <c r="AZ13" s="3028">
        <f>BA13+BL13</f>
        <v>46.53</v>
      </c>
      <c r="BA13" s="3028">
        <f>SUM(BB13:BK13)</f>
        <v>46.53</v>
      </c>
      <c r="BB13" s="3028">
        <f>IF($D13="是",I13-J13,0)</f>
        <v>46.53</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7">
        <f>IF($D13="是",AR13-AS13,0)</f>
        <v>0</v>
      </c>
    </row>
    <row r="14" spans="1:72" s="3013" customFormat="1" ht="12.75">
      <c r="A14" s="3042"/>
      <c r="B14" s="3042"/>
      <c r="C14" s="3042">
        <v>1921</v>
      </c>
      <c r="D14" s="3043"/>
      <c r="E14" s="3028">
        <f>IF($C$3="是",ROUND($A$3*G14/$B$3,2),ROUND($A$3*(G14-AT14)/$B$3,2))</f>
        <v>0</v>
      </c>
      <c r="F14" s="3044"/>
      <c r="G14" s="3045">
        <f>H14+AC14+AT14</f>
        <v>0</v>
      </c>
      <c r="H14" s="3031">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8">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7">
        <f t="shared" si="6"/>
        <v>0</v>
      </c>
      <c r="AW14" s="1007">
        <f t="shared" si="6"/>
        <v>0</v>
      </c>
      <c r="AX14" s="1007">
        <f t="shared" si="6"/>
        <v>1921</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7">
        <f>IF($D14="是",AR14-AS14,0)</f>
        <v>0</v>
      </c>
    </row>
    <row r="15" spans="1:72" s="3013" customFormat="1" ht="12.75">
      <c r="A15" s="3042"/>
      <c r="B15" s="3042"/>
      <c r="C15" s="3042">
        <v>1923</v>
      </c>
      <c r="D15" s="3043"/>
      <c r="E15" s="3028">
        <f>IF($C$3="是",ROUND($A$3*G15/$B$3,2),ROUND($A$3*(G15-AT15)/$B$3,2))</f>
        <v>0</v>
      </c>
      <c r="F15" s="3044"/>
      <c r="G15" s="3045">
        <f>H15+AC15+AT15</f>
        <v>0</v>
      </c>
      <c r="H15" s="3031">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8">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7">
        <f t="shared" si="6"/>
        <v>0</v>
      </c>
      <c r="AW15" s="1007">
        <f t="shared" si="6"/>
        <v>0</v>
      </c>
      <c r="AX15" s="1007">
        <f t="shared" si="6"/>
        <v>1923</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7">
        <f>IF($D15="是",AR15-AS15,0)</f>
        <v>0</v>
      </c>
    </row>
    <row r="16" spans="1:72" s="3013" customFormat="1" ht="12.75">
      <c r="A16" s="3042"/>
      <c r="B16" s="3042"/>
      <c r="C16" s="3042"/>
      <c r="D16" s="3043"/>
      <c r="E16" s="3028">
        <f>IF($C$3="是",ROUND($A$3*G16/$B$3,2),ROUND($A$3*(G16-AT16)/$B$3,2))</f>
        <v>0</v>
      </c>
      <c r="F16" s="3044"/>
      <c r="G16" s="3045">
        <f>H16+AC16+AT16</f>
        <v>0</v>
      </c>
      <c r="H16" s="3031">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8">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7">
        <f t="shared" si="6"/>
        <v>0</v>
      </c>
      <c r="AW16" s="1007">
        <f t="shared" si="6"/>
        <v>0</v>
      </c>
      <c r="AX16" s="1007">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7">
        <f>IF($D16="是",AR16-AS16,0)</f>
        <v>0</v>
      </c>
    </row>
    <row r="17" spans="1:72" s="3013" customFormat="1" ht="12.75">
      <c r="A17" s="3042"/>
      <c r="B17" s="3042"/>
      <c r="C17" s="3042"/>
      <c r="D17" s="3043"/>
      <c r="E17" s="3028">
        <f>IF($C$3="是",ROUND($A$3*G17/$B$3,2),ROUND($A$3*(G17-AT17)/$B$3,2))</f>
        <v>0</v>
      </c>
      <c r="F17" s="3044"/>
      <c r="G17" s="3045">
        <f>H17+AC17+AT17</f>
        <v>0</v>
      </c>
      <c r="H17" s="3031">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8">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7">
        <f t="shared" si="6"/>
        <v>0</v>
      </c>
      <c r="AW17" s="1007">
        <f t="shared" si="6"/>
        <v>0</v>
      </c>
      <c r="AX17" s="1007">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6">
        <f t="shared" ref="AV18:AV112" si="11">A18</f>
        <v>0</v>
      </c>
      <c r="AW18" s="1286">
        <f t="shared" ref="AW18:AW112" si="12">B18</f>
        <v>0</v>
      </c>
      <c r="AX18" s="1286">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6">
        <f t="shared" si="11"/>
        <v>0</v>
      </c>
      <c r="AW19" s="1286">
        <f t="shared" si="12"/>
        <v>0</v>
      </c>
      <c r="AX19" s="1286">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6">
        <f t="shared" si="11"/>
        <v>0</v>
      </c>
      <c r="AW20" s="1286">
        <f t="shared" si="12"/>
        <v>0</v>
      </c>
      <c r="AX20" s="1286">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6">
        <f t="shared" si="11"/>
        <v>0</v>
      </c>
      <c r="AW21" s="1286">
        <f t="shared" si="12"/>
        <v>0</v>
      </c>
      <c r="AX21" s="1286">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6">
        <f t="shared" si="11"/>
        <v>0</v>
      </c>
      <c r="AW22" s="1286">
        <f t="shared" si="12"/>
        <v>0</v>
      </c>
      <c r="AX22" s="1286">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6">
        <f t="shared" si="11"/>
        <v>0</v>
      </c>
      <c r="AW23" s="1286">
        <f t="shared" si="12"/>
        <v>0</v>
      </c>
      <c r="AX23" s="1286">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6">
        <f t="shared" si="11"/>
        <v>0</v>
      </c>
      <c r="AW24" s="1286">
        <f t="shared" si="12"/>
        <v>0</v>
      </c>
      <c r="AX24" s="1286">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6">
        <f t="shared" si="11"/>
        <v>0</v>
      </c>
      <c r="AW25" s="1286">
        <f t="shared" si="12"/>
        <v>0</v>
      </c>
      <c r="AX25" s="1286">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6">
        <f t="shared" si="11"/>
        <v>0</v>
      </c>
      <c r="AW26" s="1286">
        <f t="shared" si="12"/>
        <v>0</v>
      </c>
      <c r="AX26" s="1286">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6">
        <f t="shared" si="11"/>
        <v>0</v>
      </c>
      <c r="AW27" s="1286">
        <f t="shared" si="12"/>
        <v>0</v>
      </c>
      <c r="AX27" s="1286">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6">
        <f t="shared" si="11"/>
        <v>0</v>
      </c>
      <c r="AW28" s="1286">
        <f t="shared" si="12"/>
        <v>0</v>
      </c>
      <c r="AX28" s="1286">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6">
        <f t="shared" si="11"/>
        <v>0</v>
      </c>
      <c r="AW29" s="1286">
        <f t="shared" si="12"/>
        <v>0</v>
      </c>
      <c r="AX29" s="1286">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6">
        <f t="shared" si="11"/>
        <v>0</v>
      </c>
      <c r="AW30" s="1286">
        <f t="shared" si="12"/>
        <v>0</v>
      </c>
      <c r="AX30" s="1286">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6">
        <f t="shared" si="11"/>
        <v>0</v>
      </c>
      <c r="AW31" s="1286">
        <f t="shared" si="12"/>
        <v>0</v>
      </c>
      <c r="AX31" s="1286">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6">
        <f t="shared" si="11"/>
        <v>0</v>
      </c>
      <c r="AW32" s="1286">
        <f t="shared" si="12"/>
        <v>0</v>
      </c>
      <c r="AX32" s="1286">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6">
        <f t="shared" si="11"/>
        <v>0</v>
      </c>
      <c r="AW33" s="1286">
        <f t="shared" si="12"/>
        <v>0</v>
      </c>
      <c r="AX33" s="1286">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6">
        <f t="shared" si="11"/>
        <v>0</v>
      </c>
      <c r="AW34" s="1286">
        <f t="shared" si="12"/>
        <v>0</v>
      </c>
      <c r="AX34" s="1286">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6">
        <f t="shared" si="11"/>
        <v>0</v>
      </c>
      <c r="AW35" s="1286">
        <f t="shared" si="12"/>
        <v>0</v>
      </c>
      <c r="AX35" s="1286">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6">
        <f t="shared" si="11"/>
        <v>0</v>
      </c>
      <c r="AW36" s="1286">
        <f t="shared" si="12"/>
        <v>0</v>
      </c>
      <c r="AX36" s="1286">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6">
        <f t="shared" si="11"/>
        <v>0</v>
      </c>
      <c r="AW37" s="1286">
        <f t="shared" si="12"/>
        <v>0</v>
      </c>
      <c r="AX37" s="1286">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6">
        <f t="shared" si="11"/>
        <v>0</v>
      </c>
      <c r="AW38" s="1286">
        <f t="shared" si="12"/>
        <v>0</v>
      </c>
      <c r="AX38" s="1286">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6">
        <f t="shared" si="11"/>
        <v>0</v>
      </c>
      <c r="AW39" s="1286">
        <f t="shared" si="12"/>
        <v>0</v>
      </c>
      <c r="AX39" s="1286">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6">
        <f t="shared" si="11"/>
        <v>0</v>
      </c>
      <c r="AW40" s="1286">
        <f t="shared" si="12"/>
        <v>0</v>
      </c>
      <c r="AX40" s="1286">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6">
        <f t="shared" si="11"/>
        <v>0</v>
      </c>
      <c r="AW41" s="1286">
        <f t="shared" si="12"/>
        <v>0</v>
      </c>
      <c r="AX41" s="1286">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6">
        <f t="shared" si="11"/>
        <v>0</v>
      </c>
      <c r="AW42" s="1286">
        <f t="shared" si="12"/>
        <v>0</v>
      </c>
      <c r="AX42" s="1286">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6">
        <f t="shared" si="11"/>
        <v>0</v>
      </c>
      <c r="AW43" s="1286">
        <f t="shared" si="12"/>
        <v>0</v>
      </c>
      <c r="AX43" s="1286">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6">
        <f t="shared" si="11"/>
        <v>0</v>
      </c>
      <c r="AW44" s="1286">
        <f t="shared" si="12"/>
        <v>0</v>
      </c>
      <c r="AX44" s="1286">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6">
        <f t="shared" si="11"/>
        <v>0</v>
      </c>
      <c r="AW45" s="1286">
        <f t="shared" si="12"/>
        <v>0</v>
      </c>
      <c r="AX45" s="1286">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6">
        <f t="shared" si="11"/>
        <v>0</v>
      </c>
      <c r="AW46" s="1286">
        <f t="shared" si="12"/>
        <v>0</v>
      </c>
      <c r="AX46" s="1286">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6">
        <f t="shared" si="11"/>
        <v>0</v>
      </c>
      <c r="AW47" s="1286">
        <f t="shared" si="12"/>
        <v>0</v>
      </c>
      <c r="AX47" s="1286">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6">
        <f t="shared" si="11"/>
        <v>0</v>
      </c>
      <c r="AW48" s="1286">
        <f t="shared" si="12"/>
        <v>0</v>
      </c>
      <c r="AX48" s="1286">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6">
        <f t="shared" si="11"/>
        <v>0</v>
      </c>
      <c r="AW49" s="1286">
        <f t="shared" si="12"/>
        <v>0</v>
      </c>
      <c r="AX49" s="1286">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6">
        <f t="shared" si="11"/>
        <v>0</v>
      </c>
      <c r="AW50" s="1286">
        <f t="shared" si="12"/>
        <v>0</v>
      </c>
      <c r="AX50" s="1286">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6">
        <f t="shared" si="11"/>
        <v>0</v>
      </c>
      <c r="AW51" s="1286">
        <f t="shared" si="12"/>
        <v>0</v>
      </c>
      <c r="AX51" s="1286">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6">
        <f t="shared" si="11"/>
        <v>0</v>
      </c>
      <c r="AW52" s="1286">
        <f t="shared" si="12"/>
        <v>0</v>
      </c>
      <c r="AX52" s="1286">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6">
        <f t="shared" si="11"/>
        <v>0</v>
      </c>
      <c r="AW53" s="1286">
        <f t="shared" si="12"/>
        <v>0</v>
      </c>
      <c r="AX53" s="1286">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6">
        <f t="shared" si="11"/>
        <v>0</v>
      </c>
      <c r="AW54" s="1286">
        <f t="shared" si="12"/>
        <v>0</v>
      </c>
      <c r="AX54" s="1286">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6">
        <f t="shared" si="11"/>
        <v>0</v>
      </c>
      <c r="AW55" s="1286">
        <f t="shared" si="12"/>
        <v>0</v>
      </c>
      <c r="AX55" s="1286">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6">
        <f t="shared" si="11"/>
        <v>0</v>
      </c>
      <c r="AW56" s="1286">
        <f t="shared" si="12"/>
        <v>0</v>
      </c>
      <c r="AX56" s="1286">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6">
        <f t="shared" si="11"/>
        <v>0</v>
      </c>
      <c r="AW57" s="1286">
        <f t="shared" si="12"/>
        <v>0</v>
      </c>
      <c r="AX57" s="1286">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6">
        <f t="shared" si="11"/>
        <v>0</v>
      </c>
      <c r="AW58" s="1286">
        <f t="shared" si="12"/>
        <v>0</v>
      </c>
      <c r="AX58" s="1286">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6">
        <f t="shared" si="11"/>
        <v>0</v>
      </c>
      <c r="AW59" s="1286">
        <f t="shared" si="12"/>
        <v>0</v>
      </c>
      <c r="AX59" s="1286">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6">
        <f t="shared" si="11"/>
        <v>0</v>
      </c>
      <c r="AW60" s="1286">
        <f t="shared" si="12"/>
        <v>0</v>
      </c>
      <c r="AX60" s="1286">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6">
        <f t="shared" si="11"/>
        <v>0</v>
      </c>
      <c r="AW61" s="1286">
        <f t="shared" si="12"/>
        <v>0</v>
      </c>
      <c r="AX61" s="1286">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6">
        <f t="shared" si="11"/>
        <v>0</v>
      </c>
      <c r="AW62" s="1286">
        <f t="shared" si="12"/>
        <v>0</v>
      </c>
      <c r="AX62" s="1286">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6">
        <f t="shared" si="11"/>
        <v>0</v>
      </c>
      <c r="AW63" s="1286">
        <f t="shared" si="12"/>
        <v>0</v>
      </c>
      <c r="AX63" s="1286">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6">
        <f t="shared" si="11"/>
        <v>0</v>
      </c>
      <c r="AW64" s="1286">
        <f t="shared" si="12"/>
        <v>0</v>
      </c>
      <c r="AX64" s="1286">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6">
        <f t="shared" si="11"/>
        <v>0</v>
      </c>
      <c r="AW65" s="1286">
        <f t="shared" si="12"/>
        <v>0</v>
      </c>
      <c r="AX65" s="1286">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6">
        <f t="shared" si="11"/>
        <v>0</v>
      </c>
      <c r="AW66" s="1286">
        <f t="shared" si="12"/>
        <v>0</v>
      </c>
      <c r="AX66" s="1286">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6">
        <f t="shared" si="11"/>
        <v>0</v>
      </c>
      <c r="AW67" s="1286">
        <f t="shared" si="12"/>
        <v>0</v>
      </c>
      <c r="AX67" s="1286">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6">
        <f t="shared" si="11"/>
        <v>0</v>
      </c>
      <c r="AW68" s="1286">
        <f t="shared" si="12"/>
        <v>0</v>
      </c>
      <c r="AX68" s="1286">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6">
        <f t="shared" si="11"/>
        <v>0</v>
      </c>
      <c r="AW69" s="1286">
        <f t="shared" si="12"/>
        <v>0</v>
      </c>
      <c r="AX69" s="1286">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6">
        <f t="shared" si="11"/>
        <v>0</v>
      </c>
      <c r="AW70" s="1286">
        <f t="shared" si="12"/>
        <v>0</v>
      </c>
      <c r="AX70" s="1286">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6">
        <f t="shared" si="11"/>
        <v>0</v>
      </c>
      <c r="AW71" s="1286">
        <f t="shared" si="12"/>
        <v>0</v>
      </c>
      <c r="AX71" s="1286">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6">
        <f t="shared" si="11"/>
        <v>0</v>
      </c>
      <c r="AW72" s="1286">
        <f t="shared" si="12"/>
        <v>0</v>
      </c>
      <c r="AX72" s="1286">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6">
        <f t="shared" si="11"/>
        <v>0</v>
      </c>
      <c r="AW73" s="1286">
        <f t="shared" si="12"/>
        <v>0</v>
      </c>
      <c r="AX73" s="1286">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6">
        <f t="shared" si="11"/>
        <v>0</v>
      </c>
      <c r="AW74" s="1286">
        <f t="shared" si="12"/>
        <v>0</v>
      </c>
      <c r="AX74" s="1286">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6">
        <f t="shared" si="11"/>
        <v>0</v>
      </c>
      <c r="AW75" s="1286">
        <f t="shared" si="12"/>
        <v>0</v>
      </c>
      <c r="AX75" s="1286">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6">
        <f t="shared" si="11"/>
        <v>0</v>
      </c>
      <c r="AW76" s="1286">
        <f t="shared" si="12"/>
        <v>0</v>
      </c>
      <c r="AX76" s="1286">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6">
        <f t="shared" si="11"/>
        <v>0</v>
      </c>
      <c r="AW77" s="1286">
        <f t="shared" si="12"/>
        <v>0</v>
      </c>
      <c r="AX77" s="1286">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6">
        <f t="shared" si="11"/>
        <v>0</v>
      </c>
      <c r="AW78" s="1286">
        <f t="shared" si="12"/>
        <v>0</v>
      </c>
      <c r="AX78" s="1286">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6">
        <f t="shared" si="11"/>
        <v>0</v>
      </c>
      <c r="AW79" s="1286">
        <f t="shared" si="12"/>
        <v>0</v>
      </c>
      <c r="AX79" s="1286">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6">
        <f t="shared" si="11"/>
        <v>0</v>
      </c>
      <c r="AW80" s="1286">
        <f t="shared" si="12"/>
        <v>0</v>
      </c>
      <c r="AX80" s="1286">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6">
        <f t="shared" si="11"/>
        <v>0</v>
      </c>
      <c r="AW81" s="1286">
        <f t="shared" si="12"/>
        <v>0</v>
      </c>
      <c r="AX81" s="1286">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6">
        <f t="shared" si="11"/>
        <v>0</v>
      </c>
      <c r="AW82" s="1286">
        <f t="shared" si="12"/>
        <v>0</v>
      </c>
      <c r="AX82" s="1286">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6">
        <f t="shared" si="11"/>
        <v>0</v>
      </c>
      <c r="AW83" s="1286">
        <f t="shared" si="12"/>
        <v>0</v>
      </c>
      <c r="AX83" s="1286">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6">
        <f t="shared" si="11"/>
        <v>0</v>
      </c>
      <c r="AW84" s="1286">
        <f t="shared" si="12"/>
        <v>0</v>
      </c>
      <c r="AX84" s="1286">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6">
        <f t="shared" si="11"/>
        <v>0</v>
      </c>
      <c r="AW85" s="1286">
        <f t="shared" si="12"/>
        <v>0</v>
      </c>
      <c r="AX85" s="1286">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6">
        <f t="shared" si="11"/>
        <v>0</v>
      </c>
      <c r="AW86" s="1286">
        <f t="shared" si="12"/>
        <v>0</v>
      </c>
      <c r="AX86" s="1286">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6">
        <f t="shared" si="11"/>
        <v>0</v>
      </c>
      <c r="AW87" s="1286">
        <f t="shared" si="12"/>
        <v>0</v>
      </c>
      <c r="AX87" s="1286">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6">
        <f t="shared" si="11"/>
        <v>0</v>
      </c>
      <c r="AW88" s="1286">
        <f t="shared" si="12"/>
        <v>0</v>
      </c>
      <c r="AX88" s="1286">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6">
        <f t="shared" si="11"/>
        <v>0</v>
      </c>
      <c r="AW89" s="1286">
        <f t="shared" si="12"/>
        <v>0</v>
      </c>
      <c r="AX89" s="1286">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6">
        <f t="shared" si="11"/>
        <v>0</v>
      </c>
      <c r="AW90" s="1286">
        <f t="shared" si="12"/>
        <v>0</v>
      </c>
      <c r="AX90" s="1286">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6">
        <f t="shared" si="11"/>
        <v>0</v>
      </c>
      <c r="AW91" s="1286">
        <f t="shared" si="12"/>
        <v>0</v>
      </c>
      <c r="AX91" s="1286">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6">
        <f t="shared" si="11"/>
        <v>0</v>
      </c>
      <c r="AW92" s="1286">
        <f t="shared" si="12"/>
        <v>0</v>
      </c>
      <c r="AX92" s="1286">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6">
        <f t="shared" si="11"/>
        <v>0</v>
      </c>
      <c r="AW93" s="1286">
        <f t="shared" si="12"/>
        <v>0</v>
      </c>
      <c r="AX93" s="1286">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6">
        <f t="shared" si="11"/>
        <v>0</v>
      </c>
      <c r="AW94" s="1286">
        <f t="shared" si="12"/>
        <v>0</v>
      </c>
      <c r="AX94" s="1286">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6">
        <f t="shared" si="11"/>
        <v>0</v>
      </c>
      <c r="AW95" s="1286">
        <f t="shared" si="12"/>
        <v>0</v>
      </c>
      <c r="AX95" s="1286">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6">
        <f t="shared" si="11"/>
        <v>0</v>
      </c>
      <c r="AW96" s="1286">
        <f t="shared" si="12"/>
        <v>0</v>
      </c>
      <c r="AX96" s="1286">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6">
        <f t="shared" si="11"/>
        <v>0</v>
      </c>
      <c r="AW97" s="1286">
        <f t="shared" si="12"/>
        <v>0</v>
      </c>
      <c r="AX97" s="1286">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6">
        <f t="shared" si="11"/>
        <v>0</v>
      </c>
      <c r="AW98" s="1286">
        <f t="shared" si="12"/>
        <v>0</v>
      </c>
      <c r="AX98" s="1286">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6">
        <f t="shared" si="11"/>
        <v>0</v>
      </c>
      <c r="AW99" s="1286">
        <f t="shared" si="12"/>
        <v>0</v>
      </c>
      <c r="AX99" s="1286">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6">
        <f t="shared" si="11"/>
        <v>0</v>
      </c>
      <c r="AW100" s="1286">
        <f t="shared" si="12"/>
        <v>0</v>
      </c>
      <c r="AX100" s="1286">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6">
        <f t="shared" si="11"/>
        <v>0</v>
      </c>
      <c r="AW101" s="1286">
        <f t="shared" si="12"/>
        <v>0</v>
      </c>
      <c r="AX101" s="1286">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6">
        <f t="shared" si="11"/>
        <v>0</v>
      </c>
      <c r="AW102" s="1286">
        <f t="shared" si="12"/>
        <v>0</v>
      </c>
      <c r="AX102" s="1286">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6">
        <f t="shared" si="11"/>
        <v>0</v>
      </c>
      <c r="AW103" s="1286">
        <f t="shared" si="12"/>
        <v>0</v>
      </c>
      <c r="AX103" s="1286">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6">
        <f t="shared" si="11"/>
        <v>0</v>
      </c>
      <c r="AW104" s="1286">
        <f t="shared" si="12"/>
        <v>0</v>
      </c>
      <c r="AX104" s="1286">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6">
        <f t="shared" si="11"/>
        <v>0</v>
      </c>
      <c r="AW105" s="1286">
        <f t="shared" si="12"/>
        <v>0</v>
      </c>
      <c r="AX105" s="1286">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6">
        <f t="shared" si="11"/>
        <v>0</v>
      </c>
      <c r="AW106" s="1286">
        <f t="shared" si="12"/>
        <v>0</v>
      </c>
      <c r="AX106" s="1286">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6">
        <f t="shared" si="11"/>
        <v>0</v>
      </c>
      <c r="AW107" s="1286">
        <f t="shared" si="12"/>
        <v>0</v>
      </c>
      <c r="AX107" s="1286">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6">
        <f t="shared" si="11"/>
        <v>0</v>
      </c>
      <c r="AW108" s="1286">
        <f t="shared" si="12"/>
        <v>0</v>
      </c>
      <c r="AX108" s="1286">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6">
        <f t="shared" si="11"/>
        <v>0</v>
      </c>
      <c r="AW109" s="1286">
        <f t="shared" si="12"/>
        <v>0</v>
      </c>
      <c r="AX109" s="1286">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86">
        <f t="shared" si="11"/>
        <v>0</v>
      </c>
      <c r="AW110" s="1286">
        <f t="shared" si="12"/>
        <v>0</v>
      </c>
      <c r="AX110" s="1286">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86">
        <f t="shared" si="11"/>
        <v>0</v>
      </c>
      <c r="AW111" s="1286">
        <f t="shared" si="12"/>
        <v>0</v>
      </c>
      <c r="AX111" s="1286">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86">
        <f t="shared" si="11"/>
        <v>0</v>
      </c>
      <c r="AW112" s="1286">
        <f t="shared" si="12"/>
        <v>0</v>
      </c>
      <c r="AX112" s="1286">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6">
        <f t="shared" ref="AV113:AV144" si="62">A113</f>
        <v>0</v>
      </c>
      <c r="AW113" s="1286">
        <f t="shared" ref="AW113:AW144" si="63">B113</f>
        <v>0</v>
      </c>
      <c r="AX113" s="1286">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6">
        <f t="shared" si="62"/>
        <v>0</v>
      </c>
      <c r="AW114" s="1286">
        <f t="shared" si="63"/>
        <v>0</v>
      </c>
      <c r="AX114" s="1286">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6">
        <f t="shared" si="62"/>
        <v>0</v>
      </c>
      <c r="AW115" s="1286">
        <f t="shared" si="63"/>
        <v>0</v>
      </c>
      <c r="AX115" s="1286">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6">
        <f t="shared" si="62"/>
        <v>0</v>
      </c>
      <c r="AW116" s="1286">
        <f t="shared" si="63"/>
        <v>0</v>
      </c>
      <c r="AX116" s="1286">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6">
        <f t="shared" si="62"/>
        <v>0</v>
      </c>
      <c r="AW117" s="1286">
        <f t="shared" si="63"/>
        <v>0</v>
      </c>
      <c r="AX117" s="1286">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6">
        <f t="shared" si="62"/>
        <v>0</v>
      </c>
      <c r="AW118" s="1286">
        <f t="shared" si="63"/>
        <v>0</v>
      </c>
      <c r="AX118" s="1286">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6">
        <f t="shared" si="62"/>
        <v>0</v>
      </c>
      <c r="AW119" s="1286">
        <f t="shared" si="63"/>
        <v>0</v>
      </c>
      <c r="AX119" s="1286">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6">
        <f t="shared" si="62"/>
        <v>0</v>
      </c>
      <c r="AW120" s="1286">
        <f t="shared" si="63"/>
        <v>0</v>
      </c>
      <c r="AX120" s="1286">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6">
        <f t="shared" si="62"/>
        <v>0</v>
      </c>
      <c r="AW121" s="1286">
        <f t="shared" si="63"/>
        <v>0</v>
      </c>
      <c r="AX121" s="1286">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6">
        <f t="shared" si="62"/>
        <v>0</v>
      </c>
      <c r="AW122" s="1286">
        <f t="shared" si="63"/>
        <v>0</v>
      </c>
      <c r="AX122" s="1286">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6">
        <f t="shared" si="62"/>
        <v>0</v>
      </c>
      <c r="AW123" s="1286">
        <f t="shared" si="63"/>
        <v>0</v>
      </c>
      <c r="AX123" s="1286">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6">
        <f t="shared" si="62"/>
        <v>0</v>
      </c>
      <c r="AW124" s="1286">
        <f t="shared" si="63"/>
        <v>0</v>
      </c>
      <c r="AX124" s="1286">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6">
        <f t="shared" si="62"/>
        <v>0</v>
      </c>
      <c r="AW125" s="1286">
        <f t="shared" si="63"/>
        <v>0</v>
      </c>
      <c r="AX125" s="1286">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6">
        <f t="shared" si="62"/>
        <v>0</v>
      </c>
      <c r="AW126" s="1286">
        <f t="shared" si="63"/>
        <v>0</v>
      </c>
      <c r="AX126" s="1286">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6">
        <f t="shared" si="62"/>
        <v>0</v>
      </c>
      <c r="AW127" s="1286">
        <f t="shared" si="63"/>
        <v>0</v>
      </c>
      <c r="AX127" s="1286">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6">
        <f t="shared" si="62"/>
        <v>0</v>
      </c>
      <c r="AW128" s="1286">
        <f t="shared" si="63"/>
        <v>0</v>
      </c>
      <c r="AX128" s="1286">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6">
        <f t="shared" si="62"/>
        <v>0</v>
      </c>
      <c r="AW129" s="1286">
        <f t="shared" si="63"/>
        <v>0</v>
      </c>
      <c r="AX129" s="1286">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6">
        <f t="shared" si="62"/>
        <v>0</v>
      </c>
      <c r="AW130" s="1286">
        <f t="shared" si="63"/>
        <v>0</v>
      </c>
      <c r="AX130" s="1286">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6">
        <f t="shared" si="62"/>
        <v>0</v>
      </c>
      <c r="AW131" s="1286">
        <f t="shared" si="63"/>
        <v>0</v>
      </c>
      <c r="AX131" s="1286">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6">
        <f t="shared" si="62"/>
        <v>0</v>
      </c>
      <c r="AW132" s="1286">
        <f t="shared" si="63"/>
        <v>0</v>
      </c>
      <c r="AX132" s="1286">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6">
        <f t="shared" si="62"/>
        <v>0</v>
      </c>
      <c r="AW133" s="1286">
        <f t="shared" si="63"/>
        <v>0</v>
      </c>
      <c r="AX133" s="1286">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6">
        <f t="shared" si="62"/>
        <v>0</v>
      </c>
      <c r="AW134" s="1286">
        <f t="shared" si="63"/>
        <v>0</v>
      </c>
      <c r="AX134" s="1286">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6">
        <f t="shared" si="62"/>
        <v>0</v>
      </c>
      <c r="AW135" s="1286">
        <f t="shared" si="63"/>
        <v>0</v>
      </c>
      <c r="AX135" s="1286">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6">
        <f t="shared" si="62"/>
        <v>0</v>
      </c>
      <c r="AW136" s="1286">
        <f t="shared" si="63"/>
        <v>0</v>
      </c>
      <c r="AX136" s="1286">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6">
        <f t="shared" si="62"/>
        <v>0</v>
      </c>
      <c r="AW137" s="1286">
        <f t="shared" si="63"/>
        <v>0</v>
      </c>
      <c r="AX137" s="1286">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6">
        <f t="shared" si="62"/>
        <v>0</v>
      </c>
      <c r="AW138" s="1286">
        <f t="shared" si="63"/>
        <v>0</v>
      </c>
      <c r="AX138" s="1286">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6">
        <f t="shared" si="62"/>
        <v>0</v>
      </c>
      <c r="AW139" s="1286">
        <f t="shared" si="63"/>
        <v>0</v>
      </c>
      <c r="AX139" s="1286">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6">
        <f t="shared" si="62"/>
        <v>0</v>
      </c>
      <c r="AW140" s="1286">
        <f t="shared" si="63"/>
        <v>0</v>
      </c>
      <c r="AX140" s="1286">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6">
        <f t="shared" si="62"/>
        <v>0</v>
      </c>
      <c r="AW141" s="1286">
        <f t="shared" si="63"/>
        <v>0</v>
      </c>
      <c r="AX141" s="1286">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6">
        <f t="shared" si="62"/>
        <v>0</v>
      </c>
      <c r="AW142" s="1286">
        <f t="shared" si="63"/>
        <v>0</v>
      </c>
      <c r="AX142" s="1286">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6">
        <f t="shared" si="62"/>
        <v>0</v>
      </c>
      <c r="AW143" s="1286">
        <f t="shared" si="63"/>
        <v>0</v>
      </c>
      <c r="AX143" s="1286">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6">
        <f t="shared" si="62"/>
        <v>0</v>
      </c>
      <c r="AW144" s="1286">
        <f t="shared" si="63"/>
        <v>0</v>
      </c>
      <c r="AX144" s="1286">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6">
        <f t="shared" ref="AV145:AV176" si="91">A145</f>
        <v>0</v>
      </c>
      <c r="AW145" s="1286">
        <f t="shared" ref="AW145:AW176" si="92">B145</f>
        <v>0</v>
      </c>
      <c r="AX145" s="1286">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6">
        <f t="shared" si="91"/>
        <v>0</v>
      </c>
      <c r="AW146" s="1286">
        <f t="shared" si="92"/>
        <v>0</v>
      </c>
      <c r="AX146" s="1286">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6">
        <f t="shared" si="91"/>
        <v>0</v>
      </c>
      <c r="AW147" s="1286">
        <f t="shared" si="92"/>
        <v>0</v>
      </c>
      <c r="AX147" s="1286">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6">
        <f t="shared" si="91"/>
        <v>0</v>
      </c>
      <c r="AW148" s="1286">
        <f t="shared" si="92"/>
        <v>0</v>
      </c>
      <c r="AX148" s="1286">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6">
        <f t="shared" si="91"/>
        <v>0</v>
      </c>
      <c r="AW149" s="1286">
        <f t="shared" si="92"/>
        <v>0</v>
      </c>
      <c r="AX149" s="1286">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6">
        <f t="shared" si="91"/>
        <v>0</v>
      </c>
      <c r="AW150" s="1286">
        <f t="shared" si="92"/>
        <v>0</v>
      </c>
      <c r="AX150" s="1286">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6">
        <f t="shared" si="91"/>
        <v>0</v>
      </c>
      <c r="AW151" s="1286">
        <f t="shared" si="92"/>
        <v>0</v>
      </c>
      <c r="AX151" s="1286">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6">
        <f t="shared" si="91"/>
        <v>0</v>
      </c>
      <c r="AW152" s="1286">
        <f t="shared" si="92"/>
        <v>0</v>
      </c>
      <c r="AX152" s="1286">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6">
        <f t="shared" si="91"/>
        <v>0</v>
      </c>
      <c r="AW153" s="1286">
        <f t="shared" si="92"/>
        <v>0</v>
      </c>
      <c r="AX153" s="1286">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6">
        <f t="shared" si="91"/>
        <v>0</v>
      </c>
      <c r="AW154" s="1286">
        <f t="shared" si="92"/>
        <v>0</v>
      </c>
      <c r="AX154" s="1286">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6">
        <f t="shared" si="91"/>
        <v>0</v>
      </c>
      <c r="AW155" s="1286">
        <f t="shared" si="92"/>
        <v>0</v>
      </c>
      <c r="AX155" s="1286">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6">
        <f t="shared" si="91"/>
        <v>0</v>
      </c>
      <c r="AW156" s="1286">
        <f t="shared" si="92"/>
        <v>0</v>
      </c>
      <c r="AX156" s="1286">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6">
        <f t="shared" si="91"/>
        <v>0</v>
      </c>
      <c r="AW157" s="1286">
        <f t="shared" si="92"/>
        <v>0</v>
      </c>
      <c r="AX157" s="1286">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6">
        <f t="shared" si="91"/>
        <v>0</v>
      </c>
      <c r="AW158" s="1286">
        <f t="shared" si="92"/>
        <v>0</v>
      </c>
      <c r="AX158" s="1286">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6">
        <f t="shared" si="91"/>
        <v>0</v>
      </c>
      <c r="AW159" s="1286">
        <f t="shared" si="92"/>
        <v>0</v>
      </c>
      <c r="AX159" s="1286">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6">
        <f t="shared" si="91"/>
        <v>0</v>
      </c>
      <c r="AW160" s="1286">
        <f t="shared" si="92"/>
        <v>0</v>
      </c>
      <c r="AX160" s="1286">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6">
        <f t="shared" si="91"/>
        <v>0</v>
      </c>
      <c r="AW161" s="1286">
        <f t="shared" si="92"/>
        <v>0</v>
      </c>
      <c r="AX161" s="1286">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6">
        <f t="shared" si="91"/>
        <v>0</v>
      </c>
      <c r="AW162" s="1286">
        <f t="shared" si="92"/>
        <v>0</v>
      </c>
      <c r="AX162" s="1286">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6">
        <f t="shared" si="91"/>
        <v>0</v>
      </c>
      <c r="AW163" s="1286">
        <f t="shared" si="92"/>
        <v>0</v>
      </c>
      <c r="AX163" s="1286">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6">
        <f t="shared" si="91"/>
        <v>0</v>
      </c>
      <c r="AW164" s="1286">
        <f t="shared" si="92"/>
        <v>0</v>
      </c>
      <c r="AX164" s="1286">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6">
        <f t="shared" si="91"/>
        <v>0</v>
      </c>
      <c r="AW165" s="1286">
        <f t="shared" si="92"/>
        <v>0</v>
      </c>
      <c r="AX165" s="1286">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6">
        <f t="shared" si="91"/>
        <v>0</v>
      </c>
      <c r="AW166" s="1286">
        <f t="shared" si="92"/>
        <v>0</v>
      </c>
      <c r="AX166" s="1286">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6">
        <f t="shared" si="91"/>
        <v>0</v>
      </c>
      <c r="AW167" s="1286">
        <f t="shared" si="92"/>
        <v>0</v>
      </c>
      <c r="AX167" s="1286">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6">
        <f t="shared" si="91"/>
        <v>0</v>
      </c>
      <c r="AW168" s="1286">
        <f t="shared" si="92"/>
        <v>0</v>
      </c>
      <c r="AX168" s="1286">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6">
        <f t="shared" si="91"/>
        <v>0</v>
      </c>
      <c r="AW169" s="1286">
        <f t="shared" si="92"/>
        <v>0</v>
      </c>
      <c r="AX169" s="1286">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6">
        <f t="shared" si="91"/>
        <v>0</v>
      </c>
      <c r="AW170" s="1286">
        <f t="shared" si="92"/>
        <v>0</v>
      </c>
      <c r="AX170" s="1286">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6">
        <f t="shared" si="91"/>
        <v>0</v>
      </c>
      <c r="AW171" s="1286">
        <f t="shared" si="92"/>
        <v>0</v>
      </c>
      <c r="AX171" s="1286">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6">
        <f t="shared" si="91"/>
        <v>0</v>
      </c>
      <c r="AW172" s="1286">
        <f t="shared" si="92"/>
        <v>0</v>
      </c>
      <c r="AX172" s="1286">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6">
        <f t="shared" si="91"/>
        <v>0</v>
      </c>
      <c r="AW173" s="1286">
        <f t="shared" si="92"/>
        <v>0</v>
      </c>
      <c r="AX173" s="1286">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6">
        <f t="shared" si="91"/>
        <v>0</v>
      </c>
      <c r="AW174" s="1286">
        <f t="shared" si="92"/>
        <v>0</v>
      </c>
      <c r="AX174" s="1286">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6">
        <f t="shared" si="91"/>
        <v>0</v>
      </c>
      <c r="AW175" s="1286">
        <f t="shared" si="92"/>
        <v>0</v>
      </c>
      <c r="AX175" s="1286">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6">
        <f t="shared" si="91"/>
        <v>0</v>
      </c>
      <c r="AW176" s="1286">
        <f t="shared" si="92"/>
        <v>0</v>
      </c>
      <c r="AX176" s="1286">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6">
        <f t="shared" ref="AV177:AV207" si="120">A177</f>
        <v>0</v>
      </c>
      <c r="AW177" s="1286">
        <f t="shared" ref="AW177:AW207" si="121">B177</f>
        <v>0</v>
      </c>
      <c r="AX177" s="1286">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6">
        <f t="shared" si="120"/>
        <v>0</v>
      </c>
      <c r="AW178" s="1286">
        <f t="shared" si="121"/>
        <v>0</v>
      </c>
      <c r="AX178" s="1286">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6">
        <f t="shared" si="120"/>
        <v>0</v>
      </c>
      <c r="AW179" s="1286">
        <f t="shared" si="121"/>
        <v>0</v>
      </c>
      <c r="AX179" s="1286">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6">
        <f t="shared" si="120"/>
        <v>0</v>
      </c>
      <c r="AW180" s="1286">
        <f t="shared" si="121"/>
        <v>0</v>
      </c>
      <c r="AX180" s="1286">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6">
        <f t="shared" si="120"/>
        <v>0</v>
      </c>
      <c r="AW181" s="1286">
        <f t="shared" si="121"/>
        <v>0</v>
      </c>
      <c r="AX181" s="1286">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6">
        <f t="shared" si="120"/>
        <v>0</v>
      </c>
      <c r="AW182" s="1286">
        <f t="shared" si="121"/>
        <v>0</v>
      </c>
      <c r="AX182" s="1286">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6">
        <f t="shared" si="120"/>
        <v>0</v>
      </c>
      <c r="AW183" s="1286">
        <f t="shared" si="121"/>
        <v>0</v>
      </c>
      <c r="AX183" s="1286">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6">
        <f t="shared" si="120"/>
        <v>0</v>
      </c>
      <c r="AW184" s="1286">
        <f t="shared" si="121"/>
        <v>0</v>
      </c>
      <c r="AX184" s="1286">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6">
        <f t="shared" si="120"/>
        <v>0</v>
      </c>
      <c r="AW185" s="1286">
        <f t="shared" si="121"/>
        <v>0</v>
      </c>
      <c r="AX185" s="1286">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6">
        <f t="shared" si="120"/>
        <v>0</v>
      </c>
      <c r="AW186" s="1286">
        <f t="shared" si="121"/>
        <v>0</v>
      </c>
      <c r="AX186" s="1286">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6">
        <f t="shared" si="120"/>
        <v>0</v>
      </c>
      <c r="AW187" s="1286">
        <f t="shared" si="121"/>
        <v>0</v>
      </c>
      <c r="AX187" s="1286">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6">
        <f t="shared" si="120"/>
        <v>0</v>
      </c>
      <c r="AW188" s="1286">
        <f t="shared" si="121"/>
        <v>0</v>
      </c>
      <c r="AX188" s="1286">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6">
        <f t="shared" si="120"/>
        <v>0</v>
      </c>
      <c r="AW189" s="1286">
        <f t="shared" si="121"/>
        <v>0</v>
      </c>
      <c r="AX189" s="1286">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6">
        <f t="shared" si="120"/>
        <v>0</v>
      </c>
      <c r="AW190" s="1286">
        <f t="shared" si="121"/>
        <v>0</v>
      </c>
      <c r="AX190" s="1286">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6">
        <f t="shared" si="120"/>
        <v>0</v>
      </c>
      <c r="AW191" s="1286">
        <f t="shared" si="121"/>
        <v>0</v>
      </c>
      <c r="AX191" s="1286">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6">
        <f t="shared" si="120"/>
        <v>0</v>
      </c>
      <c r="AW192" s="1286">
        <f t="shared" si="121"/>
        <v>0</v>
      </c>
      <c r="AX192" s="1286">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6">
        <f t="shared" si="120"/>
        <v>0</v>
      </c>
      <c r="AW193" s="1286">
        <f t="shared" si="121"/>
        <v>0</v>
      </c>
      <c r="AX193" s="1286">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6">
        <f t="shared" si="120"/>
        <v>0</v>
      </c>
      <c r="AW194" s="1286">
        <f t="shared" si="121"/>
        <v>0</v>
      </c>
      <c r="AX194" s="1286">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6">
        <f t="shared" si="120"/>
        <v>0</v>
      </c>
      <c r="AW195" s="1286">
        <f t="shared" si="121"/>
        <v>0</v>
      </c>
      <c r="AX195" s="1286">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6">
        <f t="shared" si="120"/>
        <v>0</v>
      </c>
      <c r="AW196" s="1286">
        <f t="shared" si="121"/>
        <v>0</v>
      </c>
      <c r="AX196" s="1286">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6">
        <f t="shared" si="120"/>
        <v>0</v>
      </c>
      <c r="AW197" s="1286">
        <f t="shared" si="121"/>
        <v>0</v>
      </c>
      <c r="AX197" s="1286">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6">
        <f t="shared" si="120"/>
        <v>0</v>
      </c>
      <c r="AW198" s="1286">
        <f t="shared" si="121"/>
        <v>0</v>
      </c>
      <c r="AX198" s="1286">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6">
        <f t="shared" si="120"/>
        <v>0</v>
      </c>
      <c r="AW199" s="1286">
        <f t="shared" si="121"/>
        <v>0</v>
      </c>
      <c r="AX199" s="1286">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6">
        <f t="shared" si="120"/>
        <v>0</v>
      </c>
      <c r="AW200" s="1286">
        <f t="shared" si="121"/>
        <v>0</v>
      </c>
      <c r="AX200" s="1286">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6">
        <f t="shared" si="120"/>
        <v>0</v>
      </c>
      <c r="AW201" s="1286">
        <f t="shared" si="121"/>
        <v>0</v>
      </c>
      <c r="AX201" s="1286">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6">
        <f t="shared" si="120"/>
        <v>0</v>
      </c>
      <c r="AW202" s="1286">
        <f t="shared" si="121"/>
        <v>0</v>
      </c>
      <c r="AX202" s="1286">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6">
        <f t="shared" si="120"/>
        <v>0</v>
      </c>
      <c r="AW203" s="1286">
        <f t="shared" si="121"/>
        <v>0</v>
      </c>
      <c r="AX203" s="1286">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6">
        <f t="shared" si="120"/>
        <v>0</v>
      </c>
      <c r="AW204" s="1286">
        <f t="shared" si="121"/>
        <v>0</v>
      </c>
      <c r="AX204" s="1286">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86">
        <f t="shared" si="120"/>
        <v>0</v>
      </c>
      <c r="AW205" s="1286">
        <f t="shared" si="121"/>
        <v>0</v>
      </c>
      <c r="AX205" s="1286">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86">
        <f t="shared" si="120"/>
        <v>0</v>
      </c>
      <c r="AW206" s="1286">
        <f t="shared" si="121"/>
        <v>0</v>
      </c>
      <c r="AX206" s="1286">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86">
        <f t="shared" si="120"/>
        <v>0</v>
      </c>
      <c r="AW207" s="1286">
        <f t="shared" si="121"/>
        <v>0</v>
      </c>
      <c r="AX207" s="1286">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6">
        <f t="shared" ref="AV208:AV302" si="127">A208</f>
        <v>0</v>
      </c>
      <c r="AW208" s="1286">
        <f t="shared" ref="AW208:AW302" si="128">B208</f>
        <v>0</v>
      </c>
      <c r="AX208" s="1286">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6">
        <f t="shared" si="127"/>
        <v>0</v>
      </c>
      <c r="AW209" s="1286">
        <f t="shared" si="128"/>
        <v>0</v>
      </c>
      <c r="AX209" s="1286">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6">
        <f t="shared" si="127"/>
        <v>0</v>
      </c>
      <c r="AW210" s="1286">
        <f t="shared" si="128"/>
        <v>0</v>
      </c>
      <c r="AX210" s="1286">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6">
        <f t="shared" si="127"/>
        <v>0</v>
      </c>
      <c r="AW211" s="1286">
        <f t="shared" si="128"/>
        <v>0</v>
      </c>
      <c r="AX211" s="1286">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6">
        <f t="shared" si="127"/>
        <v>0</v>
      </c>
      <c r="AW212" s="1286">
        <f t="shared" si="128"/>
        <v>0</v>
      </c>
      <c r="AX212" s="1286">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6">
        <f t="shared" si="127"/>
        <v>0</v>
      </c>
      <c r="AW213" s="1286">
        <f t="shared" si="128"/>
        <v>0</v>
      </c>
      <c r="AX213" s="1286">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6">
        <f t="shared" si="127"/>
        <v>0</v>
      </c>
      <c r="AW214" s="1286">
        <f t="shared" si="128"/>
        <v>0</v>
      </c>
      <c r="AX214" s="1286">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6">
        <f t="shared" si="127"/>
        <v>0</v>
      </c>
      <c r="AW215" s="1286">
        <f t="shared" si="128"/>
        <v>0</v>
      </c>
      <c r="AX215" s="1286">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6">
        <f t="shared" si="127"/>
        <v>0</v>
      </c>
      <c r="AW216" s="1286">
        <f t="shared" si="128"/>
        <v>0</v>
      </c>
      <c r="AX216" s="1286">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6">
        <f t="shared" si="127"/>
        <v>0</v>
      </c>
      <c r="AW217" s="1286">
        <f t="shared" si="128"/>
        <v>0</v>
      </c>
      <c r="AX217" s="1286">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6">
        <f t="shared" si="127"/>
        <v>0</v>
      </c>
      <c r="AW218" s="1286">
        <f t="shared" si="128"/>
        <v>0</v>
      </c>
      <c r="AX218" s="1286">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6">
        <f t="shared" si="127"/>
        <v>0</v>
      </c>
      <c r="AW219" s="1286">
        <f t="shared" si="128"/>
        <v>0</v>
      </c>
      <c r="AX219" s="1286">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6">
        <f t="shared" si="127"/>
        <v>0</v>
      </c>
      <c r="AW220" s="1286">
        <f t="shared" si="128"/>
        <v>0</v>
      </c>
      <c r="AX220" s="1286">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6">
        <f t="shared" si="127"/>
        <v>0</v>
      </c>
      <c r="AW221" s="1286">
        <f t="shared" si="128"/>
        <v>0</v>
      </c>
      <c r="AX221" s="1286">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6">
        <f t="shared" si="127"/>
        <v>0</v>
      </c>
      <c r="AW222" s="1286">
        <f t="shared" si="128"/>
        <v>0</v>
      </c>
      <c r="AX222" s="1286">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6">
        <f t="shared" si="127"/>
        <v>0</v>
      </c>
      <c r="AW223" s="1286">
        <f t="shared" si="128"/>
        <v>0</v>
      </c>
      <c r="AX223" s="1286">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6">
        <f t="shared" si="127"/>
        <v>0</v>
      </c>
      <c r="AW224" s="1286">
        <f t="shared" si="128"/>
        <v>0</v>
      </c>
      <c r="AX224" s="1286">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6">
        <f t="shared" si="127"/>
        <v>0</v>
      </c>
      <c r="AW225" s="1286">
        <f t="shared" si="128"/>
        <v>0</v>
      </c>
      <c r="AX225" s="1286">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6">
        <f t="shared" si="127"/>
        <v>0</v>
      </c>
      <c r="AW226" s="1286">
        <f t="shared" si="128"/>
        <v>0</v>
      </c>
      <c r="AX226" s="1286">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6">
        <f t="shared" si="127"/>
        <v>0</v>
      </c>
      <c r="AW227" s="1286">
        <f t="shared" si="128"/>
        <v>0</v>
      </c>
      <c r="AX227" s="1286">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6">
        <f t="shared" si="127"/>
        <v>0</v>
      </c>
      <c r="AW228" s="1286">
        <f t="shared" si="128"/>
        <v>0</v>
      </c>
      <c r="AX228" s="1286">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6">
        <f t="shared" si="127"/>
        <v>0</v>
      </c>
      <c r="AW229" s="1286">
        <f t="shared" si="128"/>
        <v>0</v>
      </c>
      <c r="AX229" s="1286">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6">
        <f t="shared" si="127"/>
        <v>0</v>
      </c>
      <c r="AW230" s="1286">
        <f t="shared" si="128"/>
        <v>0</v>
      </c>
      <c r="AX230" s="1286">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6">
        <f t="shared" si="127"/>
        <v>0</v>
      </c>
      <c r="AW231" s="1286">
        <f t="shared" si="128"/>
        <v>0</v>
      </c>
      <c r="AX231" s="1286">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6">
        <f t="shared" si="127"/>
        <v>0</v>
      </c>
      <c r="AW232" s="1286">
        <f t="shared" si="128"/>
        <v>0</v>
      </c>
      <c r="AX232" s="1286">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6">
        <f t="shared" si="127"/>
        <v>0</v>
      </c>
      <c r="AW233" s="1286">
        <f t="shared" si="128"/>
        <v>0</v>
      </c>
      <c r="AX233" s="1286">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6">
        <f t="shared" si="127"/>
        <v>0</v>
      </c>
      <c r="AW234" s="1286">
        <f t="shared" si="128"/>
        <v>0</v>
      </c>
      <c r="AX234" s="1286">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6">
        <f t="shared" si="127"/>
        <v>0</v>
      </c>
      <c r="AW235" s="1286">
        <f t="shared" si="128"/>
        <v>0</v>
      </c>
      <c r="AX235" s="1286">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6">
        <f t="shared" si="127"/>
        <v>0</v>
      </c>
      <c r="AW236" s="1286">
        <f t="shared" si="128"/>
        <v>0</v>
      </c>
      <c r="AX236" s="1286">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6">
        <f t="shared" si="127"/>
        <v>0</v>
      </c>
      <c r="AW237" s="1286">
        <f t="shared" si="128"/>
        <v>0</v>
      </c>
      <c r="AX237" s="1286">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6">
        <f t="shared" si="127"/>
        <v>0</v>
      </c>
      <c r="AW238" s="1286">
        <f t="shared" si="128"/>
        <v>0</v>
      </c>
      <c r="AX238" s="1286">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6">
        <f t="shared" si="127"/>
        <v>0</v>
      </c>
      <c r="AW239" s="1286">
        <f t="shared" si="128"/>
        <v>0</v>
      </c>
      <c r="AX239" s="1286">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6">
        <f t="shared" si="127"/>
        <v>0</v>
      </c>
      <c r="AW240" s="1286">
        <f t="shared" si="128"/>
        <v>0</v>
      </c>
      <c r="AX240" s="1286">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6">
        <f t="shared" si="127"/>
        <v>0</v>
      </c>
      <c r="AW241" s="1286">
        <f t="shared" si="128"/>
        <v>0</v>
      </c>
      <c r="AX241" s="1286">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6">
        <f t="shared" si="127"/>
        <v>0</v>
      </c>
      <c r="AW242" s="1286">
        <f t="shared" si="128"/>
        <v>0</v>
      </c>
      <c r="AX242" s="1286">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6">
        <f t="shared" si="127"/>
        <v>0</v>
      </c>
      <c r="AW243" s="1286">
        <f t="shared" si="128"/>
        <v>0</v>
      </c>
      <c r="AX243" s="1286">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6">
        <f t="shared" si="127"/>
        <v>0</v>
      </c>
      <c r="AW244" s="1286">
        <f t="shared" si="128"/>
        <v>0</v>
      </c>
      <c r="AX244" s="1286">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6">
        <f t="shared" si="127"/>
        <v>0</v>
      </c>
      <c r="AW245" s="1286">
        <f t="shared" si="128"/>
        <v>0</v>
      </c>
      <c r="AX245" s="1286">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6">
        <f t="shared" si="127"/>
        <v>0</v>
      </c>
      <c r="AW246" s="1286">
        <f t="shared" si="128"/>
        <v>0</v>
      </c>
      <c r="AX246" s="1286">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6">
        <f t="shared" si="127"/>
        <v>0</v>
      </c>
      <c r="AW247" s="1286">
        <f t="shared" si="128"/>
        <v>0</v>
      </c>
      <c r="AX247" s="1286">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6">
        <f t="shared" si="127"/>
        <v>0</v>
      </c>
      <c r="AW248" s="1286">
        <f t="shared" si="128"/>
        <v>0</v>
      </c>
      <c r="AX248" s="1286">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6">
        <f t="shared" si="127"/>
        <v>0</v>
      </c>
      <c r="AW249" s="1286">
        <f t="shared" si="128"/>
        <v>0</v>
      </c>
      <c r="AX249" s="1286">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6">
        <f t="shared" si="127"/>
        <v>0</v>
      </c>
      <c r="AW250" s="1286">
        <f t="shared" si="128"/>
        <v>0</v>
      </c>
      <c r="AX250" s="1286">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6">
        <f t="shared" si="127"/>
        <v>0</v>
      </c>
      <c r="AW251" s="1286">
        <f t="shared" si="128"/>
        <v>0</v>
      </c>
      <c r="AX251" s="1286">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6">
        <f t="shared" si="127"/>
        <v>0</v>
      </c>
      <c r="AW252" s="1286">
        <f t="shared" si="128"/>
        <v>0</v>
      </c>
      <c r="AX252" s="1286">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6">
        <f t="shared" si="127"/>
        <v>0</v>
      </c>
      <c r="AW253" s="1286">
        <f t="shared" si="128"/>
        <v>0</v>
      </c>
      <c r="AX253" s="1286">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6">
        <f t="shared" si="127"/>
        <v>0</v>
      </c>
      <c r="AW254" s="1286">
        <f t="shared" si="128"/>
        <v>0</v>
      </c>
      <c r="AX254" s="1286">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6">
        <f t="shared" si="127"/>
        <v>0</v>
      </c>
      <c r="AW255" s="1286">
        <f t="shared" si="128"/>
        <v>0</v>
      </c>
      <c r="AX255" s="1286">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6">
        <f t="shared" si="127"/>
        <v>0</v>
      </c>
      <c r="AW256" s="1286">
        <f t="shared" si="128"/>
        <v>0</v>
      </c>
      <c r="AX256" s="1286">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6">
        <f t="shared" si="127"/>
        <v>0</v>
      </c>
      <c r="AW257" s="1286">
        <f t="shared" si="128"/>
        <v>0</v>
      </c>
      <c r="AX257" s="1286">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6">
        <f t="shared" si="127"/>
        <v>0</v>
      </c>
      <c r="AW258" s="1286">
        <f t="shared" si="128"/>
        <v>0</v>
      </c>
      <c r="AX258" s="1286">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6">
        <f t="shared" si="127"/>
        <v>0</v>
      </c>
      <c r="AW259" s="1286">
        <f t="shared" si="128"/>
        <v>0</v>
      </c>
      <c r="AX259" s="1286">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6">
        <f t="shared" si="127"/>
        <v>0</v>
      </c>
      <c r="AW260" s="1286">
        <f t="shared" si="128"/>
        <v>0</v>
      </c>
      <c r="AX260" s="1286">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6">
        <f t="shared" si="127"/>
        <v>0</v>
      </c>
      <c r="AW261" s="1286">
        <f t="shared" si="128"/>
        <v>0</v>
      </c>
      <c r="AX261" s="1286">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6">
        <f t="shared" si="127"/>
        <v>0</v>
      </c>
      <c r="AW262" s="1286">
        <f t="shared" si="128"/>
        <v>0</v>
      </c>
      <c r="AX262" s="1286">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6">
        <f t="shared" si="127"/>
        <v>0</v>
      </c>
      <c r="AW263" s="1286">
        <f t="shared" si="128"/>
        <v>0</v>
      </c>
      <c r="AX263" s="1286">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6">
        <f t="shared" si="127"/>
        <v>0</v>
      </c>
      <c r="AW264" s="1286">
        <f t="shared" si="128"/>
        <v>0</v>
      </c>
      <c r="AX264" s="1286">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6">
        <f t="shared" si="127"/>
        <v>0</v>
      </c>
      <c r="AW265" s="1286">
        <f t="shared" si="128"/>
        <v>0</v>
      </c>
      <c r="AX265" s="1286">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6">
        <f t="shared" si="127"/>
        <v>0</v>
      </c>
      <c r="AW266" s="1286">
        <f t="shared" si="128"/>
        <v>0</v>
      </c>
      <c r="AX266" s="1286">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6">
        <f t="shared" si="127"/>
        <v>0</v>
      </c>
      <c r="AW267" s="1286">
        <f t="shared" si="128"/>
        <v>0</v>
      </c>
      <c r="AX267" s="1286">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6">
        <f t="shared" si="127"/>
        <v>0</v>
      </c>
      <c r="AW268" s="1286">
        <f t="shared" si="128"/>
        <v>0</v>
      </c>
      <c r="AX268" s="1286">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6">
        <f t="shared" si="127"/>
        <v>0</v>
      </c>
      <c r="AW269" s="1286">
        <f t="shared" si="128"/>
        <v>0</v>
      </c>
      <c r="AX269" s="1286">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6">
        <f t="shared" si="127"/>
        <v>0</v>
      </c>
      <c r="AW270" s="1286">
        <f t="shared" si="128"/>
        <v>0</v>
      </c>
      <c r="AX270" s="1286">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6">
        <f t="shared" si="127"/>
        <v>0</v>
      </c>
      <c r="AW271" s="1286">
        <f t="shared" si="128"/>
        <v>0</v>
      </c>
      <c r="AX271" s="1286">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6">
        <f t="shared" si="127"/>
        <v>0</v>
      </c>
      <c r="AW272" s="1286">
        <f t="shared" si="128"/>
        <v>0</v>
      </c>
      <c r="AX272" s="1286">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6">
        <f t="shared" si="127"/>
        <v>0</v>
      </c>
      <c r="AW273" s="1286">
        <f t="shared" si="128"/>
        <v>0</v>
      </c>
      <c r="AX273" s="1286">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6">
        <f t="shared" si="127"/>
        <v>0</v>
      </c>
      <c r="AW274" s="1286">
        <f t="shared" si="128"/>
        <v>0</v>
      </c>
      <c r="AX274" s="1286">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6">
        <f t="shared" si="127"/>
        <v>0</v>
      </c>
      <c r="AW275" s="1286">
        <f t="shared" si="128"/>
        <v>0</v>
      </c>
      <c r="AX275" s="1286">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6">
        <f t="shared" si="127"/>
        <v>0</v>
      </c>
      <c r="AW276" s="1286">
        <f t="shared" si="128"/>
        <v>0</v>
      </c>
      <c r="AX276" s="1286">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6">
        <f t="shared" si="127"/>
        <v>0</v>
      </c>
      <c r="AW277" s="1286">
        <f t="shared" si="128"/>
        <v>0</v>
      </c>
      <c r="AX277" s="1286">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6">
        <f t="shared" si="127"/>
        <v>0</v>
      </c>
      <c r="AW278" s="1286">
        <f t="shared" si="128"/>
        <v>0</v>
      </c>
      <c r="AX278" s="1286">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6">
        <f t="shared" si="127"/>
        <v>0</v>
      </c>
      <c r="AW279" s="1286">
        <f t="shared" si="128"/>
        <v>0</v>
      </c>
      <c r="AX279" s="1286">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6">
        <f t="shared" si="127"/>
        <v>0</v>
      </c>
      <c r="AW280" s="1286">
        <f t="shared" si="128"/>
        <v>0</v>
      </c>
      <c r="AX280" s="1286">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6">
        <f t="shared" si="127"/>
        <v>0</v>
      </c>
      <c r="AW281" s="1286">
        <f t="shared" si="128"/>
        <v>0</v>
      </c>
      <c r="AX281" s="1286">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6">
        <f t="shared" si="127"/>
        <v>0</v>
      </c>
      <c r="AW282" s="1286">
        <f t="shared" si="128"/>
        <v>0</v>
      </c>
      <c r="AX282" s="1286">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6">
        <f t="shared" si="127"/>
        <v>0</v>
      </c>
      <c r="AW283" s="1286">
        <f t="shared" si="128"/>
        <v>0</v>
      </c>
      <c r="AX283" s="1286">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6">
        <f t="shared" si="127"/>
        <v>0</v>
      </c>
      <c r="AW284" s="1286">
        <f t="shared" si="128"/>
        <v>0</v>
      </c>
      <c r="AX284" s="1286">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6">
        <f t="shared" si="127"/>
        <v>0</v>
      </c>
      <c r="AW285" s="1286">
        <f t="shared" si="128"/>
        <v>0</v>
      </c>
      <c r="AX285" s="1286">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6">
        <f t="shared" si="127"/>
        <v>0</v>
      </c>
      <c r="AW286" s="1286">
        <f t="shared" si="128"/>
        <v>0</v>
      </c>
      <c r="AX286" s="1286">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6">
        <f t="shared" si="127"/>
        <v>0</v>
      </c>
      <c r="AW287" s="1286">
        <f t="shared" si="128"/>
        <v>0</v>
      </c>
      <c r="AX287" s="1286">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6">
        <f t="shared" si="127"/>
        <v>0</v>
      </c>
      <c r="AW288" s="1286">
        <f t="shared" si="128"/>
        <v>0</v>
      </c>
      <c r="AX288" s="1286">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6">
        <f t="shared" si="127"/>
        <v>0</v>
      </c>
      <c r="AW289" s="1286">
        <f t="shared" si="128"/>
        <v>0</v>
      </c>
      <c r="AX289" s="1286">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6">
        <f t="shared" si="127"/>
        <v>0</v>
      </c>
      <c r="AW290" s="1286">
        <f t="shared" si="128"/>
        <v>0</v>
      </c>
      <c r="AX290" s="1286">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6">
        <f t="shared" si="127"/>
        <v>0</v>
      </c>
      <c r="AW291" s="1286">
        <f t="shared" si="128"/>
        <v>0</v>
      </c>
      <c r="AX291" s="1286">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6">
        <f t="shared" si="127"/>
        <v>0</v>
      </c>
      <c r="AW292" s="1286">
        <f t="shared" si="128"/>
        <v>0</v>
      </c>
      <c r="AX292" s="1286">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6">
        <f t="shared" si="127"/>
        <v>0</v>
      </c>
      <c r="AW293" s="1286">
        <f t="shared" si="128"/>
        <v>0</v>
      </c>
      <c r="AX293" s="1286">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6">
        <f t="shared" si="127"/>
        <v>0</v>
      </c>
      <c r="AW294" s="1286">
        <f t="shared" si="128"/>
        <v>0</v>
      </c>
      <c r="AX294" s="1286">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6">
        <f t="shared" si="127"/>
        <v>0</v>
      </c>
      <c r="AW295" s="1286">
        <f t="shared" si="128"/>
        <v>0</v>
      </c>
      <c r="AX295" s="1286">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6">
        <f t="shared" si="127"/>
        <v>0</v>
      </c>
      <c r="AW296" s="1286">
        <f t="shared" si="128"/>
        <v>0</v>
      </c>
      <c r="AX296" s="1286">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6">
        <f t="shared" si="127"/>
        <v>0</v>
      </c>
      <c r="AW297" s="1286">
        <f t="shared" si="128"/>
        <v>0</v>
      </c>
      <c r="AX297" s="1286">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6">
        <f t="shared" si="127"/>
        <v>0</v>
      </c>
      <c r="AW298" s="1286">
        <f t="shared" si="128"/>
        <v>0</v>
      </c>
      <c r="AX298" s="1286">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6">
        <f t="shared" si="127"/>
        <v>0</v>
      </c>
      <c r="AW299" s="1286">
        <f t="shared" si="128"/>
        <v>0</v>
      </c>
      <c r="AX299" s="1286">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86">
        <f t="shared" si="127"/>
        <v>0</v>
      </c>
      <c r="AW300" s="1286">
        <f t="shared" si="128"/>
        <v>0</v>
      </c>
      <c r="AX300" s="1286">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86">
        <f t="shared" si="127"/>
        <v>0</v>
      </c>
      <c r="AW301" s="1286">
        <f t="shared" si="128"/>
        <v>0</v>
      </c>
      <c r="AX301" s="1286">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86">
        <f t="shared" si="127"/>
        <v>0</v>
      </c>
      <c r="AW302" s="1286">
        <f t="shared" si="128"/>
        <v>0</v>
      </c>
      <c r="AX302" s="1286">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6">
        <f t="shared" ref="AV303:AV334" si="178">A303</f>
        <v>0</v>
      </c>
      <c r="AW303" s="1286">
        <f t="shared" ref="AW303:AW334" si="179">B303</f>
        <v>0</v>
      </c>
      <c r="AX303" s="1286">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6">
        <f t="shared" si="178"/>
        <v>0</v>
      </c>
      <c r="AW304" s="1286">
        <f t="shared" si="179"/>
        <v>0</v>
      </c>
      <c r="AX304" s="1286">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6">
        <f t="shared" si="178"/>
        <v>0</v>
      </c>
      <c r="AW305" s="1286">
        <f t="shared" si="179"/>
        <v>0</v>
      </c>
      <c r="AX305" s="1286">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6">
        <f t="shared" si="178"/>
        <v>0</v>
      </c>
      <c r="AW306" s="1286">
        <f t="shared" si="179"/>
        <v>0</v>
      </c>
      <c r="AX306" s="1286">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6">
        <f t="shared" si="178"/>
        <v>0</v>
      </c>
      <c r="AW307" s="1286">
        <f t="shared" si="179"/>
        <v>0</v>
      </c>
      <c r="AX307" s="1286">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6">
        <f t="shared" si="178"/>
        <v>0</v>
      </c>
      <c r="AW308" s="1286">
        <f t="shared" si="179"/>
        <v>0</v>
      </c>
      <c r="AX308" s="1286">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6">
        <f t="shared" si="178"/>
        <v>0</v>
      </c>
      <c r="AW309" s="1286">
        <f t="shared" si="179"/>
        <v>0</v>
      </c>
      <c r="AX309" s="1286">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6">
        <f t="shared" si="178"/>
        <v>0</v>
      </c>
      <c r="AW310" s="1286">
        <f t="shared" si="179"/>
        <v>0</v>
      </c>
      <c r="AX310" s="1286">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6">
        <f t="shared" si="178"/>
        <v>0</v>
      </c>
      <c r="AW311" s="1286">
        <f t="shared" si="179"/>
        <v>0</v>
      </c>
      <c r="AX311" s="1286">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6">
        <f t="shared" si="178"/>
        <v>0</v>
      </c>
      <c r="AW312" s="1286">
        <f t="shared" si="179"/>
        <v>0</v>
      </c>
      <c r="AX312" s="1286">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6">
        <f t="shared" si="178"/>
        <v>0</v>
      </c>
      <c r="AW313" s="1286">
        <f t="shared" si="179"/>
        <v>0</v>
      </c>
      <c r="AX313" s="1286">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6">
        <f t="shared" si="178"/>
        <v>0</v>
      </c>
      <c r="AW314" s="1286">
        <f t="shared" si="179"/>
        <v>0</v>
      </c>
      <c r="AX314" s="1286">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6">
        <f t="shared" si="178"/>
        <v>0</v>
      </c>
      <c r="AW315" s="1286">
        <f t="shared" si="179"/>
        <v>0</v>
      </c>
      <c r="AX315" s="1286">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6">
        <f t="shared" si="178"/>
        <v>0</v>
      </c>
      <c r="AW316" s="1286">
        <f t="shared" si="179"/>
        <v>0</v>
      </c>
      <c r="AX316" s="1286">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6">
        <f t="shared" si="178"/>
        <v>0</v>
      </c>
      <c r="AW317" s="1286">
        <f t="shared" si="179"/>
        <v>0</v>
      </c>
      <c r="AX317" s="1286">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6">
        <f t="shared" si="178"/>
        <v>0</v>
      </c>
      <c r="AW318" s="1286">
        <f t="shared" si="179"/>
        <v>0</v>
      </c>
      <c r="AX318" s="1286">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6">
        <f t="shared" si="178"/>
        <v>0</v>
      </c>
      <c r="AW319" s="1286">
        <f t="shared" si="179"/>
        <v>0</v>
      </c>
      <c r="AX319" s="1286">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6">
        <f t="shared" si="178"/>
        <v>0</v>
      </c>
      <c r="AW320" s="1286">
        <f t="shared" si="179"/>
        <v>0</v>
      </c>
      <c r="AX320" s="1286">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6">
        <f t="shared" si="178"/>
        <v>0</v>
      </c>
      <c r="AW321" s="1286">
        <f t="shared" si="179"/>
        <v>0</v>
      </c>
      <c r="AX321" s="1286">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6">
        <f t="shared" si="178"/>
        <v>0</v>
      </c>
      <c r="AW322" s="1286">
        <f t="shared" si="179"/>
        <v>0</v>
      </c>
      <c r="AX322" s="1286">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6">
        <f t="shared" si="178"/>
        <v>0</v>
      </c>
      <c r="AW323" s="1286">
        <f t="shared" si="179"/>
        <v>0</v>
      </c>
      <c r="AX323" s="1286">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6">
        <f t="shared" si="178"/>
        <v>0</v>
      </c>
      <c r="AW324" s="1286">
        <f t="shared" si="179"/>
        <v>0</v>
      </c>
      <c r="AX324" s="1286">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6">
        <f t="shared" si="178"/>
        <v>0</v>
      </c>
      <c r="AW325" s="1286">
        <f t="shared" si="179"/>
        <v>0</v>
      </c>
      <c r="AX325" s="1286">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6">
        <f t="shared" si="178"/>
        <v>0</v>
      </c>
      <c r="AW326" s="1286">
        <f t="shared" si="179"/>
        <v>0</v>
      </c>
      <c r="AX326" s="1286">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6">
        <f t="shared" si="178"/>
        <v>0</v>
      </c>
      <c r="AW327" s="1286">
        <f t="shared" si="179"/>
        <v>0</v>
      </c>
      <c r="AX327" s="1286">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6">
        <f t="shared" si="178"/>
        <v>0</v>
      </c>
      <c r="AW328" s="1286">
        <f t="shared" si="179"/>
        <v>0</v>
      </c>
      <c r="AX328" s="1286">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6">
        <f t="shared" si="178"/>
        <v>0</v>
      </c>
      <c r="AW329" s="1286">
        <f t="shared" si="179"/>
        <v>0</v>
      </c>
      <c r="AX329" s="1286">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6">
        <f t="shared" si="178"/>
        <v>0</v>
      </c>
      <c r="AW330" s="1286">
        <f t="shared" si="179"/>
        <v>0</v>
      </c>
      <c r="AX330" s="1286">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6">
        <f t="shared" si="178"/>
        <v>0</v>
      </c>
      <c r="AW331" s="1286">
        <f t="shared" si="179"/>
        <v>0</v>
      </c>
      <c r="AX331" s="1286">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6">
        <f t="shared" si="178"/>
        <v>0</v>
      </c>
      <c r="AW332" s="1286">
        <f t="shared" si="179"/>
        <v>0</v>
      </c>
      <c r="AX332" s="1286">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6">
        <f t="shared" si="178"/>
        <v>0</v>
      </c>
      <c r="AW333" s="1286">
        <f t="shared" si="179"/>
        <v>0</v>
      </c>
      <c r="AX333" s="1286">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6">
        <f t="shared" si="178"/>
        <v>0</v>
      </c>
      <c r="AW334" s="1286">
        <f t="shared" si="179"/>
        <v>0</v>
      </c>
      <c r="AX334" s="1286">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6">
        <f t="shared" ref="AV335:AV366" si="207">A335</f>
        <v>0</v>
      </c>
      <c r="AW335" s="1286">
        <f t="shared" ref="AW335:AW366" si="208">B335</f>
        <v>0</v>
      </c>
      <c r="AX335" s="1286">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6">
        <f t="shared" si="207"/>
        <v>0</v>
      </c>
      <c r="AW336" s="1286">
        <f t="shared" si="208"/>
        <v>0</v>
      </c>
      <c r="AX336" s="1286">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6">
        <f t="shared" si="207"/>
        <v>0</v>
      </c>
      <c r="AW337" s="1286">
        <f t="shared" si="208"/>
        <v>0</v>
      </c>
      <c r="AX337" s="1286">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6">
        <f t="shared" si="207"/>
        <v>0</v>
      </c>
      <c r="AW338" s="1286">
        <f t="shared" si="208"/>
        <v>0</v>
      </c>
      <c r="AX338" s="1286">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6">
        <f t="shared" si="207"/>
        <v>0</v>
      </c>
      <c r="AW339" s="1286">
        <f t="shared" si="208"/>
        <v>0</v>
      </c>
      <c r="AX339" s="1286">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6">
        <f t="shared" si="207"/>
        <v>0</v>
      </c>
      <c r="AW340" s="1286">
        <f t="shared" si="208"/>
        <v>0</v>
      </c>
      <c r="AX340" s="1286">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6">
        <f t="shared" si="207"/>
        <v>0</v>
      </c>
      <c r="AW341" s="1286">
        <f t="shared" si="208"/>
        <v>0</v>
      </c>
      <c r="AX341" s="1286">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6">
        <f t="shared" si="207"/>
        <v>0</v>
      </c>
      <c r="AW342" s="1286">
        <f t="shared" si="208"/>
        <v>0</v>
      </c>
      <c r="AX342" s="1286">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6">
        <f t="shared" si="207"/>
        <v>0</v>
      </c>
      <c r="AW343" s="1286">
        <f t="shared" si="208"/>
        <v>0</v>
      </c>
      <c r="AX343" s="1286">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6">
        <f t="shared" si="207"/>
        <v>0</v>
      </c>
      <c r="AW344" s="1286">
        <f t="shared" si="208"/>
        <v>0</v>
      </c>
      <c r="AX344" s="1286">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6">
        <f t="shared" si="207"/>
        <v>0</v>
      </c>
      <c r="AW345" s="1286">
        <f t="shared" si="208"/>
        <v>0</v>
      </c>
      <c r="AX345" s="1286">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6">
        <f t="shared" si="207"/>
        <v>0</v>
      </c>
      <c r="AW346" s="1286">
        <f t="shared" si="208"/>
        <v>0</v>
      </c>
      <c r="AX346" s="1286">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6">
        <f t="shared" si="207"/>
        <v>0</v>
      </c>
      <c r="AW347" s="1286">
        <f t="shared" si="208"/>
        <v>0</v>
      </c>
      <c r="AX347" s="1286">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6">
        <f t="shared" si="207"/>
        <v>0</v>
      </c>
      <c r="AW348" s="1286">
        <f t="shared" si="208"/>
        <v>0</v>
      </c>
      <c r="AX348" s="1286">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6">
        <f t="shared" si="207"/>
        <v>0</v>
      </c>
      <c r="AW349" s="1286">
        <f t="shared" si="208"/>
        <v>0</v>
      </c>
      <c r="AX349" s="1286">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6">
        <f t="shared" si="207"/>
        <v>0</v>
      </c>
      <c r="AW350" s="1286">
        <f t="shared" si="208"/>
        <v>0</v>
      </c>
      <c r="AX350" s="1286">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6">
        <f t="shared" si="207"/>
        <v>0</v>
      </c>
      <c r="AW351" s="1286">
        <f t="shared" si="208"/>
        <v>0</v>
      </c>
      <c r="AX351" s="1286">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6">
        <f t="shared" si="207"/>
        <v>0</v>
      </c>
      <c r="AW352" s="1286">
        <f t="shared" si="208"/>
        <v>0</v>
      </c>
      <c r="AX352" s="1286">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6">
        <f t="shared" si="207"/>
        <v>0</v>
      </c>
      <c r="AW353" s="1286">
        <f t="shared" si="208"/>
        <v>0</v>
      </c>
      <c r="AX353" s="1286">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6">
        <f t="shared" si="207"/>
        <v>0</v>
      </c>
      <c r="AW354" s="1286">
        <f t="shared" si="208"/>
        <v>0</v>
      </c>
      <c r="AX354" s="1286">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6">
        <f t="shared" si="207"/>
        <v>0</v>
      </c>
      <c r="AW355" s="1286">
        <f t="shared" si="208"/>
        <v>0</v>
      </c>
      <c r="AX355" s="1286">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6">
        <f t="shared" si="207"/>
        <v>0</v>
      </c>
      <c r="AW356" s="1286">
        <f t="shared" si="208"/>
        <v>0</v>
      </c>
      <c r="AX356" s="1286">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6">
        <f t="shared" si="207"/>
        <v>0</v>
      </c>
      <c r="AW357" s="1286">
        <f t="shared" si="208"/>
        <v>0</v>
      </c>
      <c r="AX357" s="1286">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6">
        <f t="shared" si="207"/>
        <v>0</v>
      </c>
      <c r="AW358" s="1286">
        <f t="shared" si="208"/>
        <v>0</v>
      </c>
      <c r="AX358" s="1286">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6">
        <f t="shared" si="207"/>
        <v>0</v>
      </c>
      <c r="AW359" s="1286">
        <f t="shared" si="208"/>
        <v>0</v>
      </c>
      <c r="AX359" s="1286">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6">
        <f t="shared" si="207"/>
        <v>0</v>
      </c>
      <c r="AW360" s="1286">
        <f t="shared" si="208"/>
        <v>0</v>
      </c>
      <c r="AX360" s="1286">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6">
        <f t="shared" si="207"/>
        <v>0</v>
      </c>
      <c r="AW361" s="1286">
        <f t="shared" si="208"/>
        <v>0</v>
      </c>
      <c r="AX361" s="1286">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6">
        <f t="shared" si="207"/>
        <v>0</v>
      </c>
      <c r="AW362" s="1286">
        <f t="shared" si="208"/>
        <v>0</v>
      </c>
      <c r="AX362" s="1286">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6">
        <f t="shared" si="207"/>
        <v>0</v>
      </c>
      <c r="AW363" s="1286">
        <f t="shared" si="208"/>
        <v>0</v>
      </c>
      <c r="AX363" s="1286">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6">
        <f t="shared" si="207"/>
        <v>0</v>
      </c>
      <c r="AW364" s="1286">
        <f t="shared" si="208"/>
        <v>0</v>
      </c>
      <c r="AX364" s="1286">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6">
        <f t="shared" si="207"/>
        <v>0</v>
      </c>
      <c r="AW365" s="1286">
        <f t="shared" si="208"/>
        <v>0</v>
      </c>
      <c r="AX365" s="1286">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6">
        <f t="shared" si="207"/>
        <v>0</v>
      </c>
      <c r="AW366" s="1286">
        <f t="shared" si="208"/>
        <v>0</v>
      </c>
      <c r="AX366" s="1286">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6">
        <f t="shared" ref="AV367:AV397" si="236">A367</f>
        <v>0</v>
      </c>
      <c r="AW367" s="1286">
        <f t="shared" ref="AW367:AW397" si="237">B367</f>
        <v>0</v>
      </c>
      <c r="AX367" s="1286">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6">
        <f t="shared" si="236"/>
        <v>0</v>
      </c>
      <c r="AW368" s="1286">
        <f t="shared" si="237"/>
        <v>0</v>
      </c>
      <c r="AX368" s="1286">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6">
        <f t="shared" si="236"/>
        <v>0</v>
      </c>
      <c r="AW369" s="1286">
        <f t="shared" si="237"/>
        <v>0</v>
      </c>
      <c r="AX369" s="1286">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6">
        <f t="shared" si="236"/>
        <v>0</v>
      </c>
      <c r="AW370" s="1286">
        <f t="shared" si="237"/>
        <v>0</v>
      </c>
      <c r="AX370" s="1286">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6">
        <f t="shared" si="236"/>
        <v>0</v>
      </c>
      <c r="AW371" s="1286">
        <f t="shared" si="237"/>
        <v>0</v>
      </c>
      <c r="AX371" s="1286">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6">
        <f t="shared" si="236"/>
        <v>0</v>
      </c>
      <c r="AW372" s="1286">
        <f t="shared" si="237"/>
        <v>0</v>
      </c>
      <c r="AX372" s="1286">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6">
        <f t="shared" si="236"/>
        <v>0</v>
      </c>
      <c r="AW373" s="1286">
        <f t="shared" si="237"/>
        <v>0</v>
      </c>
      <c r="AX373" s="1286">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6">
        <f t="shared" si="236"/>
        <v>0</v>
      </c>
      <c r="AW374" s="1286">
        <f t="shared" si="237"/>
        <v>0</v>
      </c>
      <c r="AX374" s="1286">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6">
        <f t="shared" si="236"/>
        <v>0</v>
      </c>
      <c r="AW375" s="1286">
        <f t="shared" si="237"/>
        <v>0</v>
      </c>
      <c r="AX375" s="1286">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6">
        <f t="shared" si="236"/>
        <v>0</v>
      </c>
      <c r="AW376" s="1286">
        <f t="shared" si="237"/>
        <v>0</v>
      </c>
      <c r="AX376" s="1286">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6">
        <f t="shared" si="236"/>
        <v>0</v>
      </c>
      <c r="AW377" s="1286">
        <f t="shared" si="237"/>
        <v>0</v>
      </c>
      <c r="AX377" s="1286">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6">
        <f t="shared" si="236"/>
        <v>0</v>
      </c>
      <c r="AW378" s="1286">
        <f t="shared" si="237"/>
        <v>0</v>
      </c>
      <c r="AX378" s="1286">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6">
        <f t="shared" si="236"/>
        <v>0</v>
      </c>
      <c r="AW379" s="1286">
        <f t="shared" si="237"/>
        <v>0</v>
      </c>
      <c r="AX379" s="1286">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6">
        <f t="shared" si="236"/>
        <v>0</v>
      </c>
      <c r="AW380" s="1286">
        <f t="shared" si="237"/>
        <v>0</v>
      </c>
      <c r="AX380" s="1286">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6">
        <f t="shared" si="236"/>
        <v>0</v>
      </c>
      <c r="AW381" s="1286">
        <f t="shared" si="237"/>
        <v>0</v>
      </c>
      <c r="AX381" s="1286">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6">
        <f t="shared" si="236"/>
        <v>0</v>
      </c>
      <c r="AW382" s="1286">
        <f t="shared" si="237"/>
        <v>0</v>
      </c>
      <c r="AX382" s="1286">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6">
        <f t="shared" si="236"/>
        <v>0</v>
      </c>
      <c r="AW383" s="1286">
        <f t="shared" si="237"/>
        <v>0</v>
      </c>
      <c r="AX383" s="1286">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6">
        <f t="shared" si="236"/>
        <v>0</v>
      </c>
      <c r="AW384" s="1286">
        <f t="shared" si="237"/>
        <v>0</v>
      </c>
      <c r="AX384" s="1286">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6">
        <f t="shared" si="236"/>
        <v>0</v>
      </c>
      <c r="AW385" s="1286">
        <f t="shared" si="237"/>
        <v>0</v>
      </c>
      <c r="AX385" s="1286">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6">
        <f t="shared" si="236"/>
        <v>0</v>
      </c>
      <c r="AW386" s="1286">
        <f t="shared" si="237"/>
        <v>0</v>
      </c>
      <c r="AX386" s="1286">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6">
        <f t="shared" si="236"/>
        <v>0</v>
      </c>
      <c r="AW387" s="1286">
        <f t="shared" si="237"/>
        <v>0</v>
      </c>
      <c r="AX387" s="1286">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6">
        <f t="shared" si="236"/>
        <v>0</v>
      </c>
      <c r="AW388" s="1286">
        <f t="shared" si="237"/>
        <v>0</v>
      </c>
      <c r="AX388" s="1286">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6">
        <f t="shared" si="236"/>
        <v>0</v>
      </c>
      <c r="AW389" s="1286">
        <f t="shared" si="237"/>
        <v>0</v>
      </c>
      <c r="AX389" s="1286">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6">
        <f t="shared" si="236"/>
        <v>0</v>
      </c>
      <c r="AW390" s="1286">
        <f t="shared" si="237"/>
        <v>0</v>
      </c>
      <c r="AX390" s="1286">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6">
        <f t="shared" si="236"/>
        <v>0</v>
      </c>
      <c r="AW391" s="1286">
        <f t="shared" si="237"/>
        <v>0</v>
      </c>
      <c r="AX391" s="1286">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6">
        <f t="shared" si="236"/>
        <v>0</v>
      </c>
      <c r="AW392" s="1286">
        <f t="shared" si="237"/>
        <v>0</v>
      </c>
      <c r="AX392" s="1286">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6">
        <f t="shared" si="236"/>
        <v>0</v>
      </c>
      <c r="AW393" s="1286">
        <f t="shared" si="237"/>
        <v>0</v>
      </c>
      <c r="AX393" s="1286">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6">
        <f t="shared" si="236"/>
        <v>0</v>
      </c>
      <c r="AW394" s="1286">
        <f t="shared" si="237"/>
        <v>0</v>
      </c>
      <c r="AX394" s="1286">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86">
        <f t="shared" si="236"/>
        <v>0</v>
      </c>
      <c r="AW395" s="1286">
        <f t="shared" si="237"/>
        <v>0</v>
      </c>
      <c r="AX395" s="1286">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86">
        <f t="shared" si="236"/>
        <v>0</v>
      </c>
      <c r="AW396" s="1286">
        <f t="shared" si="237"/>
        <v>0</v>
      </c>
      <c r="AX396" s="1286">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86">
        <f t="shared" si="236"/>
        <v>0</v>
      </c>
      <c r="AW397" s="1286">
        <f t="shared" si="237"/>
        <v>0</v>
      </c>
      <c r="AX397" s="1286">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6">
        <f t="shared" ref="AV398:AV492" si="243">A398</f>
        <v>0</v>
      </c>
      <c r="AW398" s="1286">
        <f t="shared" ref="AW398:AW492" si="244">B398</f>
        <v>0</v>
      </c>
      <c r="AX398" s="1286">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6">
        <f t="shared" si="243"/>
        <v>0</v>
      </c>
      <c r="AW399" s="1286">
        <f t="shared" si="244"/>
        <v>0</v>
      </c>
      <c r="AX399" s="1286">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6">
        <f t="shared" si="243"/>
        <v>0</v>
      </c>
      <c r="AW400" s="1286">
        <f t="shared" si="244"/>
        <v>0</v>
      </c>
      <c r="AX400" s="1286">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6">
        <f t="shared" si="243"/>
        <v>0</v>
      </c>
      <c r="AW401" s="1286">
        <f t="shared" si="244"/>
        <v>0</v>
      </c>
      <c r="AX401" s="1286">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6">
        <f t="shared" si="243"/>
        <v>0</v>
      </c>
      <c r="AW402" s="1286">
        <f t="shared" si="244"/>
        <v>0</v>
      </c>
      <c r="AX402" s="1286">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6">
        <f t="shared" si="243"/>
        <v>0</v>
      </c>
      <c r="AW403" s="1286">
        <f t="shared" si="244"/>
        <v>0</v>
      </c>
      <c r="AX403" s="1286">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6">
        <f t="shared" si="243"/>
        <v>0</v>
      </c>
      <c r="AW404" s="1286">
        <f t="shared" si="244"/>
        <v>0</v>
      </c>
      <c r="AX404" s="1286">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6">
        <f t="shared" si="243"/>
        <v>0</v>
      </c>
      <c r="AW405" s="1286">
        <f t="shared" si="244"/>
        <v>0</v>
      </c>
      <c r="AX405" s="1286">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6">
        <f t="shared" si="243"/>
        <v>0</v>
      </c>
      <c r="AW406" s="1286">
        <f t="shared" si="244"/>
        <v>0</v>
      </c>
      <c r="AX406" s="1286">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6">
        <f t="shared" si="243"/>
        <v>0</v>
      </c>
      <c r="AW407" s="1286">
        <f t="shared" si="244"/>
        <v>0</v>
      </c>
      <c r="AX407" s="1286">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6">
        <f t="shared" si="243"/>
        <v>0</v>
      </c>
      <c r="AW408" s="1286">
        <f t="shared" si="244"/>
        <v>0</v>
      </c>
      <c r="AX408" s="1286">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6">
        <f t="shared" si="243"/>
        <v>0</v>
      </c>
      <c r="AW409" s="1286">
        <f t="shared" si="244"/>
        <v>0</v>
      </c>
      <c r="AX409" s="1286">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6">
        <f t="shared" si="243"/>
        <v>0</v>
      </c>
      <c r="AW410" s="1286">
        <f t="shared" si="244"/>
        <v>0</v>
      </c>
      <c r="AX410" s="1286">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6">
        <f t="shared" si="243"/>
        <v>0</v>
      </c>
      <c r="AW411" s="1286">
        <f t="shared" si="244"/>
        <v>0</v>
      </c>
      <c r="AX411" s="1286">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6">
        <f t="shared" si="243"/>
        <v>0</v>
      </c>
      <c r="AW412" s="1286">
        <f t="shared" si="244"/>
        <v>0</v>
      </c>
      <c r="AX412" s="1286">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6">
        <f t="shared" si="243"/>
        <v>0</v>
      </c>
      <c r="AW413" s="1286">
        <f t="shared" si="244"/>
        <v>0</v>
      </c>
      <c r="AX413" s="1286">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6">
        <f t="shared" si="243"/>
        <v>0</v>
      </c>
      <c r="AW414" s="1286">
        <f t="shared" si="244"/>
        <v>0</v>
      </c>
      <c r="AX414" s="1286">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6">
        <f t="shared" si="243"/>
        <v>0</v>
      </c>
      <c r="AW415" s="1286">
        <f t="shared" si="244"/>
        <v>0</v>
      </c>
      <c r="AX415" s="1286">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6">
        <f t="shared" si="243"/>
        <v>0</v>
      </c>
      <c r="AW416" s="1286">
        <f t="shared" si="244"/>
        <v>0</v>
      </c>
      <c r="AX416" s="1286">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6">
        <f t="shared" si="243"/>
        <v>0</v>
      </c>
      <c r="AW417" s="1286">
        <f t="shared" si="244"/>
        <v>0</v>
      </c>
      <c r="AX417" s="1286">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6">
        <f t="shared" si="243"/>
        <v>0</v>
      </c>
      <c r="AW418" s="1286">
        <f t="shared" si="244"/>
        <v>0</v>
      </c>
      <c r="AX418" s="1286">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6">
        <f t="shared" si="243"/>
        <v>0</v>
      </c>
      <c r="AW419" s="1286">
        <f t="shared" si="244"/>
        <v>0</v>
      </c>
      <c r="AX419" s="1286">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6">
        <f t="shared" si="243"/>
        <v>0</v>
      </c>
      <c r="AW420" s="1286">
        <f t="shared" si="244"/>
        <v>0</v>
      </c>
      <c r="AX420" s="1286">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6">
        <f t="shared" si="243"/>
        <v>0</v>
      </c>
      <c r="AW421" s="1286">
        <f t="shared" si="244"/>
        <v>0</v>
      </c>
      <c r="AX421" s="1286">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6">
        <f t="shared" si="243"/>
        <v>0</v>
      </c>
      <c r="AW422" s="1286">
        <f t="shared" si="244"/>
        <v>0</v>
      </c>
      <c r="AX422" s="1286">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6">
        <f t="shared" si="243"/>
        <v>0</v>
      </c>
      <c r="AW423" s="1286">
        <f t="shared" si="244"/>
        <v>0</v>
      </c>
      <c r="AX423" s="1286">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6">
        <f t="shared" si="243"/>
        <v>0</v>
      </c>
      <c r="AW424" s="1286">
        <f t="shared" si="244"/>
        <v>0</v>
      </c>
      <c r="AX424" s="1286">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6">
        <f t="shared" si="243"/>
        <v>0</v>
      </c>
      <c r="AW425" s="1286">
        <f t="shared" si="244"/>
        <v>0</v>
      </c>
      <c r="AX425" s="1286">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6">
        <f t="shared" si="243"/>
        <v>0</v>
      </c>
      <c r="AW426" s="1286">
        <f t="shared" si="244"/>
        <v>0</v>
      </c>
      <c r="AX426" s="1286">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6">
        <f t="shared" si="243"/>
        <v>0</v>
      </c>
      <c r="AW427" s="1286">
        <f t="shared" si="244"/>
        <v>0</v>
      </c>
      <c r="AX427" s="1286">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6">
        <f t="shared" si="243"/>
        <v>0</v>
      </c>
      <c r="AW428" s="1286">
        <f t="shared" si="244"/>
        <v>0</v>
      </c>
      <c r="AX428" s="1286">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6">
        <f t="shared" si="243"/>
        <v>0</v>
      </c>
      <c r="AW429" s="1286">
        <f t="shared" si="244"/>
        <v>0</v>
      </c>
      <c r="AX429" s="1286">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6">
        <f t="shared" si="243"/>
        <v>0</v>
      </c>
      <c r="AW430" s="1286">
        <f t="shared" si="244"/>
        <v>0</v>
      </c>
      <c r="AX430" s="1286">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6">
        <f t="shared" si="243"/>
        <v>0</v>
      </c>
      <c r="AW431" s="1286">
        <f t="shared" si="244"/>
        <v>0</v>
      </c>
      <c r="AX431" s="1286">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6">
        <f t="shared" si="243"/>
        <v>0</v>
      </c>
      <c r="AW432" s="1286">
        <f t="shared" si="244"/>
        <v>0</v>
      </c>
      <c r="AX432" s="1286">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6">
        <f t="shared" si="243"/>
        <v>0</v>
      </c>
      <c r="AW433" s="1286">
        <f t="shared" si="244"/>
        <v>0</v>
      </c>
      <c r="AX433" s="1286">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6">
        <f t="shared" si="243"/>
        <v>0</v>
      </c>
      <c r="AW434" s="1286">
        <f t="shared" si="244"/>
        <v>0</v>
      </c>
      <c r="AX434" s="1286">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6">
        <f t="shared" si="243"/>
        <v>0</v>
      </c>
      <c r="AW435" s="1286">
        <f t="shared" si="244"/>
        <v>0</v>
      </c>
      <c r="AX435" s="1286">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6">
        <f t="shared" si="243"/>
        <v>0</v>
      </c>
      <c r="AW436" s="1286">
        <f t="shared" si="244"/>
        <v>0</v>
      </c>
      <c r="AX436" s="1286">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6">
        <f t="shared" si="243"/>
        <v>0</v>
      </c>
      <c r="AW437" s="1286">
        <f t="shared" si="244"/>
        <v>0</v>
      </c>
      <c r="AX437" s="1286">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6">
        <f t="shared" si="243"/>
        <v>0</v>
      </c>
      <c r="AW438" s="1286">
        <f t="shared" si="244"/>
        <v>0</v>
      </c>
      <c r="AX438" s="1286">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6">
        <f t="shared" si="243"/>
        <v>0</v>
      </c>
      <c r="AW439" s="1286">
        <f t="shared" si="244"/>
        <v>0</v>
      </c>
      <c r="AX439" s="1286">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6">
        <f t="shared" si="243"/>
        <v>0</v>
      </c>
      <c r="AW440" s="1286">
        <f t="shared" si="244"/>
        <v>0</v>
      </c>
      <c r="AX440" s="1286">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6">
        <f t="shared" si="243"/>
        <v>0</v>
      </c>
      <c r="AW441" s="1286">
        <f t="shared" si="244"/>
        <v>0</v>
      </c>
      <c r="AX441" s="1286">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6">
        <f t="shared" si="243"/>
        <v>0</v>
      </c>
      <c r="AW442" s="1286">
        <f t="shared" si="244"/>
        <v>0</v>
      </c>
      <c r="AX442" s="1286">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6">
        <f t="shared" si="243"/>
        <v>0</v>
      </c>
      <c r="AW443" s="1286">
        <f t="shared" si="244"/>
        <v>0</v>
      </c>
      <c r="AX443" s="1286">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6">
        <f t="shared" si="243"/>
        <v>0</v>
      </c>
      <c r="AW444" s="1286">
        <f t="shared" si="244"/>
        <v>0</v>
      </c>
      <c r="AX444" s="1286">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6">
        <f t="shared" si="243"/>
        <v>0</v>
      </c>
      <c r="AW445" s="1286">
        <f t="shared" si="244"/>
        <v>0</v>
      </c>
      <c r="AX445" s="1286">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6">
        <f t="shared" si="243"/>
        <v>0</v>
      </c>
      <c r="AW446" s="1286">
        <f t="shared" si="244"/>
        <v>0</v>
      </c>
      <c r="AX446" s="1286">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6">
        <f t="shared" si="243"/>
        <v>0</v>
      </c>
      <c r="AW447" s="1286">
        <f t="shared" si="244"/>
        <v>0</v>
      </c>
      <c r="AX447" s="1286">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6">
        <f t="shared" si="243"/>
        <v>0</v>
      </c>
      <c r="AW448" s="1286">
        <f t="shared" si="244"/>
        <v>0</v>
      </c>
      <c r="AX448" s="1286">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6">
        <f t="shared" si="243"/>
        <v>0</v>
      </c>
      <c r="AW449" s="1286">
        <f t="shared" si="244"/>
        <v>0</v>
      </c>
      <c r="AX449" s="1286">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6">
        <f t="shared" si="243"/>
        <v>0</v>
      </c>
      <c r="AW450" s="1286">
        <f t="shared" si="244"/>
        <v>0</v>
      </c>
      <c r="AX450" s="1286">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6">
        <f t="shared" si="243"/>
        <v>0</v>
      </c>
      <c r="AW451" s="1286">
        <f t="shared" si="244"/>
        <v>0</v>
      </c>
      <c r="AX451" s="1286">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6">
        <f t="shared" si="243"/>
        <v>0</v>
      </c>
      <c r="AW452" s="1286">
        <f t="shared" si="244"/>
        <v>0</v>
      </c>
      <c r="AX452" s="1286">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6">
        <f t="shared" si="243"/>
        <v>0</v>
      </c>
      <c r="AW453" s="1286">
        <f t="shared" si="244"/>
        <v>0</v>
      </c>
      <c r="AX453" s="1286">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6">
        <f t="shared" si="243"/>
        <v>0</v>
      </c>
      <c r="AW454" s="1286">
        <f t="shared" si="244"/>
        <v>0</v>
      </c>
      <c r="AX454" s="1286">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6">
        <f t="shared" si="243"/>
        <v>0</v>
      </c>
      <c r="AW455" s="1286">
        <f t="shared" si="244"/>
        <v>0</v>
      </c>
      <c r="AX455" s="1286">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6">
        <f t="shared" si="243"/>
        <v>0</v>
      </c>
      <c r="AW456" s="1286">
        <f t="shared" si="244"/>
        <v>0</v>
      </c>
      <c r="AX456" s="1286">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6">
        <f t="shared" si="243"/>
        <v>0</v>
      </c>
      <c r="AW457" s="1286">
        <f t="shared" si="244"/>
        <v>0</v>
      </c>
      <c r="AX457" s="1286">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6">
        <f t="shared" si="243"/>
        <v>0</v>
      </c>
      <c r="AW458" s="1286">
        <f t="shared" si="244"/>
        <v>0</v>
      </c>
      <c r="AX458" s="1286">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6">
        <f t="shared" si="243"/>
        <v>0</v>
      </c>
      <c r="AW459" s="1286">
        <f t="shared" si="244"/>
        <v>0</v>
      </c>
      <c r="AX459" s="1286">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6">
        <f t="shared" si="243"/>
        <v>0</v>
      </c>
      <c r="AW460" s="1286">
        <f t="shared" si="244"/>
        <v>0</v>
      </c>
      <c r="AX460" s="1286">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6">
        <f t="shared" si="243"/>
        <v>0</v>
      </c>
      <c r="AW461" s="1286">
        <f t="shared" si="244"/>
        <v>0</v>
      </c>
      <c r="AX461" s="1286">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6">
        <f t="shared" si="243"/>
        <v>0</v>
      </c>
      <c r="AW462" s="1286">
        <f t="shared" si="244"/>
        <v>0</v>
      </c>
      <c r="AX462" s="1286">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6">
        <f t="shared" si="243"/>
        <v>0</v>
      </c>
      <c r="AW463" s="1286">
        <f t="shared" si="244"/>
        <v>0</v>
      </c>
      <c r="AX463" s="1286">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6">
        <f t="shared" si="243"/>
        <v>0</v>
      </c>
      <c r="AW464" s="1286">
        <f t="shared" si="244"/>
        <v>0</v>
      </c>
      <c r="AX464" s="1286">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6">
        <f t="shared" si="243"/>
        <v>0</v>
      </c>
      <c r="AW465" s="1286">
        <f t="shared" si="244"/>
        <v>0</v>
      </c>
      <c r="AX465" s="1286">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6">
        <f t="shared" si="243"/>
        <v>0</v>
      </c>
      <c r="AW466" s="1286">
        <f t="shared" si="244"/>
        <v>0</v>
      </c>
      <c r="AX466" s="1286">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6">
        <f t="shared" si="243"/>
        <v>0</v>
      </c>
      <c r="AW467" s="1286">
        <f t="shared" si="244"/>
        <v>0</v>
      </c>
      <c r="AX467" s="1286">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6">
        <f t="shared" si="243"/>
        <v>0</v>
      </c>
      <c r="AW468" s="1286">
        <f t="shared" si="244"/>
        <v>0</v>
      </c>
      <c r="AX468" s="1286">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6">
        <f t="shared" si="243"/>
        <v>0</v>
      </c>
      <c r="AW469" s="1286">
        <f t="shared" si="244"/>
        <v>0</v>
      </c>
      <c r="AX469" s="1286">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6">
        <f t="shared" si="243"/>
        <v>0</v>
      </c>
      <c r="AW470" s="1286">
        <f t="shared" si="244"/>
        <v>0</v>
      </c>
      <c r="AX470" s="1286">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6">
        <f t="shared" si="243"/>
        <v>0</v>
      </c>
      <c r="AW471" s="1286">
        <f t="shared" si="244"/>
        <v>0</v>
      </c>
      <c r="AX471" s="1286">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6">
        <f t="shared" si="243"/>
        <v>0</v>
      </c>
      <c r="AW472" s="1286">
        <f t="shared" si="244"/>
        <v>0</v>
      </c>
      <c r="AX472" s="1286">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6">
        <f t="shared" si="243"/>
        <v>0</v>
      </c>
      <c r="AW473" s="1286">
        <f t="shared" si="244"/>
        <v>0</v>
      </c>
      <c r="AX473" s="1286">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6">
        <f t="shared" si="243"/>
        <v>0</v>
      </c>
      <c r="AW474" s="1286">
        <f t="shared" si="244"/>
        <v>0</v>
      </c>
      <c r="AX474" s="1286">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6">
        <f t="shared" si="243"/>
        <v>0</v>
      </c>
      <c r="AW475" s="1286">
        <f t="shared" si="244"/>
        <v>0</v>
      </c>
      <c r="AX475" s="1286">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6">
        <f t="shared" si="243"/>
        <v>0</v>
      </c>
      <c r="AW476" s="1286">
        <f t="shared" si="244"/>
        <v>0</v>
      </c>
      <c r="AX476" s="1286">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6">
        <f t="shared" si="243"/>
        <v>0</v>
      </c>
      <c r="AW477" s="1286">
        <f t="shared" si="244"/>
        <v>0</v>
      </c>
      <c r="AX477" s="1286">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6">
        <f t="shared" si="243"/>
        <v>0</v>
      </c>
      <c r="AW478" s="1286">
        <f t="shared" si="244"/>
        <v>0</v>
      </c>
      <c r="AX478" s="1286">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6">
        <f t="shared" si="243"/>
        <v>0</v>
      </c>
      <c r="AW479" s="1286">
        <f t="shared" si="244"/>
        <v>0</v>
      </c>
      <c r="AX479" s="1286">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6">
        <f t="shared" si="243"/>
        <v>0</v>
      </c>
      <c r="AW480" s="1286">
        <f t="shared" si="244"/>
        <v>0</v>
      </c>
      <c r="AX480" s="1286">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6">
        <f t="shared" si="243"/>
        <v>0</v>
      </c>
      <c r="AW481" s="1286">
        <f t="shared" si="244"/>
        <v>0</v>
      </c>
      <c r="AX481" s="1286">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6">
        <f t="shared" si="243"/>
        <v>0</v>
      </c>
      <c r="AW482" s="1286">
        <f t="shared" si="244"/>
        <v>0</v>
      </c>
      <c r="AX482" s="1286">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6">
        <f t="shared" si="243"/>
        <v>0</v>
      </c>
      <c r="AW483" s="1286">
        <f t="shared" si="244"/>
        <v>0</v>
      </c>
      <c r="AX483" s="1286">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6">
        <f t="shared" si="243"/>
        <v>0</v>
      </c>
      <c r="AW484" s="1286">
        <f t="shared" si="244"/>
        <v>0</v>
      </c>
      <c r="AX484" s="1286">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6">
        <f t="shared" si="243"/>
        <v>0</v>
      </c>
      <c r="AW485" s="1286">
        <f t="shared" si="244"/>
        <v>0</v>
      </c>
      <c r="AX485" s="1286">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6">
        <f t="shared" si="243"/>
        <v>0</v>
      </c>
      <c r="AW486" s="1286">
        <f t="shared" si="244"/>
        <v>0</v>
      </c>
      <c r="AX486" s="1286">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6">
        <f t="shared" si="243"/>
        <v>0</v>
      </c>
      <c r="AW487" s="1286">
        <f t="shared" si="244"/>
        <v>0</v>
      </c>
      <c r="AX487" s="1286">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6">
        <f t="shared" si="243"/>
        <v>0</v>
      </c>
      <c r="AW488" s="1286">
        <f t="shared" si="244"/>
        <v>0</v>
      </c>
      <c r="AX488" s="1286">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6">
        <f t="shared" si="243"/>
        <v>0</v>
      </c>
      <c r="AW489" s="1286">
        <f t="shared" si="244"/>
        <v>0</v>
      </c>
      <c r="AX489" s="1286">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86">
        <f t="shared" si="243"/>
        <v>0</v>
      </c>
      <c r="AW490" s="1286">
        <f t="shared" si="244"/>
        <v>0</v>
      </c>
      <c r="AX490" s="1286">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86">
        <f t="shared" si="243"/>
        <v>0</v>
      </c>
      <c r="AW491" s="1286">
        <f t="shared" si="244"/>
        <v>0</v>
      </c>
      <c r="AX491" s="1286">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86">
        <f t="shared" si="243"/>
        <v>0</v>
      </c>
      <c r="AW492" s="1286">
        <f t="shared" si="244"/>
        <v>0</v>
      </c>
      <c r="AX492" s="1286">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6">
        <f t="shared" ref="AV493:AV520" si="294">A493</f>
        <v>0</v>
      </c>
      <c r="AW493" s="1286">
        <f t="shared" ref="AW493:AW520" si="295">B493</f>
        <v>0</v>
      </c>
      <c r="AX493" s="1286">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6">
        <f t="shared" si="294"/>
        <v>0</v>
      </c>
      <c r="AW494" s="1286">
        <f t="shared" si="295"/>
        <v>0</v>
      </c>
      <c r="AX494" s="1286">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6">
        <f t="shared" si="294"/>
        <v>0</v>
      </c>
      <c r="AW495" s="1286">
        <f t="shared" si="295"/>
        <v>0</v>
      </c>
      <c r="AX495" s="1286">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6">
        <f t="shared" si="294"/>
        <v>0</v>
      </c>
      <c r="AW496" s="1286">
        <f t="shared" si="295"/>
        <v>0</v>
      </c>
      <c r="AX496" s="1286">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6">
        <f t="shared" si="294"/>
        <v>0</v>
      </c>
      <c r="AW497" s="1286">
        <f t="shared" si="295"/>
        <v>0</v>
      </c>
      <c r="AX497" s="1286">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6">
        <f t="shared" si="294"/>
        <v>0</v>
      </c>
      <c r="AW498" s="1286">
        <f t="shared" si="295"/>
        <v>0</v>
      </c>
      <c r="AX498" s="1286">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6">
        <f t="shared" si="294"/>
        <v>0</v>
      </c>
      <c r="AW499" s="1286">
        <f t="shared" si="295"/>
        <v>0</v>
      </c>
      <c r="AX499" s="1286">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6">
        <f t="shared" si="294"/>
        <v>0</v>
      </c>
      <c r="AW500" s="1286">
        <f t="shared" si="295"/>
        <v>0</v>
      </c>
      <c r="AX500" s="1286">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6">
        <f t="shared" si="294"/>
        <v>0</v>
      </c>
      <c r="AW501" s="1286">
        <f t="shared" si="295"/>
        <v>0</v>
      </c>
      <c r="AX501" s="1286">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6">
        <f t="shared" si="294"/>
        <v>0</v>
      </c>
      <c r="AW502" s="1286">
        <f t="shared" si="295"/>
        <v>0</v>
      </c>
      <c r="AX502" s="1286">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6">
        <f t="shared" si="294"/>
        <v>0</v>
      </c>
      <c r="AW503" s="1286">
        <f t="shared" si="295"/>
        <v>0</v>
      </c>
      <c r="AX503" s="1286">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6">
        <f t="shared" si="294"/>
        <v>0</v>
      </c>
      <c r="AW504" s="1286">
        <f t="shared" si="295"/>
        <v>0</v>
      </c>
      <c r="AX504" s="1286">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6">
        <f t="shared" si="294"/>
        <v>0</v>
      </c>
      <c r="AW505" s="1286">
        <f t="shared" si="295"/>
        <v>0</v>
      </c>
      <c r="AX505" s="1286">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6">
        <f t="shared" si="294"/>
        <v>0</v>
      </c>
      <c r="AW506" s="1286">
        <f t="shared" si="295"/>
        <v>0</v>
      </c>
      <c r="AX506" s="1286">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6">
        <f t="shared" si="294"/>
        <v>0</v>
      </c>
      <c r="AW507" s="1286">
        <f t="shared" si="295"/>
        <v>0</v>
      </c>
      <c r="AX507" s="1286">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6">
        <f t="shared" si="294"/>
        <v>0</v>
      </c>
      <c r="AW508" s="1286">
        <f t="shared" si="295"/>
        <v>0</v>
      </c>
      <c r="AX508" s="1286">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6">
        <f t="shared" si="294"/>
        <v>0</v>
      </c>
      <c r="AW509" s="1286">
        <f t="shared" si="295"/>
        <v>0</v>
      </c>
      <c r="AX509" s="1286">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6">
        <f t="shared" si="294"/>
        <v>0</v>
      </c>
      <c r="AW510" s="1286">
        <f t="shared" si="295"/>
        <v>0</v>
      </c>
      <c r="AX510" s="1286">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6">
        <f t="shared" si="294"/>
        <v>0</v>
      </c>
      <c r="AW511" s="1286">
        <f t="shared" si="295"/>
        <v>0</v>
      </c>
      <c r="AX511" s="1286">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6">
        <f t="shared" si="294"/>
        <v>0</v>
      </c>
      <c r="AW512" s="1286">
        <f t="shared" si="295"/>
        <v>0</v>
      </c>
      <c r="AX512" s="1286">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6">
        <f t="shared" si="294"/>
        <v>0</v>
      </c>
      <c r="AW513" s="1286">
        <f t="shared" si="295"/>
        <v>0</v>
      </c>
      <c r="AX513" s="1286">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6">
        <f t="shared" si="294"/>
        <v>0</v>
      </c>
      <c r="AW514" s="1286">
        <f t="shared" si="295"/>
        <v>0</v>
      </c>
      <c r="AX514" s="1286">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6">
        <f t="shared" si="294"/>
        <v>0</v>
      </c>
      <c r="AW515" s="1286">
        <f t="shared" si="295"/>
        <v>0</v>
      </c>
      <c r="AX515" s="1286">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6">
        <f t="shared" si="294"/>
        <v>0</v>
      </c>
      <c r="AW516" s="1286">
        <f t="shared" si="295"/>
        <v>0</v>
      </c>
      <c r="AX516" s="1286">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6">
        <f t="shared" si="294"/>
        <v>0</v>
      </c>
      <c r="AW517" s="1286">
        <f t="shared" si="295"/>
        <v>0</v>
      </c>
      <c r="AX517" s="1286">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6">
        <f t="shared" si="294"/>
        <v>0</v>
      </c>
      <c r="AW518" s="1286">
        <f t="shared" si="295"/>
        <v>0</v>
      </c>
      <c r="AX518" s="1286">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6">
        <f t="shared" si="294"/>
        <v>0</v>
      </c>
      <c r="AW519" s="1286">
        <f t="shared" si="295"/>
        <v>0</v>
      </c>
      <c r="AX519" s="1286">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6">
        <f t="shared" si="294"/>
        <v>0</v>
      </c>
      <c r="AW520" s="1286">
        <f t="shared" si="295"/>
        <v>0</v>
      </c>
      <c r="AX520" s="1286">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6">
        <f t="shared" ref="AV521:AV552" si="298">A521</f>
        <v>0</v>
      </c>
      <c r="AW521" s="1286">
        <f t="shared" ref="AW521:AW552" si="299">B521</f>
        <v>0</v>
      </c>
      <c r="AX521" s="1286">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6">
        <f t="shared" si="298"/>
        <v>0</v>
      </c>
      <c r="AW522" s="1286">
        <f t="shared" si="299"/>
        <v>0</v>
      </c>
      <c r="AX522" s="1286">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6">
        <f t="shared" si="298"/>
        <v>0</v>
      </c>
      <c r="AW523" s="1286">
        <f t="shared" si="299"/>
        <v>0</v>
      </c>
      <c r="AX523" s="1286">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6">
        <f t="shared" si="298"/>
        <v>0</v>
      </c>
      <c r="AW524" s="1286">
        <f t="shared" si="299"/>
        <v>0</v>
      </c>
      <c r="AX524" s="1286">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6">
        <f t="shared" si="298"/>
        <v>0</v>
      </c>
      <c r="AW525" s="1286">
        <f t="shared" si="299"/>
        <v>0</v>
      </c>
      <c r="AX525" s="1286">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6">
        <f t="shared" si="298"/>
        <v>0</v>
      </c>
      <c r="AW526" s="1286">
        <f t="shared" si="299"/>
        <v>0</v>
      </c>
      <c r="AX526" s="1286">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6">
        <f t="shared" si="298"/>
        <v>0</v>
      </c>
      <c r="AW527" s="1286">
        <f t="shared" si="299"/>
        <v>0</v>
      </c>
      <c r="AX527" s="1286">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6">
        <f t="shared" si="298"/>
        <v>0</v>
      </c>
      <c r="AW528" s="1286">
        <f t="shared" si="299"/>
        <v>0</v>
      </c>
      <c r="AX528" s="1286">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6">
        <f t="shared" si="298"/>
        <v>0</v>
      </c>
      <c r="AW529" s="1286">
        <f t="shared" si="299"/>
        <v>0</v>
      </c>
      <c r="AX529" s="1286">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6">
        <f t="shared" si="298"/>
        <v>0</v>
      </c>
      <c r="AW530" s="1286">
        <f t="shared" si="299"/>
        <v>0</v>
      </c>
      <c r="AX530" s="1286">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6">
        <f t="shared" si="298"/>
        <v>0</v>
      </c>
      <c r="AW531" s="1286">
        <f t="shared" si="299"/>
        <v>0</v>
      </c>
      <c r="AX531" s="1286">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6">
        <f t="shared" si="298"/>
        <v>0</v>
      </c>
      <c r="AW532" s="1286">
        <f t="shared" si="299"/>
        <v>0</v>
      </c>
      <c r="AX532" s="1286">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6">
        <f t="shared" si="298"/>
        <v>0</v>
      </c>
      <c r="AW533" s="1286">
        <f t="shared" si="299"/>
        <v>0</v>
      </c>
      <c r="AX533" s="1286">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6">
        <f t="shared" si="298"/>
        <v>0</v>
      </c>
      <c r="AW534" s="1286">
        <f t="shared" si="299"/>
        <v>0</v>
      </c>
      <c r="AX534" s="1286">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6">
        <f t="shared" si="298"/>
        <v>0</v>
      </c>
      <c r="AW535" s="1286">
        <f t="shared" si="299"/>
        <v>0</v>
      </c>
      <c r="AX535" s="1286">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6">
        <f t="shared" si="298"/>
        <v>0</v>
      </c>
      <c r="AW536" s="1286">
        <f t="shared" si="299"/>
        <v>0</v>
      </c>
      <c r="AX536" s="1286">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6">
        <f t="shared" si="298"/>
        <v>0</v>
      </c>
      <c r="AW537" s="1286">
        <f t="shared" si="299"/>
        <v>0</v>
      </c>
      <c r="AX537" s="1286">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6">
        <f t="shared" si="298"/>
        <v>0</v>
      </c>
      <c r="AW538" s="1286">
        <f t="shared" si="299"/>
        <v>0</v>
      </c>
      <c r="AX538" s="1286">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6">
        <f t="shared" si="298"/>
        <v>0</v>
      </c>
      <c r="AW539" s="1286">
        <f t="shared" si="299"/>
        <v>0</v>
      </c>
      <c r="AX539" s="1286">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6">
        <f t="shared" si="298"/>
        <v>0</v>
      </c>
      <c r="AW540" s="1286">
        <f t="shared" si="299"/>
        <v>0</v>
      </c>
      <c r="AX540" s="1286">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6">
        <f t="shared" si="298"/>
        <v>0</v>
      </c>
      <c r="AW541" s="1286">
        <f t="shared" si="299"/>
        <v>0</v>
      </c>
      <c r="AX541" s="1286">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6">
        <f t="shared" si="298"/>
        <v>0</v>
      </c>
      <c r="AW542" s="1286">
        <f t="shared" si="299"/>
        <v>0</v>
      </c>
      <c r="AX542" s="1286">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6">
        <f t="shared" si="298"/>
        <v>0</v>
      </c>
      <c r="AW543" s="1286">
        <f t="shared" si="299"/>
        <v>0</v>
      </c>
      <c r="AX543" s="1286">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6">
        <f t="shared" si="298"/>
        <v>0</v>
      </c>
      <c r="AW544" s="1286">
        <f t="shared" si="299"/>
        <v>0</v>
      </c>
      <c r="AX544" s="1286">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6">
        <f t="shared" si="298"/>
        <v>0</v>
      </c>
      <c r="AW545" s="1286">
        <f t="shared" si="299"/>
        <v>0</v>
      </c>
      <c r="AX545" s="1286">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6">
        <f t="shared" si="298"/>
        <v>0</v>
      </c>
      <c r="AW546" s="1286">
        <f t="shared" si="299"/>
        <v>0</v>
      </c>
      <c r="AX546" s="1286">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6">
        <f t="shared" si="298"/>
        <v>0</v>
      </c>
      <c r="AW547" s="1286">
        <f t="shared" si="299"/>
        <v>0</v>
      </c>
      <c r="AX547" s="1286">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6">
        <f t="shared" si="298"/>
        <v>0</v>
      </c>
      <c r="AW548" s="1286">
        <f t="shared" si="299"/>
        <v>0</v>
      </c>
      <c r="AX548" s="1286">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6">
        <f t="shared" si="298"/>
        <v>0</v>
      </c>
      <c r="AW549" s="1286">
        <f t="shared" si="299"/>
        <v>0</v>
      </c>
      <c r="AX549" s="1286">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6">
        <f t="shared" si="298"/>
        <v>0</v>
      </c>
      <c r="AW550" s="1286">
        <f t="shared" si="299"/>
        <v>0</v>
      </c>
      <c r="AX550" s="1286">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6">
        <f t="shared" si="298"/>
        <v>0</v>
      </c>
      <c r="AW551" s="1286">
        <f t="shared" si="299"/>
        <v>0</v>
      </c>
      <c r="AX551" s="1286">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6">
        <f t="shared" si="298"/>
        <v>0</v>
      </c>
      <c r="AW552" s="1286">
        <f t="shared" si="299"/>
        <v>0</v>
      </c>
      <c r="AX552" s="1286">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6">
        <f t="shared" ref="AV553:AV587" si="330">A553</f>
        <v>0</v>
      </c>
      <c r="AW553" s="1286">
        <f t="shared" ref="AW553:AW587" si="331">B553</f>
        <v>0</v>
      </c>
      <c r="AX553" s="1286">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6">
        <f t="shared" si="330"/>
        <v>0</v>
      </c>
      <c r="AW554" s="1286">
        <f t="shared" si="331"/>
        <v>0</v>
      </c>
      <c r="AX554" s="1286">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6">
        <f t="shared" si="330"/>
        <v>0</v>
      </c>
      <c r="AW555" s="1286">
        <f t="shared" si="331"/>
        <v>0</v>
      </c>
      <c r="AX555" s="1286">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6">
        <f t="shared" si="330"/>
        <v>0</v>
      </c>
      <c r="AW556" s="1286">
        <f t="shared" si="331"/>
        <v>0</v>
      </c>
      <c r="AX556" s="1286">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6">
        <f t="shared" si="330"/>
        <v>0</v>
      </c>
      <c r="AW557" s="1286">
        <f t="shared" si="331"/>
        <v>0</v>
      </c>
      <c r="AX557" s="1286">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6">
        <f t="shared" si="330"/>
        <v>0</v>
      </c>
      <c r="AW558" s="1286">
        <f t="shared" si="331"/>
        <v>0</v>
      </c>
      <c r="AX558" s="1286">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6">
        <f t="shared" si="330"/>
        <v>0</v>
      </c>
      <c r="AW559" s="1286">
        <f t="shared" si="331"/>
        <v>0</v>
      </c>
      <c r="AX559" s="1286">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6">
        <f t="shared" si="330"/>
        <v>0</v>
      </c>
      <c r="AW560" s="1286">
        <f t="shared" si="331"/>
        <v>0</v>
      </c>
      <c r="AX560" s="1286">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6">
        <f t="shared" si="330"/>
        <v>0</v>
      </c>
      <c r="AW561" s="1286">
        <f t="shared" si="331"/>
        <v>0</v>
      </c>
      <c r="AX561" s="1286">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6">
        <f t="shared" si="330"/>
        <v>0</v>
      </c>
      <c r="AW562" s="1286">
        <f t="shared" si="331"/>
        <v>0</v>
      </c>
      <c r="AX562" s="1286">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6">
        <f t="shared" si="330"/>
        <v>0</v>
      </c>
      <c r="AW563" s="1286">
        <f t="shared" si="331"/>
        <v>0</v>
      </c>
      <c r="AX563" s="1286">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6">
        <f t="shared" si="330"/>
        <v>0</v>
      </c>
      <c r="AW564" s="1286">
        <f t="shared" si="331"/>
        <v>0</v>
      </c>
      <c r="AX564" s="1286">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6">
        <f t="shared" si="330"/>
        <v>0</v>
      </c>
      <c r="AW565" s="1286">
        <f t="shared" si="331"/>
        <v>0</v>
      </c>
      <c r="AX565" s="1286">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6">
        <f t="shared" si="330"/>
        <v>0</v>
      </c>
      <c r="AW566" s="1286">
        <f t="shared" si="331"/>
        <v>0</v>
      </c>
      <c r="AX566" s="1286">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6">
        <f t="shared" si="330"/>
        <v>0</v>
      </c>
      <c r="AW567" s="1286">
        <f t="shared" si="331"/>
        <v>0</v>
      </c>
      <c r="AX567" s="1286">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6">
        <f t="shared" si="330"/>
        <v>0</v>
      </c>
      <c r="AW568" s="1286">
        <f t="shared" si="331"/>
        <v>0</v>
      </c>
      <c r="AX568" s="1286">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6">
        <f t="shared" si="330"/>
        <v>0</v>
      </c>
      <c r="AW569" s="1286">
        <f t="shared" si="331"/>
        <v>0</v>
      </c>
      <c r="AX569" s="1286">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6">
        <f t="shared" si="330"/>
        <v>0</v>
      </c>
      <c r="AW570" s="1286">
        <f t="shared" si="331"/>
        <v>0</v>
      </c>
      <c r="AX570" s="1286">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6">
        <f t="shared" si="330"/>
        <v>0</v>
      </c>
      <c r="AW571" s="1286">
        <f t="shared" si="331"/>
        <v>0</v>
      </c>
      <c r="AX571" s="1286">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6">
        <f t="shared" si="330"/>
        <v>0</v>
      </c>
      <c r="AW572" s="1286">
        <f t="shared" si="331"/>
        <v>0</v>
      </c>
      <c r="AX572" s="1286">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6">
        <f t="shared" si="330"/>
        <v>0</v>
      </c>
      <c r="AW573" s="1286">
        <f t="shared" si="331"/>
        <v>0</v>
      </c>
      <c r="AX573" s="1286">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6">
        <f t="shared" si="330"/>
        <v>0</v>
      </c>
      <c r="AW574" s="1286">
        <f t="shared" si="331"/>
        <v>0</v>
      </c>
      <c r="AX574" s="1286">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6">
        <f t="shared" si="330"/>
        <v>0</v>
      </c>
      <c r="AW575" s="1286">
        <f t="shared" si="331"/>
        <v>0</v>
      </c>
      <c r="AX575" s="1286">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6">
        <f t="shared" si="330"/>
        <v>0</v>
      </c>
      <c r="AW576" s="1286">
        <f t="shared" si="331"/>
        <v>0</v>
      </c>
      <c r="AX576" s="1286">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6">
        <f t="shared" si="330"/>
        <v>0</v>
      </c>
      <c r="AW577" s="1286">
        <f t="shared" si="331"/>
        <v>0</v>
      </c>
      <c r="AX577" s="1286">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6">
        <f t="shared" si="330"/>
        <v>0</v>
      </c>
      <c r="AW578" s="1286">
        <f t="shared" si="331"/>
        <v>0</v>
      </c>
      <c r="AX578" s="1286">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6">
        <f t="shared" si="330"/>
        <v>0</v>
      </c>
      <c r="AW579" s="1286">
        <f t="shared" si="331"/>
        <v>0</v>
      </c>
      <c r="AX579" s="1286">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6">
        <f t="shared" si="330"/>
        <v>0</v>
      </c>
      <c r="AW580" s="1286">
        <f t="shared" si="331"/>
        <v>0</v>
      </c>
      <c r="AX580" s="1286">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6">
        <f t="shared" si="330"/>
        <v>0</v>
      </c>
      <c r="AW581" s="1286">
        <f t="shared" si="331"/>
        <v>0</v>
      </c>
      <c r="AX581" s="1286">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6">
        <f t="shared" si="330"/>
        <v>0</v>
      </c>
      <c r="AW582" s="1286">
        <f t="shared" si="331"/>
        <v>0</v>
      </c>
      <c r="AX582" s="1286">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6">
        <f t="shared" si="330"/>
        <v>0</v>
      </c>
      <c r="AW583" s="1286">
        <f t="shared" si="331"/>
        <v>0</v>
      </c>
      <c r="AX583" s="1286">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6">
        <f t="shared" si="330"/>
        <v>0</v>
      </c>
      <c r="AW584" s="1286">
        <f t="shared" si="331"/>
        <v>0</v>
      </c>
      <c r="AX584" s="1286">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86">
        <f t="shared" si="330"/>
        <v>0</v>
      </c>
      <c r="AW585" s="1286">
        <f t="shared" si="331"/>
        <v>0</v>
      </c>
      <c r="AX585" s="1286">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86">
        <f t="shared" si="330"/>
        <v>0</v>
      </c>
      <c r="AW586" s="1286">
        <f t="shared" si="331"/>
        <v>0</v>
      </c>
      <c r="AX586" s="1286">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86">
        <f t="shared" si="330"/>
        <v>0</v>
      </c>
      <c r="AW587" s="1286">
        <f t="shared" si="331"/>
        <v>0</v>
      </c>
      <c r="AX587" s="1286">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6"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7" customFormat="1">
      <c r="C589" s="3107"/>
      <c r="D589" s="3107"/>
    </row>
    <row r="590" spans="1:72" s="3017" customFormat="1">
      <c r="C590" s="3107"/>
      <c r="D590" s="3107"/>
    </row>
    <row r="593" spans="2:2">
      <c r="B593" s="3107"/>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41" sqref="F41"/>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559</v>
      </c>
      <c r="B1" s="2434"/>
      <c r="C1" s="2434"/>
      <c r="D1" s="2434"/>
      <c r="E1" s="2434"/>
      <c r="F1" s="2434"/>
      <c r="G1" s="2434"/>
      <c r="H1" s="2434"/>
      <c r="I1" s="2434"/>
      <c r="J1" s="2434"/>
      <c r="K1" s="2434"/>
      <c r="L1" s="2434"/>
      <c r="M1" s="2434"/>
      <c r="N1" s="2434"/>
      <c r="O1" s="2434"/>
      <c r="P1" s="2434"/>
    </row>
    <row r="2" spans="1:16" ht="15">
      <c r="A2" s="3516" t="s">
        <v>560</v>
      </c>
      <c r="B2" s="3516"/>
      <c r="C2" s="3516"/>
      <c r="D2" s="2276" t="s">
        <v>561</v>
      </c>
      <c r="E2" s="2930" t="s">
        <v>562</v>
      </c>
      <c r="F2" s="2931"/>
      <c r="G2" s="2932"/>
      <c r="H2" s="2933"/>
      <c r="I2" s="2583" t="s">
        <v>563</v>
      </c>
      <c r="J2" s="2931"/>
      <c r="K2" s="2931"/>
      <c r="L2" s="2931"/>
      <c r="M2" s="2931"/>
      <c r="N2" s="1409"/>
      <c r="O2" s="2931"/>
      <c r="P2" s="2931"/>
    </row>
    <row r="3" spans="1:16" ht="15">
      <c r="A3" s="3517" t="s">
        <v>564</v>
      </c>
      <c r="B3" s="3517"/>
      <c r="C3" s="3517"/>
      <c r="D3" s="2934">
        <f>'数据-基础表'!AY6</f>
        <v>0</v>
      </c>
      <c r="E3" s="2934">
        <f>'数据-基础表'!AZ5</f>
        <v>46.53</v>
      </c>
      <c r="F3" s="2931"/>
      <c r="G3" s="2935"/>
      <c r="H3" s="2386" t="s">
        <v>565</v>
      </c>
      <c r="I3" s="2994" t="e">
        <f>ROUND('数据-基础表'!B3/'数据-基础表'!A3,2)</f>
        <v>#DIV/0!</v>
      </c>
      <c r="J3" s="2931"/>
      <c r="K3" s="2931"/>
      <c r="L3" s="2931"/>
      <c r="M3" s="2931"/>
      <c r="N3" s="1409"/>
      <c r="O3" s="2931"/>
      <c r="P3" s="2931"/>
    </row>
    <row r="4" spans="1:16" ht="15">
      <c r="A4" s="3518"/>
      <c r="B4" s="3519"/>
      <c r="C4" s="3520"/>
      <c r="D4" s="2936" t="s">
        <v>561</v>
      </c>
      <c r="E4" s="2937" t="s">
        <v>562</v>
      </c>
      <c r="F4" s="2931"/>
      <c r="G4" s="2938" t="s">
        <v>566</v>
      </c>
      <c r="H4" s="2386" t="s">
        <v>567</v>
      </c>
      <c r="I4" s="2994" t="e">
        <f>ROUND(SUMIF('数据-基础表'!I9:AS9,"地上",'数据-基础表'!I5:AS5)/'数据-基础表'!A3,2)</f>
        <v>#DIV/0!</v>
      </c>
      <c r="J4" s="2931"/>
      <c r="K4" s="2931"/>
      <c r="L4" s="2931"/>
      <c r="M4" s="2931"/>
      <c r="N4" s="1409"/>
      <c r="O4" s="2931"/>
      <c r="P4" s="2931"/>
    </row>
    <row r="5" spans="1:16">
      <c r="A5" s="2939" t="s">
        <v>568</v>
      </c>
      <c r="B5" s="3521" t="s">
        <v>569</v>
      </c>
      <c r="C5" s="3521"/>
      <c r="D5" s="2940">
        <f>ROUND($D$3*E5/$E$3,2)</f>
        <v>0</v>
      </c>
      <c r="E5" s="2941">
        <f>SUMIF('数据-基础表'!$11:$11,"住宅",'数据-基础表'!$5:$5)</f>
        <v>0</v>
      </c>
      <c r="F5" s="2931"/>
      <c r="G5" s="2935"/>
      <c r="H5" s="2386" t="s">
        <v>565</v>
      </c>
      <c r="I5" s="2994" t="e">
        <f>ROUND(E31/D31,2)</f>
        <v>#DIV/0!</v>
      </c>
      <c r="J5" s="2931"/>
      <c r="K5" s="2931"/>
      <c r="L5" s="2931"/>
      <c r="M5" s="2931"/>
      <c r="N5" s="2931"/>
      <c r="O5" s="2931"/>
      <c r="P5" s="2931"/>
    </row>
    <row r="6" spans="1:16">
      <c r="A6" s="2942"/>
      <c r="B6" s="3521" t="s">
        <v>570</v>
      </c>
      <c r="C6" s="3521"/>
      <c r="D6" s="2940">
        <f>ROUND($D$3*E6/$E$3,2)</f>
        <v>0</v>
      </c>
      <c r="E6" s="2941">
        <f>E3-E5</f>
        <v>46.53</v>
      </c>
      <c r="F6" s="2931"/>
      <c r="G6" s="2943" t="s">
        <v>571</v>
      </c>
      <c r="H6" s="2944" t="s">
        <v>567</v>
      </c>
      <c r="I6" s="2995" t="e">
        <f>ROUND(F31/D31,2)</f>
        <v>#DIV/0!</v>
      </c>
      <c r="J6" s="2931"/>
      <c r="K6" s="2931"/>
      <c r="L6" s="2931"/>
      <c r="M6" s="2931"/>
      <c r="N6" s="2931"/>
      <c r="O6" s="2931"/>
      <c r="P6" s="2931"/>
    </row>
    <row r="7" spans="1:16" ht="15">
      <c r="A7" s="3507"/>
      <c r="B7" s="3508"/>
      <c r="C7" s="3509"/>
      <c r="D7" s="2936" t="s">
        <v>561</v>
      </c>
      <c r="E7" s="2945" t="s">
        <v>572</v>
      </c>
      <c r="F7" s="2931"/>
      <c r="G7" s="2946" t="s">
        <v>573</v>
      </c>
      <c r="H7" s="2947"/>
      <c r="I7" s="2996"/>
      <c r="J7" s="2931"/>
      <c r="K7" s="2931"/>
      <c r="L7" s="2931"/>
      <c r="M7" s="2931"/>
      <c r="N7" s="2931"/>
      <c r="O7" s="2931"/>
      <c r="P7" s="2931"/>
    </row>
    <row r="8" spans="1:16">
      <c r="A8" s="2939" t="s">
        <v>574</v>
      </c>
      <c r="B8" s="2948" t="s">
        <v>575</v>
      </c>
      <c r="C8" s="2940" t="s">
        <v>576</v>
      </c>
      <c r="D8" s="2940">
        <f t="shared" ref="D8:D15" si="0">ROUND($D$3*E8/$E$3,2)</f>
        <v>0</v>
      </c>
      <c r="E8" s="2949">
        <f>SUMIF('数据-基础表'!BB10:BK10,"地上",'数据-基础表'!BB5:BK5)</f>
        <v>46.53</v>
      </c>
      <c r="F8" s="2931"/>
      <c r="G8" s="2950"/>
      <c r="H8" s="2950"/>
      <c r="I8" s="2931"/>
      <c r="J8" s="2931"/>
      <c r="K8" s="2931"/>
      <c r="L8" s="2931"/>
      <c r="M8" s="2931"/>
      <c r="N8" s="2931"/>
      <c r="O8" s="2931"/>
      <c r="P8" s="2931"/>
    </row>
    <row r="9" spans="1:16">
      <c r="A9" s="2951"/>
      <c r="B9" s="2952"/>
      <c r="C9" s="2940" t="s">
        <v>577</v>
      </c>
      <c r="D9" s="2940">
        <f t="shared" si="0"/>
        <v>0</v>
      </c>
      <c r="E9" s="2953">
        <v>0</v>
      </c>
      <c r="F9" s="2931"/>
      <c r="G9" s="2950"/>
      <c r="H9" s="2950"/>
      <c r="I9" s="2931"/>
      <c r="J9" s="2931"/>
      <c r="K9" s="2931"/>
      <c r="L9" s="2931"/>
      <c r="M9" s="2931"/>
      <c r="N9" s="2931"/>
      <c r="O9" s="2931"/>
      <c r="P9" s="2931"/>
    </row>
    <row r="10" spans="1:16">
      <c r="A10" s="2951"/>
      <c r="B10" s="2952"/>
      <c r="C10" s="2940" t="s">
        <v>578</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579</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580</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581</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582</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583</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584</v>
      </c>
      <c r="D16" s="2948">
        <f>SUM(D8:D15)</f>
        <v>0</v>
      </c>
      <c r="E16" s="2954">
        <f>SUM(E8:E15)</f>
        <v>46.53</v>
      </c>
      <c r="F16" s="2931"/>
      <c r="G16" s="2950"/>
      <c r="H16" s="2955" t="s">
        <v>585</v>
      </c>
      <c r="I16" s="2997"/>
      <c r="J16" s="2434"/>
      <c r="K16" s="3510" t="s">
        <v>585</v>
      </c>
      <c r="L16" s="3511"/>
      <c r="M16" s="3511"/>
      <c r="N16" s="3511"/>
      <c r="O16" s="3511"/>
      <c r="P16" s="3512"/>
    </row>
    <row r="17" spans="1:19" ht="15">
      <c r="A17" s="2890" t="s">
        <v>586</v>
      </c>
      <c r="B17" s="2956" t="s">
        <v>587</v>
      </c>
      <c r="C17" s="2889" t="s">
        <v>588</v>
      </c>
      <c r="D17" s="2957" t="s">
        <v>561</v>
      </c>
      <c r="E17" s="2958" t="s">
        <v>562</v>
      </c>
      <c r="F17" s="2959"/>
      <c r="G17" s="2960"/>
      <c r="H17" s="2961" t="s">
        <v>589</v>
      </c>
      <c r="I17" s="2998" t="s">
        <v>590</v>
      </c>
      <c r="J17" s="2434"/>
      <c r="K17" s="3513" t="s">
        <v>591</v>
      </c>
      <c r="L17" s="3514"/>
      <c r="M17" s="3515"/>
      <c r="N17" s="3513" t="s">
        <v>592</v>
      </c>
      <c r="O17" s="3514"/>
      <c r="P17" s="3515"/>
      <c r="R17" s="3011" t="s">
        <v>593</v>
      </c>
      <c r="S17" s="2375"/>
    </row>
    <row r="18" spans="1:19" ht="15">
      <c r="A18" s="2951"/>
      <c r="B18" s="2962"/>
      <c r="C18" s="2963"/>
      <c r="D18" s="2964"/>
      <c r="E18" s="2965" t="s">
        <v>594</v>
      </c>
      <c r="F18" s="2966" t="s">
        <v>567</v>
      </c>
      <c r="G18" s="2967" t="s">
        <v>595</v>
      </c>
      <c r="H18" s="2895" t="s">
        <v>596</v>
      </c>
      <c r="I18" s="2999" t="s">
        <v>597</v>
      </c>
      <c r="J18" s="2434"/>
      <c r="K18" s="2895" t="s">
        <v>598</v>
      </c>
      <c r="L18" s="2596" t="s">
        <v>599</v>
      </c>
      <c r="M18" s="2994" t="s">
        <v>600</v>
      </c>
      <c r="N18" s="2895" t="s">
        <v>598</v>
      </c>
      <c r="O18" s="2596" t="s">
        <v>599</v>
      </c>
      <c r="P18" s="2994" t="s">
        <v>600</v>
      </c>
      <c r="R18" s="2386" t="s">
        <v>596</v>
      </c>
      <c r="S18" s="2386" t="s">
        <v>597</v>
      </c>
    </row>
    <row r="19" spans="1:19">
      <c r="A19" s="2968"/>
      <c r="B19" s="2948" t="s">
        <v>601</v>
      </c>
      <c r="C19" s="2969" t="s">
        <v>549</v>
      </c>
      <c r="D19" s="2940">
        <f>ROUND($D$3*E19/$E$3,2)</f>
        <v>0</v>
      </c>
      <c r="E19" s="2970">
        <f t="shared" ref="E19:E26" si="1">SUM(F19:G19)</f>
        <v>46.53</v>
      </c>
      <c r="F19" s="2971">
        <f>E3</f>
        <v>46.53</v>
      </c>
      <c r="G19" s="2972"/>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46.53</v>
      </c>
    </row>
    <row r="20" spans="1:19">
      <c r="A20" s="2973"/>
      <c r="B20" s="2948" t="s">
        <v>601</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601</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601</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601</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601</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601</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601</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602</v>
      </c>
      <c r="D27" s="2978">
        <f>SUM(D19:D26)</f>
        <v>0</v>
      </c>
      <c r="E27" s="2979">
        <f>IF(SUM(E19:E26)='数据-基础表'!BA5,SUM(E19:E26),IF(F27="地上面积有误","面积有误","地下面积有误"))</f>
        <v>46.53</v>
      </c>
      <c r="F27" s="2978">
        <f>IF(SUM(F19:F26)=E8,SUM(F19:F26),"地上面积有误")</f>
        <v>46.53</v>
      </c>
      <c r="G27" s="2980">
        <f>SUM(G19:G26)</f>
        <v>0</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46.53</v>
      </c>
    </row>
    <row r="28" spans="1:19">
      <c r="A28" s="2973"/>
      <c r="B28" s="2948" t="s">
        <v>603</v>
      </c>
      <c r="C28" s="2898" t="s">
        <v>604</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603</v>
      </c>
      <c r="C29" s="2432" t="s">
        <v>605</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602</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8" t="s">
        <v>606</v>
      </c>
      <c r="D31" s="2988">
        <f>D27+D30</f>
        <v>0</v>
      </c>
      <c r="E31" s="2988">
        <f>E27+E30</f>
        <v>46.53</v>
      </c>
      <c r="F31" s="2989">
        <f>F27+F30</f>
        <v>46.53</v>
      </c>
      <c r="G31" s="2990">
        <f>G27+G30</f>
        <v>0</v>
      </c>
      <c r="H31" s="2931"/>
      <c r="I31" s="2931"/>
      <c r="J31" s="2931"/>
      <c r="K31" s="2931"/>
      <c r="L31" s="2931"/>
      <c r="M31" s="2931"/>
      <c r="N31" s="2931"/>
      <c r="O31" s="2931"/>
      <c r="P31" s="2931"/>
    </row>
    <row r="32" spans="1:19">
      <c r="A32" s="2991"/>
      <c r="B32" s="2991" t="s">
        <v>607</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O30" sqref="O30"/>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10"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608</v>
      </c>
      <c r="B1" s="2736"/>
      <c r="C1" s="2049"/>
      <c r="D1" s="2737"/>
      <c r="E1" s="2049"/>
      <c r="F1" s="2049"/>
      <c r="G1" s="2049"/>
      <c r="H1" s="2049"/>
      <c r="I1" s="2049"/>
      <c r="J1" s="2049"/>
      <c r="K1" s="994"/>
      <c r="L1" s="994"/>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9"/>
      <c r="AO1" s="2259"/>
      <c r="AP1" s="2259"/>
      <c r="AQ1" s="2259"/>
      <c r="AR1" s="2259"/>
    </row>
    <row r="2" spans="1:67" s="2727" customFormat="1" ht="15">
      <c r="A2" s="2738" t="s">
        <v>609</v>
      </c>
      <c r="B2" s="2739">
        <f>项目基本情况!D3</f>
        <v>45218</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29" t="s">
        <v>610</v>
      </c>
      <c r="B4" s="2393"/>
      <c r="C4" s="2744"/>
      <c r="D4" s="2745"/>
      <c r="E4" s="2744" t="s">
        <v>611</v>
      </c>
      <c r="F4" s="2744"/>
      <c r="G4" s="2744"/>
      <c r="H4" s="2744"/>
      <c r="I4" s="2744"/>
      <c r="J4" s="2838"/>
      <c r="K4" s="2839"/>
      <c r="L4" s="2840"/>
      <c r="M4" s="2744"/>
      <c r="N4" s="2744" t="s">
        <v>612</v>
      </c>
      <c r="O4" s="2744"/>
      <c r="P4" s="2744"/>
      <c r="Q4" s="2744"/>
      <c r="R4" s="2744"/>
      <c r="S4" s="2838"/>
      <c r="T4" s="2862" t="str">
        <f>'数据-汇总表'!I17</f>
        <v>按面积比例</v>
      </c>
      <c r="U4" s="2393" t="s">
        <v>613</v>
      </c>
      <c r="V4" s="2744"/>
      <c r="W4" s="2744"/>
      <c r="X4" s="2744"/>
      <c r="Y4" s="2838"/>
      <c r="Z4" s="2889" t="s">
        <v>614</v>
      </c>
      <c r="AA4" s="2889"/>
      <c r="AB4" s="2889"/>
      <c r="AC4" s="2889"/>
      <c r="AD4" s="2889"/>
      <c r="AE4" s="2890" t="s">
        <v>615</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588</v>
      </c>
      <c r="B5" s="2747" t="s">
        <v>587</v>
      </c>
      <c r="C5" s="2748" t="s">
        <v>616</v>
      </c>
      <c r="D5" s="2749" t="s">
        <v>617</v>
      </c>
      <c r="E5" s="2750" t="s">
        <v>618</v>
      </c>
      <c r="F5" s="2751" t="s">
        <v>619</v>
      </c>
      <c r="G5" s="2750" t="s">
        <v>620</v>
      </c>
      <c r="H5" s="2750" t="s">
        <v>621</v>
      </c>
      <c r="I5" s="2750" t="s">
        <v>622</v>
      </c>
      <c r="J5" s="2841" t="s">
        <v>623</v>
      </c>
      <c r="K5" s="2842" t="s">
        <v>597</v>
      </c>
      <c r="L5" s="2843" t="s">
        <v>624</v>
      </c>
      <c r="M5" s="2844" t="s">
        <v>625</v>
      </c>
      <c r="N5" s="2845" t="s">
        <v>626</v>
      </c>
      <c r="O5" s="2843" t="s">
        <v>627</v>
      </c>
      <c r="P5" s="2846" t="s">
        <v>628</v>
      </c>
      <c r="Q5" s="1416" t="s">
        <v>629</v>
      </c>
      <c r="R5" s="2863" t="s">
        <v>630</v>
      </c>
      <c r="S5" s="2864" t="s">
        <v>631</v>
      </c>
      <c r="T5" s="2865" t="s">
        <v>632</v>
      </c>
      <c r="U5" s="2866" t="s">
        <v>633</v>
      </c>
      <c r="V5" s="2750" t="s">
        <v>634</v>
      </c>
      <c r="W5" s="2750" t="s">
        <v>635</v>
      </c>
      <c r="X5" s="1105"/>
      <c r="Y5" s="1546" t="s">
        <v>636</v>
      </c>
      <c r="Z5" s="2891" t="s">
        <v>633</v>
      </c>
      <c r="AA5" s="2750" t="s">
        <v>634</v>
      </c>
      <c r="AB5" s="2750" t="s">
        <v>635</v>
      </c>
      <c r="AC5" s="1105"/>
      <c r="AD5" s="1105" t="s">
        <v>636</v>
      </c>
      <c r="AE5" s="2866" t="s">
        <v>637</v>
      </c>
      <c r="AF5" s="2750" t="s">
        <v>638</v>
      </c>
      <c r="AG5" s="1546" t="s">
        <v>639</v>
      </c>
      <c r="AH5" s="2866" t="s">
        <v>640</v>
      </c>
      <c r="AI5" s="2891" t="s">
        <v>641</v>
      </c>
      <c r="AJ5" s="2891" t="s">
        <v>642</v>
      </c>
      <c r="AK5" s="2750" t="s">
        <v>643</v>
      </c>
      <c r="AL5" s="2750" t="s">
        <v>644</v>
      </c>
      <c r="AM5" s="1546" t="s">
        <v>645</v>
      </c>
      <c r="AN5" s="2903" t="s">
        <v>646</v>
      </c>
      <c r="AO5" s="2921" t="s">
        <v>647</v>
      </c>
      <c r="AP5" s="2922" t="s">
        <v>648</v>
      </c>
      <c r="AQ5" s="2923" t="s">
        <v>649</v>
      </c>
      <c r="AR5" s="2923" t="s">
        <v>650</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549</v>
      </c>
      <c r="D6" s="2755">
        <f>SUMIF(项目基本情况!C$12:I$12,C6,项目基本情况!C$14:I$14)</f>
        <v>50</v>
      </c>
      <c r="E6" s="2756">
        <f>IF(B6="","",SUMIF(项目基本情况!C$12:I$12,C6,项目基本情况!C$13:I$13))</f>
        <v>57631</v>
      </c>
      <c r="F6" s="2757">
        <f>SUMIF(项目基本情况!C$12:I$12,C6,项目基本情况!C$15:I$15)</f>
        <v>34</v>
      </c>
      <c r="G6" s="2758">
        <f>IF(ISERROR(ROUND(POWER(1+H6,D6-F6)*(POWER(1+H6,F6)-1)/(POWER(1+H6,D6)-1),3)),0,ROUND(POWER(1+H6,D6-F6)*(POWER(1+H6,F6)-1)/(POWER(1+H6,D6)-1),3))</f>
        <v>0.88700000000000001</v>
      </c>
      <c r="H6" s="2759">
        <v>0.05</v>
      </c>
      <c r="I6" s="2759">
        <v>5.5E-2</v>
      </c>
      <c r="J6" s="2760">
        <v>7.4999999999999997E-2</v>
      </c>
      <c r="K6" s="2847">
        <f>SUMIF('数据-汇总表'!C$19:C$33,A6,'数据-汇总表'!E$19:E$33)</f>
        <v>46.53</v>
      </c>
      <c r="L6" s="2848">
        <v>4000</v>
      </c>
      <c r="M6" s="2849">
        <f t="shared" ref="M6:M14" si="0">ROUND(K6*L6/10000,0)</f>
        <v>19</v>
      </c>
      <c r="N6" s="2850">
        <f>N21</f>
        <v>0.77</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3</v>
      </c>
      <c r="V6" s="2872">
        <v>2.5000000000000001E-2</v>
      </c>
      <c r="W6" s="2872">
        <v>0.1</v>
      </c>
      <c r="X6" s="2873"/>
      <c r="Y6" s="2892">
        <f>N6</f>
        <v>0.77</v>
      </c>
      <c r="Z6" s="2893"/>
      <c r="AA6" s="2760"/>
      <c r="AB6" s="2760"/>
      <c r="AC6" s="2873"/>
      <c r="AD6" s="2894"/>
      <c r="AE6" s="2895">
        <f ca="1">IF(AN6="",0,SUMIF(INDIRECT("'"&amp;AN6&amp;"'"&amp;"!E:E"),$AE$5,INDIRECT("'"&amp;AN6&amp;"'"&amp;"!F:F")))</f>
        <v>34</v>
      </c>
      <c r="AF6" s="2372"/>
      <c r="AG6" s="1707">
        <f>IF(AF6="",0,AE6-AF6)</f>
        <v>0</v>
      </c>
      <c r="AH6" s="2904"/>
      <c r="AI6" s="2905">
        <v>365</v>
      </c>
      <c r="AJ6" s="2906"/>
      <c r="AK6" s="2907">
        <v>0.01</v>
      </c>
      <c r="AL6" s="2908">
        <v>1E-3</v>
      </c>
      <c r="AM6" s="2909">
        <v>0.01</v>
      </c>
      <c r="AN6" s="2910" t="s">
        <v>266</v>
      </c>
      <c r="AO6" s="1297">
        <f ca="1">SUMIF(INDIRECT("'"&amp;AN6&amp;"'"&amp;"!A:A"),"总价",INDIRECT("'"&amp;AN6&amp;"'"&amp;"!B:B"))</f>
        <v>83.124899999999997</v>
      </c>
      <c r="AP6" s="2924">
        <f>IF(C6="住宅",K6*L6,0)</f>
        <v>0</v>
      </c>
      <c r="AQ6" s="1297">
        <f>ROUND($L$14*$N$14*S6/10000,0)</f>
        <v>0</v>
      </c>
      <c r="AR6" s="1297">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72"/>
      <c r="AG7" s="1707">
        <f t="shared" ref="AG7:AG13" si="7">IF(AF7="",0,AE7-AF7)</f>
        <v>0</v>
      </c>
      <c r="AH7" s="2904"/>
      <c r="AI7" s="2905"/>
      <c r="AJ7" s="2906"/>
      <c r="AK7" s="2907"/>
      <c r="AL7" s="2908"/>
      <c r="AM7" s="2909"/>
      <c r="AN7" s="2910"/>
      <c r="AO7" s="1297" t="e">
        <f t="shared" ref="AO7:AO13" ca="1" si="8">SUMIF(INDIRECT("'"&amp;AN7&amp;"'"&amp;"!A:A"),"总价",INDIRECT("'"&amp;AN7&amp;"'"&amp;"!B:B"))</f>
        <v>#REF!</v>
      </c>
      <c r="AP7" s="2924">
        <f t="shared" ref="AP7:AP13" si="9">IF(C7="住宅",K7*L7,0)</f>
        <v>0</v>
      </c>
      <c r="AQ7" s="1297">
        <f t="shared" ref="AQ7:AQ13" si="10">ROUND($L$14*$N$14*S7/10000,0)</f>
        <v>0</v>
      </c>
      <c r="AR7" s="1297">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72"/>
      <c r="AG8" s="1707">
        <f t="shared" si="7"/>
        <v>0</v>
      </c>
      <c r="AH8" s="2911"/>
      <c r="AI8" s="2905"/>
      <c r="AJ8" s="2906"/>
      <c r="AK8" s="2912"/>
      <c r="AL8" s="2913"/>
      <c r="AM8" s="2914"/>
      <c r="AN8" s="2910"/>
      <c r="AO8" s="1297" t="e">
        <f t="shared" ca="1" si="8"/>
        <v>#REF!</v>
      </c>
      <c r="AP8" s="2924">
        <f t="shared" si="9"/>
        <v>0</v>
      </c>
      <c r="AQ8" s="1297">
        <f t="shared" si="10"/>
        <v>0</v>
      </c>
      <c r="AR8" s="1297">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72"/>
      <c r="AG9" s="1707">
        <f t="shared" si="7"/>
        <v>0</v>
      </c>
      <c r="AH9" s="2904"/>
      <c r="AI9" s="2905"/>
      <c r="AJ9" s="2906"/>
      <c r="AK9" s="2907"/>
      <c r="AL9" s="2908"/>
      <c r="AM9" s="2909"/>
      <c r="AN9" s="2910"/>
      <c r="AO9" s="1297" t="e">
        <f t="shared" ca="1" si="8"/>
        <v>#REF!</v>
      </c>
      <c r="AP9" s="2924">
        <f t="shared" si="9"/>
        <v>0</v>
      </c>
      <c r="AQ9" s="1297">
        <f t="shared" si="10"/>
        <v>0</v>
      </c>
      <c r="AR9" s="1297">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72"/>
      <c r="AG10" s="1707">
        <f t="shared" si="7"/>
        <v>0</v>
      </c>
      <c r="AH10" s="2904"/>
      <c r="AI10" s="2905"/>
      <c r="AJ10" s="2906"/>
      <c r="AK10" s="2907"/>
      <c r="AL10" s="2908"/>
      <c r="AM10" s="2909"/>
      <c r="AN10" s="2910"/>
      <c r="AO10" s="1297" t="e">
        <f t="shared" ca="1" si="8"/>
        <v>#REF!</v>
      </c>
      <c r="AP10" s="2924">
        <f t="shared" si="9"/>
        <v>0</v>
      </c>
      <c r="AQ10" s="1297">
        <f t="shared" si="10"/>
        <v>0</v>
      </c>
      <c r="AR10" s="1297">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72"/>
      <c r="AG11" s="1707">
        <f t="shared" si="7"/>
        <v>0</v>
      </c>
      <c r="AH11" s="2904"/>
      <c r="AI11" s="2905"/>
      <c r="AJ11" s="2906"/>
      <c r="AK11" s="2915"/>
      <c r="AL11" s="2916"/>
      <c r="AM11" s="2917"/>
      <c r="AN11" s="2910"/>
      <c r="AO11" s="1297" t="e">
        <f t="shared" ca="1" si="8"/>
        <v>#REF!</v>
      </c>
      <c r="AP11" s="2924">
        <f t="shared" si="9"/>
        <v>0</v>
      </c>
      <c r="AQ11" s="1297">
        <f t="shared" si="10"/>
        <v>0</v>
      </c>
      <c r="AR11" s="1297">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72"/>
      <c r="AG12" s="1707">
        <f t="shared" si="7"/>
        <v>0</v>
      </c>
      <c r="AH12" s="2904"/>
      <c r="AI12" s="2905"/>
      <c r="AJ12" s="2906"/>
      <c r="AK12" s="2915"/>
      <c r="AL12" s="2916"/>
      <c r="AM12" s="2917"/>
      <c r="AN12" s="2910"/>
      <c r="AO12" s="1297" t="e">
        <f t="shared" ca="1" si="8"/>
        <v>#REF!</v>
      </c>
      <c r="AP12" s="2924">
        <f t="shared" si="9"/>
        <v>0</v>
      </c>
      <c r="AQ12" s="1297">
        <f t="shared" si="10"/>
        <v>0</v>
      </c>
      <c r="AR12" s="1297">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72"/>
      <c r="AG13" s="1707">
        <f t="shared" si="7"/>
        <v>0</v>
      </c>
      <c r="AH13" s="2904"/>
      <c r="AI13" s="2905"/>
      <c r="AJ13" s="2906"/>
      <c r="AK13" s="2907"/>
      <c r="AL13" s="2908"/>
      <c r="AM13" s="2909"/>
      <c r="AN13" s="2910"/>
      <c r="AO13" s="1297" t="e">
        <f t="shared" ca="1" si="8"/>
        <v>#REF!</v>
      </c>
      <c r="AP13" s="2924">
        <f t="shared" si="9"/>
        <v>0</v>
      </c>
      <c r="AQ13" s="1297">
        <f t="shared" si="10"/>
        <v>0</v>
      </c>
      <c r="AR13" s="1297">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604</v>
      </c>
      <c r="B14" s="2753" t="s">
        <v>603</v>
      </c>
      <c r="C14" s="2762" t="s">
        <v>604</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297"/>
      <c r="AG14" s="1707"/>
      <c r="AH14" s="2895"/>
      <c r="AI14" s="1285"/>
      <c r="AJ14" s="1296"/>
      <c r="AK14" s="2918"/>
      <c r="AL14" s="2919"/>
      <c r="AM14" s="2920"/>
      <c r="AN14" s="2259"/>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605</v>
      </c>
      <c r="B15" s="2753" t="s">
        <v>603</v>
      </c>
      <c r="C15" s="2762" t="s">
        <v>651</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297"/>
      <c r="AG15" s="1707"/>
      <c r="AH15" s="2895"/>
      <c r="AI15" s="1285"/>
      <c r="AJ15" s="1296"/>
      <c r="AK15" s="2918"/>
      <c r="AL15" s="2919"/>
      <c r="AM15" s="2920"/>
      <c r="AN15" s="2259"/>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606</v>
      </c>
      <c r="B16" s="2765"/>
      <c r="C16" s="2316"/>
      <c r="D16" s="2766"/>
      <c r="E16" s="2765"/>
      <c r="F16" s="2765"/>
      <c r="G16" s="2767">
        <f>ROUND(SUMPRODUCT(G6:G13,K6:K13)/SUMPRODUCT((G6:G13&gt;0)*(K6:K13)),3)</f>
        <v>0.88700000000000001</v>
      </c>
      <c r="H16" s="2768">
        <f>ROUND(SUMPRODUCT(H6:H13,K6:K13)/SUMPRODUCT((H6:H13&gt;0)*(K6:K13)),3)</f>
        <v>0.05</v>
      </c>
      <c r="I16" s="2856"/>
      <c r="J16" s="2856"/>
      <c r="K16" s="2857">
        <f>SUM(K6:K15)</f>
        <v>46.53</v>
      </c>
      <c r="L16" s="2858">
        <f>ROUND(M16*10000/SUM(K6:K14),0)</f>
        <v>4083</v>
      </c>
      <c r="M16" s="2858">
        <f>SUM(M6:M14)</f>
        <v>19</v>
      </c>
      <c r="N16" s="2859">
        <f>ROUND(SUMPRODUCT(M6:M14,N6:N14)/M16,3)</f>
        <v>0.77</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9"/>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9"/>
      <c r="D17" s="2771"/>
      <c r="E17" s="2771"/>
      <c r="F17" s="2259"/>
      <c r="G17" s="2259"/>
      <c r="H17" s="2259"/>
      <c r="I17" s="2259"/>
      <c r="J17" s="2259"/>
      <c r="K17" s="2860"/>
      <c r="L17" s="2860"/>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529" t="s">
        <v>652</v>
      </c>
      <c r="B18" s="2772"/>
      <c r="C18" s="2773"/>
      <c r="D18" s="2774"/>
      <c r="E18" s="2773"/>
      <c r="F18" s="2773"/>
      <c r="G18" s="2773"/>
      <c r="H18" s="2773"/>
      <c r="I18" s="2773"/>
      <c r="J18" s="2773"/>
      <c r="K18" s="2860"/>
      <c r="L18" s="2860"/>
      <c r="M18" s="2259"/>
      <c r="N18" s="2259"/>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5" t="s">
        <v>653</v>
      </c>
      <c r="B19" s="2776"/>
      <c r="C19" s="2777" t="s">
        <v>654</v>
      </c>
      <c r="D19" s="2774"/>
      <c r="E19" s="2773"/>
      <c r="F19" s="2773"/>
      <c r="G19" s="2773"/>
      <c r="H19" s="2773"/>
      <c r="I19" s="2773"/>
      <c r="J19" s="2773"/>
      <c r="K19" s="2860"/>
      <c r="L19" s="2860"/>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8" t="s">
        <v>655</v>
      </c>
      <c r="B20" s="2779">
        <v>2</v>
      </c>
      <c r="C20" s="2780" t="s">
        <v>656</v>
      </c>
      <c r="D20" s="2774"/>
      <c r="E20" s="2773"/>
      <c r="F20" s="2773"/>
      <c r="G20" s="2773"/>
      <c r="H20" s="2773"/>
      <c r="I20" s="2773"/>
      <c r="J20" s="2773"/>
      <c r="K20" s="2860"/>
      <c r="L20" s="2860"/>
      <c r="M20" s="2259"/>
      <c r="N20" s="2259">
        <v>2009</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1" t="s">
        <v>657</v>
      </c>
      <c r="B21" s="2779">
        <v>2</v>
      </c>
      <c r="C21" s="2773"/>
      <c r="D21" s="2774"/>
      <c r="E21" s="2773"/>
      <c r="F21" s="2773"/>
      <c r="G21" s="2773"/>
      <c r="H21" s="2773"/>
      <c r="I21" s="2773"/>
      <c r="J21" s="2773"/>
      <c r="K21" s="2860"/>
      <c r="L21" s="2860"/>
      <c r="M21" s="2259"/>
      <c r="N21" s="2259">
        <f>ROUND(1-(2023-N20)/60,2)</f>
        <v>0.77</v>
      </c>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8" t="s">
        <v>658</v>
      </c>
      <c r="B22" s="2782">
        <f>B19+B20</f>
        <v>2</v>
      </c>
      <c r="C22" s="2773"/>
      <c r="D22" s="2774"/>
      <c r="E22" s="2773"/>
      <c r="F22" s="2773"/>
      <c r="G22" s="2773"/>
      <c r="H22" s="2773"/>
      <c r="I22" s="2773"/>
      <c r="J22" s="2773"/>
      <c r="K22" s="2860"/>
      <c r="L22" s="2860"/>
      <c r="M22" s="2259"/>
      <c r="N22" s="2259">
        <v>0.85</v>
      </c>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1" t="s">
        <v>659</v>
      </c>
      <c r="B23" s="2782">
        <f>B19+B21</f>
        <v>2</v>
      </c>
      <c r="C23" s="2773"/>
      <c r="D23" s="2774"/>
      <c r="E23" s="2773"/>
      <c r="F23" s="2773"/>
      <c r="G23" s="2773"/>
      <c r="H23" s="2773"/>
      <c r="I23" s="2773"/>
      <c r="J23" s="2773"/>
      <c r="K23" s="2860"/>
      <c r="L23" s="2860"/>
      <c r="M23" s="2259"/>
      <c r="N23" s="2259">
        <f>ROUND((N21+N22)/2,2)</f>
        <v>0.81</v>
      </c>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3" t="s">
        <v>660</v>
      </c>
      <c r="B24" s="2784">
        <f>B20-B21</f>
        <v>0</v>
      </c>
      <c r="C24" s="2773"/>
      <c r="D24" s="2774"/>
      <c r="E24" s="2773"/>
      <c r="F24" s="2773"/>
      <c r="G24" s="2773"/>
      <c r="H24" s="2773"/>
      <c r="I24" s="2773"/>
      <c r="J24" s="2773"/>
      <c r="K24" s="2860"/>
      <c r="L24" s="2860"/>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2"/>
      <c r="B25" s="2743"/>
      <c r="C25" s="2773"/>
      <c r="D25" s="2774"/>
      <c r="E25" s="2773"/>
      <c r="F25" s="2773"/>
      <c r="G25" s="2773"/>
      <c r="H25" s="2773"/>
      <c r="I25" s="2773"/>
      <c r="J25" s="2773"/>
      <c r="K25" s="2860"/>
      <c r="L25" s="2860"/>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8" t="s">
        <v>661</v>
      </c>
      <c r="B26" s="2785" t="s">
        <v>662</v>
      </c>
      <c r="C26" s="2786" t="s">
        <v>663</v>
      </c>
      <c r="D26" s="2774"/>
      <c r="E26" s="2773"/>
      <c r="F26" s="2773"/>
      <c r="G26" s="2773"/>
      <c r="H26" s="2773"/>
      <c r="I26" s="2773"/>
      <c r="J26" s="2773"/>
      <c r="K26" s="2860"/>
      <c r="L26" s="2860"/>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9" customFormat="1" ht="27.75">
      <c r="A27" s="2787" t="s">
        <v>664</v>
      </c>
      <c r="B27" s="2788"/>
      <c r="C27" s="2789" t="s">
        <v>665</v>
      </c>
      <c r="D27" s="2790"/>
      <c r="E27" s="1409"/>
      <c r="F27" s="1409"/>
      <c r="G27" s="2773"/>
      <c r="H27" s="2773"/>
      <c r="I27" s="2773"/>
      <c r="J27" s="2773"/>
      <c r="K27" s="2860"/>
      <c r="L27" s="2860"/>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9" customFormat="1" ht="27.75">
      <c r="A28" s="2791" t="s">
        <v>666</v>
      </c>
      <c r="B28" s="2792">
        <v>200</v>
      </c>
      <c r="C28" s="2793"/>
      <c r="D28" s="2790"/>
      <c r="E28" s="1409"/>
      <c r="F28" s="1409"/>
      <c r="G28" s="2773"/>
      <c r="H28" s="2773"/>
      <c r="I28" s="2773"/>
      <c r="J28" s="2773"/>
      <c r="K28" s="2860"/>
      <c r="L28" s="2860"/>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9" customFormat="1" ht="27.75">
      <c r="A29" s="2794" t="s">
        <v>667</v>
      </c>
      <c r="B29" s="2795">
        <f>ROUND(B28*K6,0)</f>
        <v>9306</v>
      </c>
      <c r="C29" s="2796" t="s">
        <v>668</v>
      </c>
      <c r="D29" s="2790"/>
      <c r="E29" s="1409"/>
      <c r="F29" s="1409"/>
      <c r="G29" s="2773"/>
      <c r="H29" s="2773"/>
      <c r="I29" s="2773"/>
      <c r="J29" s="2773"/>
      <c r="K29" s="2860"/>
      <c r="L29" s="2860"/>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9" customFormat="1" ht="27">
      <c r="A30" s="2797" t="s">
        <v>669</v>
      </c>
      <c r="B30" s="2798">
        <v>200</v>
      </c>
      <c r="C30" s="2793"/>
      <c r="D30" s="2790"/>
      <c r="E30" s="1409"/>
      <c r="F30" s="1409"/>
      <c r="G30" s="2773"/>
      <c r="H30" s="2773"/>
      <c r="I30" s="2773"/>
      <c r="J30" s="2773"/>
      <c r="K30" s="2860"/>
      <c r="L30" s="2860"/>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9" customFormat="1" ht="27">
      <c r="A31" s="2791" t="s">
        <v>670</v>
      </c>
      <c r="B31" s="2799">
        <f>B30-B32</f>
        <v>200</v>
      </c>
      <c r="C31" s="2800"/>
      <c r="D31" s="2790"/>
      <c r="E31" s="1409"/>
      <c r="F31" s="1409"/>
      <c r="G31" s="2773"/>
      <c r="H31" s="2773"/>
      <c r="I31" s="2773"/>
      <c r="J31" s="2773"/>
      <c r="K31" s="2860"/>
      <c r="L31" s="2860"/>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9" customFormat="1" ht="27">
      <c r="A32" s="2801" t="s">
        <v>671</v>
      </c>
      <c r="B32" s="2802"/>
      <c r="C32" s="2793"/>
      <c r="D32" s="2774"/>
      <c r="E32" s="2773"/>
      <c r="F32" s="2773"/>
      <c r="G32" s="2773"/>
      <c r="H32" s="2773"/>
      <c r="I32" s="2773"/>
      <c r="J32" s="2773"/>
      <c r="K32" s="2860"/>
      <c r="L32" s="2860"/>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9" customFormat="1" ht="14.25">
      <c r="A33" s="2787" t="s">
        <v>672</v>
      </c>
      <c r="B33" s="2803">
        <v>0.03</v>
      </c>
      <c r="C33" s="2804" t="s">
        <v>673</v>
      </c>
      <c r="D33" s="2774"/>
      <c r="E33" s="2773"/>
      <c r="F33" s="2773"/>
      <c r="G33" s="2773"/>
      <c r="H33" s="2773"/>
      <c r="I33" s="2773"/>
      <c r="J33" s="2773"/>
      <c r="K33" s="2860"/>
      <c r="L33" s="2860"/>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9" customFormat="1" ht="14.25">
      <c r="A34" s="2791" t="s">
        <v>674</v>
      </c>
      <c r="B34" s="2805">
        <v>0</v>
      </c>
      <c r="C34" s="2804" t="s">
        <v>675</v>
      </c>
      <c r="D34" s="2806" t="s">
        <v>676</v>
      </c>
      <c r="E34" s="2770"/>
      <c r="F34" s="2773"/>
      <c r="G34" s="2773"/>
      <c r="H34" s="2773"/>
      <c r="I34" s="2773"/>
      <c r="J34" s="2773"/>
      <c r="K34" s="2860"/>
      <c r="L34" s="2860"/>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9" customFormat="1" ht="14.25">
      <c r="A35" s="2791" t="s">
        <v>677</v>
      </c>
      <c r="B35" s="2792">
        <v>200</v>
      </c>
      <c r="C35" s="2804" t="s">
        <v>678</v>
      </c>
      <c r="D35" s="2790"/>
      <c r="E35" s="1409"/>
      <c r="F35" s="1409"/>
      <c r="G35" s="2773"/>
      <c r="H35" s="2773"/>
      <c r="I35" s="2773"/>
      <c r="J35" s="2773"/>
      <c r="K35" s="2860"/>
      <c r="L35" s="2860"/>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4" t="s">
        <v>679</v>
      </c>
      <c r="B36" s="2807">
        <v>1.4999999999999999E-2</v>
      </c>
      <c r="C36" s="2804" t="s">
        <v>680</v>
      </c>
      <c r="D36" s="2774"/>
      <c r="E36" s="2773"/>
      <c r="F36" s="2773"/>
      <c r="G36" s="2773"/>
      <c r="H36" s="2773"/>
      <c r="I36" s="2773"/>
      <c r="J36" s="2773"/>
      <c r="K36" s="2860"/>
      <c r="L36" s="2860"/>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7" t="s">
        <v>681</v>
      </c>
      <c r="B37" s="2808">
        <v>0.02</v>
      </c>
      <c r="C37" s="2804" t="s">
        <v>682</v>
      </c>
      <c r="D37" s="2774"/>
      <c r="E37" s="2773"/>
      <c r="F37" s="2773"/>
      <c r="G37" s="2773"/>
      <c r="H37" s="2773"/>
      <c r="I37" s="2773"/>
      <c r="J37" s="2773"/>
      <c r="K37" s="2860"/>
      <c r="L37" s="2860"/>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1" t="s">
        <v>683</v>
      </c>
      <c r="B38" s="2805">
        <v>0.02</v>
      </c>
      <c r="C38" s="2804" t="s">
        <v>682</v>
      </c>
      <c r="D38" s="2774"/>
      <c r="E38" s="2773"/>
      <c r="F38" s="2773"/>
      <c r="G38" s="2773"/>
      <c r="H38" s="2773"/>
      <c r="I38" s="2773"/>
      <c r="J38" s="2773"/>
      <c r="K38" s="2860"/>
      <c r="L38" s="2860"/>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1" t="s">
        <v>684</v>
      </c>
      <c r="B39" s="2809">
        <f ca="1">存贷款利率!I1</f>
        <v>1.4999999999999999E-2</v>
      </c>
      <c r="C39" s="2810"/>
      <c r="D39" s="2774"/>
      <c r="E39" s="2773"/>
      <c r="F39" s="2773"/>
      <c r="G39" s="2773"/>
      <c r="H39" s="2773"/>
      <c r="I39" s="2773"/>
      <c r="J39" s="2773"/>
      <c r="K39" s="2860"/>
      <c r="L39" s="2860"/>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1" t="s">
        <v>685</v>
      </c>
      <c r="B40" s="2812">
        <f ca="1">IF(A40="利息：取LPR",存贷款利率!G1,存贷款利率!G1+C40)</f>
        <v>3.4500000000000003E-2</v>
      </c>
      <c r="C40" s="2813">
        <v>5.0000000000000001E-3</v>
      </c>
      <c r="D40" s="2259"/>
      <c r="E40" s="2774"/>
      <c r="F40" s="2773"/>
      <c r="G40" s="2773"/>
      <c r="H40" s="2773"/>
      <c r="I40" s="2773"/>
      <c r="J40" s="2773"/>
      <c r="K40" s="2860"/>
      <c r="L40" s="2860"/>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7" t="s">
        <v>686</v>
      </c>
      <c r="B41" s="2814">
        <f>B42+B43</f>
        <v>5.5000000000000007E-2</v>
      </c>
      <c r="C41" s="2800"/>
      <c r="D41" s="2259"/>
      <c r="E41" s="2774"/>
      <c r="F41" s="2773"/>
      <c r="G41" s="2773"/>
      <c r="H41" s="2773"/>
      <c r="I41" s="2773"/>
      <c r="J41" s="2773"/>
      <c r="K41" s="2860"/>
      <c r="L41" s="2860"/>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5" t="s">
        <v>687</v>
      </c>
      <c r="B42" s="2816">
        <v>0.05</v>
      </c>
      <c r="C42" s="2817">
        <f>IF(B2&lt;DATE(2016,5,1),0,B42)</f>
        <v>0.05</v>
      </c>
      <c r="D42" s="2774"/>
      <c r="E42" s="2773"/>
      <c r="F42" s="2773"/>
      <c r="G42" s="2773"/>
      <c r="H42" s="2773"/>
      <c r="I42" s="2773"/>
      <c r="J42" s="2773"/>
      <c r="K42" s="2860"/>
      <c r="L42" s="2860"/>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5" t="s">
        <v>688</v>
      </c>
      <c r="B43" s="2818">
        <f>B42*(B44+B45+B46)+B47</f>
        <v>5.000000000000001E-3</v>
      </c>
      <c r="C43" s="2800"/>
      <c r="D43" s="2774"/>
      <c r="E43" s="2773"/>
      <c r="F43" s="2773"/>
      <c r="G43" s="2773"/>
      <c r="H43" s="2773"/>
      <c r="I43" s="2773"/>
      <c r="J43" s="2773"/>
      <c r="K43" s="2860"/>
      <c r="L43" s="2860"/>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9" t="s">
        <v>689</v>
      </c>
      <c r="B44" s="2820">
        <v>0.05</v>
      </c>
      <c r="C44" s="2804" t="s">
        <v>690</v>
      </c>
      <c r="D44" s="2774"/>
      <c r="E44" s="2773"/>
      <c r="F44" s="2773"/>
      <c r="G44" s="2773"/>
      <c r="H44" s="2773"/>
      <c r="I44" s="2773"/>
      <c r="J44" s="2773"/>
      <c r="K44" s="2860"/>
      <c r="L44" s="2860"/>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9" t="s">
        <v>691</v>
      </c>
      <c r="B45" s="2816">
        <v>0.03</v>
      </c>
      <c r="C45" s="2796" t="s">
        <v>692</v>
      </c>
      <c r="D45" s="2774"/>
      <c r="E45" s="2773"/>
      <c r="F45" s="2773"/>
      <c r="G45" s="2773"/>
      <c r="H45" s="2773"/>
      <c r="I45" s="2773"/>
      <c r="J45" s="2773"/>
      <c r="K45" s="2860"/>
      <c r="L45" s="2860"/>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9" t="s">
        <v>693</v>
      </c>
      <c r="B46" s="2816">
        <v>0.02</v>
      </c>
      <c r="C46" s="2796" t="s">
        <v>694</v>
      </c>
      <c r="D46" s="2774"/>
      <c r="E46" s="2773"/>
      <c r="F46" s="2773"/>
      <c r="G46" s="2773"/>
      <c r="H46" s="2773"/>
      <c r="I46" s="2773"/>
      <c r="J46" s="2773"/>
      <c r="K46" s="2860"/>
      <c r="L46" s="2860"/>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1" t="s">
        <v>695</v>
      </c>
      <c r="B47" s="2822"/>
      <c r="C47" s="2823" t="s">
        <v>696</v>
      </c>
      <c r="D47" s="2774"/>
      <c r="E47" s="2773"/>
      <c r="F47" s="2773"/>
      <c r="G47" s="2773"/>
      <c r="H47" s="2773"/>
      <c r="I47" s="2773"/>
      <c r="J47" s="2773"/>
      <c r="K47" s="2860"/>
      <c r="L47" s="2860"/>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4" t="s">
        <v>697</v>
      </c>
      <c r="B48" s="2825">
        <v>0.03</v>
      </c>
      <c r="C48" s="2796" t="s">
        <v>692</v>
      </c>
      <c r="D48" s="2774"/>
      <c r="E48" s="2773"/>
      <c r="F48" s="2773"/>
      <c r="G48" s="2773"/>
      <c r="H48" s="2773"/>
      <c r="I48" s="2773"/>
      <c r="J48" s="2773"/>
      <c r="K48" s="2860"/>
      <c r="L48" s="2860"/>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1" t="s">
        <v>698</v>
      </c>
      <c r="B49" s="2816">
        <v>5.0000000000000001E-4</v>
      </c>
      <c r="C49" s="2796" t="s">
        <v>699</v>
      </c>
      <c r="D49" s="2774"/>
      <c r="E49" s="2773"/>
      <c r="F49" s="2773"/>
      <c r="G49" s="2773"/>
      <c r="H49" s="2773"/>
      <c r="I49" s="2773"/>
      <c r="J49" s="2773"/>
      <c r="K49" s="2860"/>
      <c r="L49" s="2860"/>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6" t="s">
        <v>700</v>
      </c>
      <c r="B50" s="2827">
        <v>1.2E-2</v>
      </c>
      <c r="C50" s="1409"/>
      <c r="D50" s="2774"/>
      <c r="E50" s="2773"/>
      <c r="F50" s="2773"/>
      <c r="G50" s="2773"/>
      <c r="H50" s="2773"/>
      <c r="I50" s="2773"/>
      <c r="J50" s="2773"/>
      <c r="K50" s="2860"/>
      <c r="L50" s="2860"/>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4" t="s">
        <v>701</v>
      </c>
      <c r="B51" s="2828">
        <v>0.12</v>
      </c>
      <c r="C51" s="1409"/>
      <c r="D51" s="2774"/>
      <c r="E51" s="2773"/>
      <c r="F51" s="2773"/>
      <c r="G51" s="2773"/>
      <c r="H51" s="2773"/>
      <c r="I51" s="2773"/>
      <c r="J51" s="2773"/>
      <c r="K51" s="2860"/>
      <c r="L51" s="2860"/>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6" t="s">
        <v>702</v>
      </c>
      <c r="B52" s="2829">
        <f>SUMIF(A54:A63,B53,B54:B63)</f>
        <v>1.5</v>
      </c>
      <c r="C52" s="1409"/>
      <c r="D52" s="2774"/>
      <c r="E52" s="2773"/>
      <c r="F52" s="2773"/>
      <c r="G52" s="2773"/>
      <c r="H52" s="2773"/>
      <c r="I52" s="2773"/>
      <c r="J52" s="2773"/>
      <c r="K52" s="2860"/>
      <c r="L52" s="2860"/>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1" t="s">
        <v>703</v>
      </c>
      <c r="B53" s="2830" t="s">
        <v>273</v>
      </c>
      <c r="C53" s="1409" t="s">
        <v>704</v>
      </c>
      <c r="D53" s="2831" t="s">
        <v>705</v>
      </c>
      <c r="E53" s="2773"/>
      <c r="F53" s="2773"/>
      <c r="G53" s="2773"/>
      <c r="H53" s="2773"/>
      <c r="I53" s="2773"/>
      <c r="J53" s="2773"/>
      <c r="K53" s="2860"/>
      <c r="L53" s="2860"/>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2" t="s">
        <v>706</v>
      </c>
      <c r="B54" s="2833"/>
      <c r="C54" s="1409">
        <v>30</v>
      </c>
      <c r="D54" s="2774"/>
      <c r="E54" s="2773"/>
      <c r="F54" s="2773"/>
      <c r="G54" s="2773"/>
      <c r="H54" s="2773"/>
      <c r="I54" s="2773"/>
      <c r="J54" s="2773"/>
      <c r="K54" s="2860"/>
      <c r="L54" s="2860"/>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2" t="s">
        <v>707</v>
      </c>
      <c r="B55" s="2833"/>
      <c r="C55" s="1409">
        <v>24</v>
      </c>
      <c r="D55" s="2774"/>
      <c r="E55" s="2773"/>
      <c r="F55" s="2773"/>
      <c r="G55" s="2773"/>
      <c r="H55" s="2773"/>
      <c r="I55" s="2861"/>
      <c r="J55" s="2773"/>
      <c r="K55" s="2860"/>
      <c r="L55" s="2860"/>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2" t="s">
        <v>708</v>
      </c>
      <c r="B56" s="2833"/>
      <c r="C56" s="1409">
        <v>18</v>
      </c>
      <c r="D56" s="2774"/>
      <c r="E56" s="2773"/>
      <c r="F56" s="2773"/>
      <c r="G56" s="2773"/>
      <c r="H56" s="2773"/>
      <c r="I56" s="2773"/>
      <c r="J56" s="2773"/>
      <c r="K56" s="2860"/>
      <c r="L56" s="2860"/>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2" t="s">
        <v>709</v>
      </c>
      <c r="B57" s="2833"/>
      <c r="C57" s="1409">
        <v>12</v>
      </c>
      <c r="D57" s="2774"/>
      <c r="E57" s="2773"/>
      <c r="F57" s="2773"/>
      <c r="G57" s="2773"/>
      <c r="H57" s="2773"/>
      <c r="I57" s="2773"/>
      <c r="J57" s="2773"/>
      <c r="K57" s="2860"/>
      <c r="L57" s="2860"/>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2" t="s">
        <v>710</v>
      </c>
      <c r="B58" s="2833"/>
      <c r="C58" s="1409">
        <v>3</v>
      </c>
      <c r="D58" s="2774"/>
      <c r="E58" s="2773"/>
      <c r="F58" s="2773"/>
      <c r="G58" s="2773"/>
      <c r="H58" s="2773"/>
      <c r="I58" s="2773"/>
      <c r="J58" s="2773"/>
      <c r="K58" s="2860"/>
      <c r="L58" s="2860"/>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2" t="s">
        <v>711</v>
      </c>
      <c r="B59" s="2833">
        <v>1.5</v>
      </c>
      <c r="C59" s="1409">
        <v>1.5</v>
      </c>
      <c r="D59" s="2774"/>
      <c r="E59" s="2773"/>
      <c r="F59" s="2773"/>
      <c r="G59" s="2773"/>
      <c r="H59" s="2773"/>
      <c r="I59" s="2773"/>
      <c r="J59" s="2773"/>
      <c r="K59" s="2860"/>
      <c r="L59" s="2860"/>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2" t="s">
        <v>712</v>
      </c>
      <c r="B60" s="2833"/>
      <c r="C60" s="2773"/>
      <c r="D60" s="2774"/>
      <c r="E60" s="2773"/>
      <c r="F60" s="2773"/>
      <c r="G60" s="2773"/>
      <c r="H60" s="2773"/>
      <c r="I60" s="2773"/>
      <c r="J60" s="2773"/>
      <c r="K60" s="2860"/>
      <c r="L60" s="2860"/>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2" t="s">
        <v>713</v>
      </c>
      <c r="B61" s="2833"/>
      <c r="C61" s="2773"/>
      <c r="D61" s="2774"/>
      <c r="E61" s="2773"/>
      <c r="F61" s="2773"/>
      <c r="G61" s="2773"/>
      <c r="H61" s="2773"/>
      <c r="I61" s="2773"/>
      <c r="J61" s="2773"/>
      <c r="K61" s="2860"/>
      <c r="L61" s="2860"/>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2" t="s">
        <v>714</v>
      </c>
      <c r="B62" s="2833"/>
      <c r="C62" s="2773"/>
      <c r="D62" s="2774"/>
      <c r="E62" s="2773"/>
      <c r="F62" s="2773"/>
      <c r="G62" s="2773"/>
      <c r="H62" s="2773"/>
      <c r="I62" s="2773"/>
      <c r="J62" s="2773"/>
      <c r="K62" s="2860"/>
      <c r="L62" s="2860"/>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4" t="s">
        <v>715</v>
      </c>
      <c r="B63" s="2835"/>
      <c r="C63" s="2773"/>
      <c r="D63" s="2774"/>
      <c r="E63" s="2773"/>
      <c r="F63" s="2773"/>
      <c r="G63" s="2773"/>
      <c r="H63" s="2773"/>
      <c r="I63" s="2773"/>
      <c r="J63" s="2773"/>
      <c r="K63" s="2860"/>
      <c r="L63" s="2860"/>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6"/>
      <c r="B64" s="2259"/>
      <c r="C64" s="2259"/>
      <c r="D64" s="2771"/>
      <c r="E64" s="2259"/>
      <c r="F64" s="2259"/>
      <c r="G64" s="2259"/>
      <c r="H64" s="2259"/>
      <c r="I64" s="2259"/>
      <c r="J64" s="2259"/>
      <c r="K64" s="2860"/>
      <c r="L64" s="2860"/>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6"/>
      <c r="B65" s="2259"/>
      <c r="C65" s="2259"/>
      <c r="D65" s="2771"/>
      <c r="E65" s="2259"/>
      <c r="F65" s="2259"/>
      <c r="G65" s="2259"/>
      <c r="H65" s="2259"/>
      <c r="I65" s="2259"/>
      <c r="J65" s="2259"/>
      <c r="K65" s="2860"/>
      <c r="L65" s="2860"/>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6"/>
      <c r="B66" s="2259"/>
      <c r="C66" s="2259"/>
      <c r="D66" s="2771"/>
      <c r="E66" s="2259"/>
      <c r="F66" s="2259"/>
      <c r="G66" s="2259"/>
      <c r="H66" s="2259"/>
      <c r="I66" s="2259"/>
      <c r="J66" s="2259"/>
      <c r="K66" s="2860"/>
      <c r="L66" s="2860"/>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6"/>
      <c r="B67" s="2259"/>
      <c r="C67" s="2259"/>
      <c r="D67" s="2771"/>
      <c r="E67" s="2259"/>
      <c r="F67" s="2259"/>
      <c r="G67" s="2259"/>
      <c r="H67" s="2259"/>
      <c r="I67" s="2259"/>
      <c r="J67" s="2259"/>
      <c r="K67" s="2860"/>
      <c r="L67" s="2860"/>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6"/>
      <c r="B68" s="2259"/>
      <c r="C68" s="2259"/>
      <c r="D68" s="2771"/>
      <c r="E68" s="2259"/>
      <c r="F68" s="2259"/>
      <c r="G68" s="2259"/>
      <c r="H68" s="2259"/>
      <c r="I68" s="2259"/>
      <c r="J68" s="2259"/>
      <c r="K68" s="2860"/>
      <c r="L68" s="2860"/>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5"/>
      <c r="D69" s="2925"/>
      <c r="K69" s="1046"/>
      <c r="L69" s="1046"/>
    </row>
    <row r="70" spans="1:44" s="2331" customFormat="1">
      <c r="A70" s="2635"/>
      <c r="D70" s="2925"/>
      <c r="K70" s="1046"/>
      <c r="L70" s="1046"/>
    </row>
    <row r="71" spans="1:44" s="2331" customFormat="1">
      <c r="A71" s="2635"/>
      <c r="D71" s="2925"/>
      <c r="K71" s="1046"/>
      <c r="L71" s="1046"/>
    </row>
    <row r="72" spans="1:44" s="2331" customFormat="1">
      <c r="A72" s="2635"/>
      <c r="D72" s="2925"/>
      <c r="K72" s="1046"/>
      <c r="L72" s="1046"/>
    </row>
    <row r="73" spans="1:44" s="2331" customFormat="1">
      <c r="A73" s="2635"/>
      <c r="D73" s="2925"/>
      <c r="K73" s="1046"/>
      <c r="L73" s="1046"/>
    </row>
    <row r="74" spans="1:44" s="2331" customFormat="1">
      <c r="A74" s="2635"/>
      <c r="D74" s="2925"/>
      <c r="K74" s="1046"/>
      <c r="L74" s="1046"/>
    </row>
    <row r="75" spans="1:44" s="2331" customFormat="1">
      <c r="A75" s="2635"/>
      <c r="D75" s="2925"/>
      <c r="K75" s="1046"/>
      <c r="L75" s="1046"/>
    </row>
    <row r="76" spans="1:44" s="2331" customFormat="1">
      <c r="A76" s="2635"/>
      <c r="D76" s="2925"/>
      <c r="K76" s="1046"/>
      <c r="L76" s="1046"/>
    </row>
    <row r="77" spans="1:44" s="2331" customFormat="1">
      <c r="A77" s="2635"/>
      <c r="D77" s="2925"/>
      <c r="K77" s="1046"/>
      <c r="L77" s="1046"/>
    </row>
    <row r="78" spans="1:44" s="2331" customFormat="1">
      <c r="A78" s="2635"/>
      <c r="D78" s="2925"/>
      <c r="K78" s="1046"/>
      <c r="L78" s="1046"/>
    </row>
    <row r="79" spans="1:44" s="2331" customFormat="1">
      <c r="A79" s="2635"/>
      <c r="D79" s="2925"/>
      <c r="K79" s="1046"/>
      <c r="L79" s="1046"/>
    </row>
    <row r="80" spans="1:44" s="2331" customFormat="1">
      <c r="A80" s="2635"/>
      <c r="D80" s="2925"/>
      <c r="K80" s="1046"/>
      <c r="L80" s="1046"/>
    </row>
    <row r="81" spans="1:12" s="2331" customFormat="1">
      <c r="A81" s="2635"/>
      <c r="D81" s="2925"/>
      <c r="K81" s="1046"/>
      <c r="L81" s="1046"/>
    </row>
    <row r="82" spans="1:12" s="2331" customFormat="1">
      <c r="A82" s="2635"/>
      <c r="D82" s="2925"/>
      <c r="K82" s="1046"/>
      <c r="L82" s="1046"/>
    </row>
    <row r="83" spans="1:12" s="2331" customFormat="1">
      <c r="A83" s="2635"/>
      <c r="D83" s="2925"/>
      <c r="K83" s="1046"/>
      <c r="L83" s="1046"/>
    </row>
    <row r="84" spans="1:12" s="2331" customFormat="1">
      <c r="A84" s="2635"/>
      <c r="D84" s="2925"/>
      <c r="K84" s="1046"/>
      <c r="L84" s="1046"/>
    </row>
    <row r="85" spans="1:12" s="2331" customFormat="1">
      <c r="A85" s="2635"/>
      <c r="D85" s="2925"/>
      <c r="K85" s="1046"/>
      <c r="L85" s="1046"/>
    </row>
    <row r="86" spans="1:12" s="2331" customFormat="1">
      <c r="A86" s="2635"/>
      <c r="D86" s="2925"/>
      <c r="K86" s="1046"/>
      <c r="L86" s="1046"/>
    </row>
    <row r="87" spans="1:12" s="2331" customFormat="1">
      <c r="A87" s="2635"/>
      <c r="D87" s="2925"/>
      <c r="K87" s="1046"/>
      <c r="L87" s="1046"/>
    </row>
    <row r="88" spans="1:12" s="2331" customFormat="1">
      <c r="A88" s="2635"/>
      <c r="D88" s="2925"/>
      <c r="K88" s="1046"/>
      <c r="L88" s="1046"/>
    </row>
    <row r="89" spans="1:12" s="2331" customFormat="1">
      <c r="A89" s="2635"/>
      <c r="D89" s="2925"/>
      <c r="K89" s="1046"/>
      <c r="L89" s="1046"/>
    </row>
    <row r="90" spans="1:12" s="2331" customFormat="1">
      <c r="A90" s="2635"/>
      <c r="D90" s="2925"/>
      <c r="K90" s="1046"/>
      <c r="L90" s="1046"/>
    </row>
    <row r="91" spans="1:12" s="2331" customFormat="1">
      <c r="A91" s="2635"/>
      <c r="D91" s="2925"/>
      <c r="K91" s="1046"/>
      <c r="L91" s="1046"/>
    </row>
    <row r="92" spans="1:12" s="2331" customFormat="1">
      <c r="A92" s="2635"/>
      <c r="D92" s="2925"/>
      <c r="K92" s="1046"/>
      <c r="L92" s="1046"/>
    </row>
    <row r="93" spans="1:12" s="2331" customFormat="1">
      <c r="A93" s="2635"/>
      <c r="D93" s="2925"/>
      <c r="K93" s="1046"/>
      <c r="L93" s="1046"/>
    </row>
    <row r="94" spans="1:12" s="2331" customFormat="1">
      <c r="A94" s="2635"/>
      <c r="D94" s="2925"/>
      <c r="K94" s="1046"/>
      <c r="L94" s="1046"/>
    </row>
    <row r="95" spans="1:12" s="2331" customFormat="1">
      <c r="A95" s="2635"/>
      <c r="D95" s="2925"/>
      <c r="K95" s="1046"/>
      <c r="L95" s="1046"/>
    </row>
    <row r="96" spans="1:12" s="2331" customFormat="1">
      <c r="A96" s="2635"/>
      <c r="D96" s="2925"/>
      <c r="K96" s="1046"/>
      <c r="L96" s="1046"/>
    </row>
    <row r="97" spans="1:12" s="2331" customFormat="1">
      <c r="A97" s="2635"/>
      <c r="D97" s="2925"/>
      <c r="K97" s="1046"/>
      <c r="L97" s="1046"/>
    </row>
    <row r="98" spans="1:12" s="2331" customFormat="1">
      <c r="A98" s="2635"/>
      <c r="D98" s="2925"/>
      <c r="K98" s="1046"/>
      <c r="L98" s="1046"/>
    </row>
    <row r="99" spans="1:12" s="2331" customFormat="1">
      <c r="A99" s="2635"/>
      <c r="D99" s="2925"/>
      <c r="K99" s="1046"/>
      <c r="L99" s="1046"/>
    </row>
    <row r="100" spans="1:12" s="2331" customFormat="1">
      <c r="A100" s="2635"/>
      <c r="D100" s="2925"/>
      <c r="K100" s="1046"/>
      <c r="L100" s="1046"/>
    </row>
    <row r="101" spans="1:12" s="2331" customFormat="1">
      <c r="A101" s="2635"/>
      <c r="D101" s="2925"/>
      <c r="K101" s="1046"/>
      <c r="L101" s="1046"/>
    </row>
    <row r="102" spans="1:12" s="2331" customFormat="1">
      <c r="A102" s="2635"/>
      <c r="D102" s="2925"/>
      <c r="K102" s="1046"/>
      <c r="L102" s="1046"/>
    </row>
    <row r="103" spans="1:12" s="2331" customFormat="1">
      <c r="A103" s="2635"/>
      <c r="D103" s="2925"/>
      <c r="K103" s="1046"/>
      <c r="L103" s="1046"/>
    </row>
    <row r="104" spans="1:12" s="2331" customFormat="1">
      <c r="A104" s="2635"/>
      <c r="D104" s="2925"/>
      <c r="K104" s="1046"/>
      <c r="L104" s="1046"/>
    </row>
    <row r="105" spans="1:12" s="2331" customFormat="1">
      <c r="A105" s="2635"/>
      <c r="D105" s="2925"/>
      <c r="K105" s="1046"/>
      <c r="L105" s="1046"/>
    </row>
    <row r="106" spans="1:12" s="2331" customFormat="1">
      <c r="A106" s="2635"/>
      <c r="D106" s="2925"/>
      <c r="K106" s="1046"/>
      <c r="L106" s="1046"/>
    </row>
    <row r="107" spans="1:12" s="2331" customFormat="1">
      <c r="A107" s="2635"/>
      <c r="D107" s="2925"/>
      <c r="K107" s="1046"/>
      <c r="L107" s="1046"/>
    </row>
    <row r="108" spans="1:12" s="2331" customFormat="1">
      <c r="A108" s="2635"/>
      <c r="D108" s="2925"/>
      <c r="K108" s="1046"/>
      <c r="L108" s="1046"/>
    </row>
    <row r="109" spans="1:12" s="2331" customFormat="1">
      <c r="A109" s="2635"/>
      <c r="D109" s="2925"/>
      <c r="K109" s="1046"/>
      <c r="L109" s="1046"/>
    </row>
    <row r="110" spans="1:12" s="2331" customFormat="1">
      <c r="A110" s="2635"/>
      <c r="D110" s="2925"/>
      <c r="K110" s="1046"/>
      <c r="L110" s="1046"/>
    </row>
    <row r="111" spans="1:12" s="2331" customFormat="1">
      <c r="A111" s="2635"/>
      <c r="D111" s="2925"/>
      <c r="K111" s="1046"/>
      <c r="L111" s="1046"/>
    </row>
    <row r="112" spans="1:12" s="2331" customFormat="1">
      <c r="A112" s="2635"/>
      <c r="D112" s="2925"/>
      <c r="K112" s="1046"/>
      <c r="L112" s="1046"/>
    </row>
    <row r="113" spans="1:12" s="2331" customFormat="1">
      <c r="A113" s="2635"/>
      <c r="D113" s="2925"/>
      <c r="K113" s="1046"/>
      <c r="L113" s="1046"/>
    </row>
    <row r="114" spans="1:12" s="2331" customFormat="1">
      <c r="A114" s="2635"/>
      <c r="D114" s="2925"/>
      <c r="K114" s="1046"/>
      <c r="L114" s="1046"/>
    </row>
    <row r="115" spans="1:12" s="2331" customFormat="1">
      <c r="A115" s="2635"/>
      <c r="D115" s="2925"/>
      <c r="K115" s="1046"/>
      <c r="L115" s="1046"/>
    </row>
    <row r="116" spans="1:12" s="2331" customFormat="1">
      <c r="A116" s="2635"/>
      <c r="D116" s="2925"/>
      <c r="K116" s="1046"/>
      <c r="L116" s="1046"/>
    </row>
    <row r="117" spans="1:12" s="2331" customFormat="1">
      <c r="A117" s="2635"/>
      <c r="D117" s="2925"/>
      <c r="K117" s="1046"/>
      <c r="L117" s="1046"/>
    </row>
    <row r="118" spans="1:12" s="2331" customFormat="1">
      <c r="A118" s="2635"/>
      <c r="D118" s="2925"/>
      <c r="K118" s="1046"/>
      <c r="L118" s="1046"/>
    </row>
    <row r="119" spans="1:12" s="2331" customFormat="1">
      <c r="A119" s="2635"/>
      <c r="D119" s="2925"/>
      <c r="K119" s="1046"/>
      <c r="L119" s="1046"/>
    </row>
    <row r="120" spans="1:12" s="2331" customFormat="1">
      <c r="A120" s="2635"/>
      <c r="D120" s="2925"/>
      <c r="K120" s="1046"/>
      <c r="L120" s="1046"/>
    </row>
    <row r="121" spans="1:12" s="2331" customFormat="1">
      <c r="A121" s="2635"/>
      <c r="D121" s="2925"/>
      <c r="K121" s="1046"/>
      <c r="L121" s="1046"/>
    </row>
    <row r="122" spans="1:12" s="2331" customFormat="1">
      <c r="A122" s="2635"/>
      <c r="D122" s="2925"/>
      <c r="K122" s="1046"/>
      <c r="L122" s="1046"/>
    </row>
    <row r="123" spans="1:12" s="2331" customFormat="1">
      <c r="A123" s="2635"/>
      <c r="D123" s="2925"/>
      <c r="K123" s="1046"/>
      <c r="L123" s="1046"/>
    </row>
    <row r="124" spans="1:12" s="2331" customFormat="1">
      <c r="A124" s="2635"/>
      <c r="D124" s="2925"/>
      <c r="K124" s="1046"/>
      <c r="L124" s="1046"/>
    </row>
    <row r="125" spans="1:12" s="2331" customFormat="1">
      <c r="A125" s="2635"/>
      <c r="D125" s="2925"/>
      <c r="K125" s="1046"/>
      <c r="L125" s="1046"/>
    </row>
    <row r="126" spans="1:12" s="2331" customFormat="1">
      <c r="A126" s="2635"/>
      <c r="D126" s="2925"/>
      <c r="K126" s="1046"/>
      <c r="L126" s="1046"/>
    </row>
    <row r="127" spans="1:12" s="2331" customFormat="1">
      <c r="A127" s="2635"/>
      <c r="D127" s="2925"/>
      <c r="K127" s="1046"/>
      <c r="L127" s="1046"/>
    </row>
    <row r="128" spans="1:12" s="2331" customFormat="1">
      <c r="A128" s="2635"/>
      <c r="D128" s="2925"/>
      <c r="K128" s="1046"/>
      <c r="L128" s="1046"/>
    </row>
    <row r="129" spans="1:12" s="2331" customFormat="1">
      <c r="A129" s="2635"/>
      <c r="D129" s="2925"/>
      <c r="K129" s="1046"/>
      <c r="L129" s="1046"/>
    </row>
    <row r="130" spans="1:12" s="2331" customFormat="1">
      <c r="A130" s="2635"/>
      <c r="D130" s="2925"/>
      <c r="K130" s="1046"/>
      <c r="L130" s="1046"/>
    </row>
    <row r="131" spans="1:12" s="2331" customFormat="1">
      <c r="A131" s="2635"/>
      <c r="D131" s="2925"/>
      <c r="K131" s="1046"/>
      <c r="L131" s="1046"/>
    </row>
    <row r="132" spans="1:12" s="2331" customFormat="1">
      <c r="A132" s="2635"/>
      <c r="D132" s="2925"/>
      <c r="K132" s="1046"/>
      <c r="L132" s="1046"/>
    </row>
    <row r="133" spans="1:12" s="2331" customFormat="1">
      <c r="A133" s="2635"/>
      <c r="D133" s="2925"/>
      <c r="K133" s="1046"/>
      <c r="L133" s="1046"/>
    </row>
    <row r="134" spans="1:12" s="2730" customFormat="1">
      <c r="A134" s="2926"/>
      <c r="D134" s="2927"/>
      <c r="K134" s="948"/>
      <c r="L134" s="948"/>
    </row>
    <row r="135" spans="1:12" s="2730" customFormat="1">
      <c r="A135" s="2926"/>
      <c r="D135" s="2927"/>
      <c r="K135" s="948"/>
      <c r="L135" s="948"/>
    </row>
    <row r="136" spans="1:12" s="2730" customFormat="1">
      <c r="A136" s="2926"/>
      <c r="D136" s="2927"/>
      <c r="K136" s="948"/>
      <c r="L136" s="948"/>
    </row>
    <row r="137" spans="1:12" s="2730" customFormat="1">
      <c r="A137" s="2926"/>
      <c r="D137" s="2927"/>
      <c r="K137" s="948"/>
      <c r="L137" s="948"/>
    </row>
    <row r="138" spans="1:12" s="2730" customFormat="1">
      <c r="A138" s="2926"/>
      <c r="D138" s="2927"/>
      <c r="K138" s="948"/>
      <c r="L138" s="948"/>
    </row>
    <row r="139" spans="1:12" s="2730" customFormat="1">
      <c r="A139" s="2926"/>
      <c r="D139" s="2927"/>
      <c r="K139" s="948"/>
      <c r="L139" s="948"/>
    </row>
    <row r="140" spans="1:12" s="2730" customFormat="1">
      <c r="A140" s="2926"/>
      <c r="D140" s="2927"/>
      <c r="K140" s="948"/>
      <c r="L140" s="948"/>
    </row>
    <row r="141" spans="1:12" s="2730" customFormat="1">
      <c r="A141" s="2926"/>
      <c r="D141" s="2927"/>
      <c r="K141" s="948"/>
      <c r="L141" s="948"/>
    </row>
    <row r="142" spans="1:12" s="2730" customFormat="1">
      <c r="A142" s="2926"/>
      <c r="D142" s="2927"/>
      <c r="K142" s="948"/>
      <c r="L142" s="948"/>
    </row>
    <row r="143" spans="1:12" s="2730" customFormat="1">
      <c r="A143" s="2926"/>
      <c r="D143" s="2927"/>
      <c r="K143" s="948"/>
      <c r="L143" s="948"/>
    </row>
    <row r="144" spans="1:12" s="2730" customFormat="1">
      <c r="A144" s="2926"/>
      <c r="D144" s="2927"/>
      <c r="K144" s="948"/>
      <c r="L144" s="948"/>
    </row>
    <row r="145" spans="1:12" s="2730" customFormat="1">
      <c r="A145" s="2926"/>
      <c r="D145" s="2927"/>
      <c r="K145" s="948"/>
      <c r="L145" s="948"/>
    </row>
    <row r="146" spans="1:12" s="2730" customFormat="1">
      <c r="A146" s="2926"/>
      <c r="D146" s="2927"/>
      <c r="K146" s="948"/>
      <c r="L146" s="948"/>
    </row>
    <row r="147" spans="1:12" s="2730" customFormat="1">
      <c r="A147" s="2926"/>
      <c r="D147" s="2927"/>
      <c r="K147" s="948"/>
      <c r="L147" s="948"/>
    </row>
    <row r="148" spans="1:12" s="2730" customFormat="1">
      <c r="A148" s="2926"/>
      <c r="D148" s="2927"/>
      <c r="K148" s="948"/>
      <c r="L148" s="948"/>
    </row>
    <row r="149" spans="1:12" s="2730" customFormat="1">
      <c r="A149" s="2926"/>
      <c r="D149" s="2927"/>
      <c r="K149" s="948"/>
      <c r="L149" s="948"/>
    </row>
    <row r="150" spans="1:12" s="2730" customFormat="1">
      <c r="A150" s="2926"/>
      <c r="D150" s="2927"/>
      <c r="K150" s="948"/>
      <c r="L150" s="948"/>
    </row>
    <row r="151" spans="1:12" s="2730" customFormat="1">
      <c r="A151" s="2926"/>
      <c r="D151" s="2927"/>
      <c r="K151" s="948"/>
      <c r="L151" s="948"/>
    </row>
    <row r="152" spans="1:12" s="2730" customFormat="1">
      <c r="A152" s="2926"/>
      <c r="D152" s="2927"/>
      <c r="K152" s="948"/>
      <c r="L152" s="948"/>
    </row>
    <row r="153" spans="1:12" s="2730" customFormat="1">
      <c r="A153" s="2926"/>
      <c r="D153" s="2927"/>
      <c r="K153" s="948"/>
      <c r="L153" s="948"/>
    </row>
    <row r="154" spans="1:12" s="2730" customFormat="1">
      <c r="A154" s="2926"/>
      <c r="D154" s="2927"/>
      <c r="K154" s="948"/>
      <c r="L154" s="948"/>
    </row>
    <row r="155" spans="1:12" s="2730" customFormat="1">
      <c r="A155" s="2926"/>
      <c r="D155" s="2927"/>
      <c r="K155" s="948"/>
      <c r="L155" s="948"/>
    </row>
    <row r="156" spans="1:12" s="2730" customFormat="1">
      <c r="A156" s="2926"/>
      <c r="D156" s="2927"/>
      <c r="K156" s="948"/>
      <c r="L156" s="948"/>
    </row>
    <row r="157" spans="1:12" s="2730" customFormat="1">
      <c r="A157" s="2926"/>
      <c r="D157" s="2927"/>
      <c r="K157" s="948"/>
      <c r="L157" s="948"/>
    </row>
    <row r="158" spans="1:12" s="2730" customFormat="1">
      <c r="A158" s="2926"/>
      <c r="D158" s="2927"/>
      <c r="K158" s="948"/>
      <c r="L158" s="948"/>
    </row>
    <row r="159" spans="1:12" s="2730" customFormat="1">
      <c r="A159" s="2926"/>
      <c r="D159" s="2927"/>
      <c r="K159" s="948"/>
      <c r="L159" s="948"/>
    </row>
    <row r="160" spans="1:12" s="2730" customFormat="1">
      <c r="A160" s="2926"/>
      <c r="D160" s="2927"/>
      <c r="K160" s="948"/>
      <c r="L160" s="948"/>
    </row>
    <row r="161" spans="1:12" s="2730" customFormat="1">
      <c r="A161" s="2926"/>
      <c r="D161" s="2927"/>
      <c r="K161" s="948"/>
      <c r="L161" s="948"/>
    </row>
    <row r="162" spans="1:12" s="2730" customFormat="1">
      <c r="A162" s="2926"/>
      <c r="D162" s="2927"/>
      <c r="K162" s="948"/>
      <c r="L162" s="948"/>
    </row>
    <row r="163" spans="1:12" s="2730" customFormat="1">
      <c r="A163" s="2926"/>
      <c r="D163" s="2927"/>
      <c r="K163" s="948"/>
      <c r="L163" s="948"/>
    </row>
    <row r="164" spans="1:12" s="2730" customFormat="1">
      <c r="A164" s="2926"/>
      <c r="D164" s="2927"/>
      <c r="K164" s="948"/>
      <c r="L164" s="948"/>
    </row>
    <row r="165" spans="1:12" s="2730" customFormat="1">
      <c r="A165" s="2926"/>
      <c r="D165" s="2927"/>
      <c r="K165" s="948"/>
      <c r="L165" s="948"/>
    </row>
    <row r="166" spans="1:12" s="2730" customFormat="1">
      <c r="A166" s="2926"/>
      <c r="D166" s="2927"/>
      <c r="K166" s="948"/>
      <c r="L166" s="948"/>
    </row>
    <row r="167" spans="1:12" s="2730" customFormat="1">
      <c r="A167" s="2926"/>
      <c r="D167" s="2927"/>
      <c r="K167" s="948"/>
      <c r="L167" s="948"/>
    </row>
    <row r="168" spans="1:12" s="2730" customFormat="1">
      <c r="A168" s="2926"/>
      <c r="D168" s="2927"/>
      <c r="K168" s="948"/>
      <c r="L168" s="948"/>
    </row>
    <row r="169" spans="1:12" s="2730" customFormat="1">
      <c r="A169" s="2926"/>
      <c r="D169" s="2927"/>
      <c r="K169" s="948"/>
      <c r="L169" s="948"/>
    </row>
    <row r="170" spans="1:12" s="2730" customFormat="1">
      <c r="A170" s="2926"/>
      <c r="D170" s="2927"/>
      <c r="K170" s="948"/>
      <c r="L170" s="948"/>
    </row>
    <row r="171" spans="1:12" s="2730" customFormat="1">
      <c r="A171" s="2926"/>
      <c r="D171" s="2927"/>
      <c r="K171" s="948"/>
      <c r="L171" s="948"/>
    </row>
    <row r="172" spans="1:12" s="2730" customFormat="1">
      <c r="A172" s="2926"/>
      <c r="D172" s="2927"/>
      <c r="K172" s="948"/>
      <c r="L172" s="948"/>
    </row>
    <row r="173" spans="1:12" s="2730" customFormat="1">
      <c r="A173" s="2926"/>
      <c r="D173" s="2927"/>
      <c r="K173" s="948"/>
      <c r="L173" s="948"/>
    </row>
    <row r="174" spans="1:12" s="2730" customFormat="1">
      <c r="A174" s="2926"/>
      <c r="D174" s="2927"/>
      <c r="K174" s="948"/>
      <c r="L174" s="94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8"/>
    <col min="30" max="16384" width="9" style="2658"/>
  </cols>
  <sheetData>
    <row r="1" spans="1:29" s="2656" customFormat="1" ht="18">
      <c r="A1" s="3522" t="s">
        <v>716</v>
      </c>
      <c r="B1" s="3523"/>
      <c r="C1" s="3523"/>
      <c r="D1" s="3523"/>
      <c r="E1" s="3523"/>
      <c r="F1" s="3523"/>
      <c r="G1" s="3523"/>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717</v>
      </c>
      <c r="D2" s="2669"/>
      <c r="E2" s="2666"/>
      <c r="F2" s="2670"/>
      <c r="G2" s="2668" t="s">
        <v>718</v>
      </c>
      <c r="H2" s="2248"/>
      <c r="I2" s="2248"/>
      <c r="J2" s="2248"/>
      <c r="K2" s="2248"/>
      <c r="L2" s="2248"/>
      <c r="M2" s="2248"/>
      <c r="N2" s="2248"/>
      <c r="O2" s="2248"/>
      <c r="P2" s="2248"/>
      <c r="Q2" s="2248"/>
      <c r="R2" s="2248"/>
    </row>
    <row r="3" spans="1:29" ht="25.5">
      <c r="A3" s="2671" t="s">
        <v>719</v>
      </c>
      <c r="B3" s="2672" t="s">
        <v>720</v>
      </c>
      <c r="C3" s="2673"/>
      <c r="D3" s="2674"/>
      <c r="E3" s="2675" t="s">
        <v>719</v>
      </c>
      <c r="F3" s="2676" t="s">
        <v>721</v>
      </c>
      <c r="G3" s="2677" t="s">
        <v>722</v>
      </c>
      <c r="H3" s="2248"/>
      <c r="I3" s="2248"/>
      <c r="J3" s="2248"/>
      <c r="K3" s="2248"/>
      <c r="L3" s="2248"/>
      <c r="M3" s="2248"/>
      <c r="N3" s="2248"/>
      <c r="O3" s="2248"/>
      <c r="P3" s="2248"/>
      <c r="Q3" s="2248"/>
      <c r="R3" s="2248"/>
    </row>
    <row r="4" spans="1:29" ht="36">
      <c r="A4" s="2675"/>
      <c r="B4" s="2013" t="s">
        <v>723</v>
      </c>
      <c r="C4" s="2678"/>
      <c r="D4" s="2674"/>
      <c r="E4" s="2679"/>
      <c r="F4" s="2241" t="s">
        <v>724</v>
      </c>
      <c r="G4" s="2680" t="s">
        <v>725</v>
      </c>
      <c r="H4" s="2248"/>
      <c r="I4" s="2248"/>
      <c r="J4" s="2248"/>
      <c r="K4" s="2248"/>
      <c r="L4" s="2248"/>
      <c r="M4" s="2248"/>
      <c r="N4" s="2248"/>
      <c r="O4" s="2248"/>
      <c r="P4" s="2248"/>
      <c r="Q4" s="2248"/>
      <c r="R4" s="2248"/>
    </row>
    <row r="5" spans="1:29" ht="24">
      <c r="A5" s="2675"/>
      <c r="B5" s="2013" t="s">
        <v>726</v>
      </c>
      <c r="C5" s="2678"/>
      <c r="D5" s="2674"/>
      <c r="E5" s="2679"/>
      <c r="F5" s="2013" t="s">
        <v>550</v>
      </c>
      <c r="G5" s="2680" t="s">
        <v>727</v>
      </c>
      <c r="H5" s="2248"/>
      <c r="I5" s="2248"/>
      <c r="J5" s="2248"/>
      <c r="K5" s="2248"/>
      <c r="L5" s="2248"/>
      <c r="M5" s="2248"/>
      <c r="N5" s="2248"/>
      <c r="O5" s="2248"/>
      <c r="P5" s="2248"/>
      <c r="Q5" s="2248"/>
      <c r="R5" s="2248"/>
    </row>
    <row r="6" spans="1:29">
      <c r="A6" s="2675"/>
      <c r="B6" s="2013" t="s">
        <v>724</v>
      </c>
      <c r="C6" s="2680"/>
      <c r="D6" s="2674"/>
      <c r="E6" s="2679"/>
      <c r="F6" s="2013" t="s">
        <v>728</v>
      </c>
      <c r="G6" s="2680" t="s">
        <v>729</v>
      </c>
      <c r="H6" s="2248"/>
      <c r="I6" s="2248"/>
      <c r="J6" s="2248"/>
      <c r="K6" s="2248"/>
      <c r="L6" s="2248"/>
      <c r="M6" s="2248"/>
      <c r="N6" s="2248"/>
      <c r="O6" s="2248"/>
      <c r="P6" s="2248"/>
      <c r="Q6" s="2248"/>
      <c r="R6" s="2248"/>
    </row>
    <row r="7" spans="1:29" ht="24">
      <c r="A7" s="2675"/>
      <c r="B7" s="2013" t="s">
        <v>550</v>
      </c>
      <c r="C7" s="2680"/>
      <c r="D7" s="2681"/>
      <c r="E7" s="2682"/>
      <c r="F7" s="2683" t="s">
        <v>730</v>
      </c>
      <c r="G7" s="2684" t="s">
        <v>731</v>
      </c>
      <c r="H7" s="2248"/>
      <c r="I7" s="2248"/>
      <c r="J7" s="2248"/>
      <c r="K7" s="2248"/>
      <c r="L7" s="2248"/>
      <c r="M7" s="2248"/>
      <c r="N7" s="2248"/>
      <c r="O7" s="2248"/>
      <c r="P7" s="2248"/>
      <c r="Q7" s="2248"/>
      <c r="R7" s="2248"/>
    </row>
    <row r="8" spans="1:29">
      <c r="A8" s="2675"/>
      <c r="B8" s="2013" t="s">
        <v>728</v>
      </c>
      <c r="C8" s="2680"/>
      <c r="D8" s="2681"/>
      <c r="E8" s="2681"/>
      <c r="F8" s="2135"/>
      <c r="G8" s="2135"/>
      <c r="H8" s="2248"/>
      <c r="I8" s="2248"/>
      <c r="J8" s="2248"/>
      <c r="K8" s="2248"/>
      <c r="L8" s="2248"/>
      <c r="M8" s="2248"/>
      <c r="N8" s="2248"/>
      <c r="O8" s="2248"/>
      <c r="P8" s="2248"/>
      <c r="Q8" s="2248"/>
      <c r="R8" s="2248"/>
    </row>
    <row r="9" spans="1:29">
      <c r="A9" s="2675"/>
      <c r="B9" s="2013" t="s">
        <v>732</v>
      </c>
      <c r="C9" s="2678"/>
      <c r="D9" s="2674"/>
      <c r="E9" s="2681"/>
      <c r="F9" s="2135"/>
      <c r="G9" s="2135"/>
      <c r="H9" s="2248"/>
      <c r="I9" s="2248"/>
      <c r="J9" s="2248"/>
      <c r="K9" s="2248"/>
      <c r="L9" s="2248"/>
      <c r="M9" s="2248"/>
      <c r="N9" s="2248"/>
      <c r="O9" s="2248"/>
      <c r="P9" s="2248"/>
      <c r="Q9" s="2248"/>
      <c r="R9" s="2248"/>
    </row>
    <row r="10" spans="1:29" s="2657" customFormat="1">
      <c r="A10" s="2685"/>
      <c r="B10" s="2686" t="s">
        <v>733</v>
      </c>
      <c r="C10" s="2687"/>
      <c r="D10" s="2674"/>
      <c r="E10" s="2674"/>
      <c r="F10" s="2135"/>
      <c r="G10" s="2135"/>
      <c r="H10" s="2688"/>
      <c r="I10" s="2718"/>
      <c r="J10" s="2719"/>
      <c r="K10" s="2688"/>
      <c r="L10" s="2718"/>
      <c r="M10" s="2719"/>
      <c r="N10" s="2688"/>
      <c r="O10" s="2718"/>
      <c r="P10" s="2719"/>
      <c r="Q10" s="2688"/>
      <c r="R10" s="2718"/>
      <c r="S10" s="2248"/>
      <c r="T10" s="2248"/>
      <c r="U10" s="2248"/>
      <c r="V10" s="2248"/>
      <c r="W10" s="2248"/>
      <c r="X10" s="2248"/>
      <c r="Y10" s="2248"/>
      <c r="Z10" s="2248"/>
      <c r="AA10" s="2248"/>
      <c r="AB10" s="2248"/>
      <c r="AC10" s="224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8"/>
      <c r="T11" s="2248"/>
      <c r="U11" s="2248"/>
      <c r="V11" s="2248"/>
      <c r="W11" s="2248"/>
      <c r="X11" s="2248"/>
      <c r="Y11" s="2248"/>
      <c r="Z11" s="2248"/>
      <c r="AA11" s="2248"/>
      <c r="AB11" s="2248"/>
      <c r="AC11" s="224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734</v>
      </c>
      <c r="B13" s="2691"/>
      <c r="C13" s="2691"/>
      <c r="D13" s="2689"/>
      <c r="E13" s="2691"/>
      <c r="F13" s="2691"/>
      <c r="G13" s="2691"/>
    </row>
    <row r="14" spans="1:29">
      <c r="A14" s="2694"/>
      <c r="B14" s="2694"/>
      <c r="C14" s="2695" t="s">
        <v>717</v>
      </c>
      <c r="D14" s="2674"/>
      <c r="E14" s="2696"/>
      <c r="F14" s="2696"/>
      <c r="G14" s="2668" t="s">
        <v>718</v>
      </c>
    </row>
    <row r="15" spans="1:29" ht="25.5">
      <c r="A15" s="2697" t="s">
        <v>719</v>
      </c>
      <c r="B15" s="2698" t="s">
        <v>720</v>
      </c>
      <c r="C15" s="2699">
        <f>C3</f>
        <v>0</v>
      </c>
      <c r="D15" s="2674"/>
      <c r="E15" s="2700" t="s">
        <v>719</v>
      </c>
      <c r="F15" s="2698" t="s">
        <v>721</v>
      </c>
      <c r="G15" s="2701" t="str">
        <f>G3</f>
        <v>估价对象位于XX开发区，园区建设成熟度XX，产业集聚程度XX</v>
      </c>
    </row>
    <row r="16" spans="1:29" ht="38.25">
      <c r="A16" s="2702"/>
      <c r="B16" s="2703" t="s">
        <v>723</v>
      </c>
      <c r="C16" s="2704">
        <f>C4</f>
        <v>0</v>
      </c>
      <c r="D16" s="2674"/>
      <c r="E16" s="2705"/>
      <c r="F16" s="2706" t="s">
        <v>724</v>
      </c>
      <c r="G16" s="2707" t="str">
        <f>G4</f>
        <v>估价对象周边道路状况、公共交通通达情况、停车便捷程度，综合评价交通便捷度较好</v>
      </c>
    </row>
    <row r="17" spans="1:18">
      <c r="A17" s="2702"/>
      <c r="B17" s="2703" t="s">
        <v>726</v>
      </c>
      <c r="C17" s="2704">
        <f>C5</f>
        <v>0</v>
      </c>
      <c r="D17" s="2681"/>
      <c r="E17" s="2705"/>
      <c r="F17" s="2706" t="s">
        <v>735</v>
      </c>
      <c r="G17" s="2708"/>
    </row>
    <row r="18" spans="1:18" ht="25.5">
      <c r="A18" s="2702"/>
      <c r="B18" s="2706" t="s">
        <v>724</v>
      </c>
      <c r="C18" s="2707">
        <f>C6</f>
        <v>0</v>
      </c>
      <c r="D18" s="2681"/>
      <c r="E18" s="2705"/>
      <c r="F18" s="2706" t="s">
        <v>730</v>
      </c>
      <c r="G18" s="2707" t="str">
        <f>G7</f>
        <v>该园区内是否有污染型企业，绿化情况，卫生条件，整体环境状况判断</v>
      </c>
    </row>
    <row r="19" spans="1:18" ht="25.5">
      <c r="A19" s="2702"/>
      <c r="B19" s="2706" t="s">
        <v>735</v>
      </c>
      <c r="C19" s="2708"/>
      <c r="D19" s="2674"/>
      <c r="E19" s="2705"/>
      <c r="F19" s="2013" t="s">
        <v>550</v>
      </c>
      <c r="G19" s="2707" t="str">
        <f>G5</f>
        <v>估价对象所在区域公共配套设施齐备情况</v>
      </c>
    </row>
    <row r="20" spans="1:18">
      <c r="A20" s="2702"/>
      <c r="B20" s="2706" t="s">
        <v>736</v>
      </c>
      <c r="C20" s="2704">
        <f>C9</f>
        <v>0</v>
      </c>
      <c r="D20" s="2681"/>
      <c r="E20" s="2705"/>
      <c r="F20" s="2013" t="s">
        <v>728</v>
      </c>
      <c r="G20" s="2707" t="str">
        <f>G6</f>
        <v>估价对象所在区域基础设施水平</v>
      </c>
    </row>
    <row r="21" spans="1:18">
      <c r="A21" s="2702"/>
      <c r="B21" s="2013" t="s">
        <v>550</v>
      </c>
      <c r="C21" s="2707">
        <f>C7</f>
        <v>0</v>
      </c>
      <c r="D21" s="2674"/>
      <c r="E21" s="2705"/>
      <c r="F21" s="2706" t="s">
        <v>737</v>
      </c>
      <c r="G21" s="2709"/>
    </row>
    <row r="22" spans="1:18" ht="13.5" customHeight="1">
      <c r="A22" s="2702"/>
      <c r="B22" s="2013" t="s">
        <v>728</v>
      </c>
      <c r="C22" s="2707">
        <f>C8</f>
        <v>0</v>
      </c>
      <c r="D22" s="2674"/>
      <c r="E22" s="2705"/>
      <c r="F22" s="2706" t="s">
        <v>733</v>
      </c>
      <c r="G22" s="2708"/>
    </row>
    <row r="23" spans="1:18" s="2248" customFormat="1">
      <c r="A23" s="2702"/>
      <c r="B23" s="2706" t="s">
        <v>737</v>
      </c>
      <c r="C23" s="2709"/>
      <c r="D23" s="2635"/>
      <c r="E23" s="2710"/>
      <c r="F23" s="2711" t="s">
        <v>499</v>
      </c>
      <c r="G23" s="2712"/>
      <c r="H23" s="2662"/>
      <c r="I23" s="2663"/>
      <c r="J23" s="2662"/>
      <c r="K23" s="2662"/>
      <c r="L23" s="2663"/>
      <c r="M23" s="2662"/>
      <c r="N23" s="2662"/>
      <c r="O23" s="2663"/>
      <c r="P23" s="2662"/>
      <c r="Q23" s="2662"/>
      <c r="R23" s="2664"/>
    </row>
    <row r="24" spans="1:18" s="2248" customFormat="1">
      <c r="A24" s="2713"/>
      <c r="B24" s="2711" t="s">
        <v>733</v>
      </c>
      <c r="C24" s="2714">
        <f>C10</f>
        <v>0</v>
      </c>
      <c r="D24" s="2635"/>
      <c r="E24" s="2715"/>
      <c r="F24" s="2715"/>
      <c r="G24" s="2716"/>
      <c r="H24" s="2662"/>
      <c r="I24" s="2663"/>
      <c r="J24" s="2662"/>
      <c r="K24" s="2662"/>
      <c r="L24" s="2663"/>
      <c r="M24" s="2662"/>
      <c r="N24" s="2662"/>
      <c r="O24" s="2663"/>
      <c r="P24" s="2662"/>
      <c r="Q24" s="2662"/>
      <c r="R24" s="2664"/>
    </row>
    <row r="25" spans="1:18" s="2248" customFormat="1">
      <c r="B25" s="2662"/>
      <c r="C25" s="2662"/>
      <c r="D25" s="2662"/>
      <c r="H25" s="2662"/>
      <c r="I25" s="2663"/>
      <c r="J25" s="2662"/>
      <c r="K25" s="2662"/>
      <c r="L25" s="2663"/>
      <c r="M25" s="2662"/>
      <c r="N25" s="2662"/>
      <c r="O25" s="2663"/>
      <c r="P25" s="2662"/>
      <c r="Q25" s="2662"/>
      <c r="R25" s="2664"/>
    </row>
    <row r="26" spans="1:18" s="2248" customFormat="1">
      <c r="B26" s="2662"/>
      <c r="C26" s="2662"/>
      <c r="D26" s="2662"/>
      <c r="H26" s="2662"/>
      <c r="I26" s="2663"/>
      <c r="J26" s="2662"/>
      <c r="K26" s="2662"/>
      <c r="L26" s="2663"/>
      <c r="M26" s="2662"/>
      <c r="N26" s="2662"/>
      <c r="O26" s="2663"/>
      <c r="P26" s="2662"/>
      <c r="Q26" s="2662"/>
      <c r="R26" s="2664"/>
    </row>
    <row r="27" spans="1:18" s="2248" customFormat="1">
      <c r="B27" s="2662"/>
      <c r="C27" s="2662"/>
      <c r="D27" s="2662"/>
      <c r="H27" s="2662"/>
      <c r="I27" s="2663"/>
      <c r="J27" s="2662"/>
      <c r="K27" s="2662"/>
      <c r="L27" s="2663"/>
      <c r="M27" s="2662"/>
      <c r="N27" s="2662"/>
      <c r="O27" s="2663"/>
      <c r="P27" s="2662"/>
      <c r="Q27" s="2662"/>
      <c r="R27" s="2664"/>
    </row>
    <row r="28" spans="1:18" s="2248" customFormat="1">
      <c r="B28" s="2662"/>
      <c r="C28" s="2662"/>
      <c r="D28" s="2662"/>
      <c r="H28" s="2662"/>
      <c r="I28" s="2663"/>
      <c r="J28" s="2662"/>
      <c r="K28" s="2662"/>
      <c r="L28" s="2663"/>
      <c r="M28" s="2662"/>
      <c r="N28" s="2662"/>
      <c r="O28" s="2663"/>
      <c r="P28" s="2662"/>
      <c r="Q28" s="2662"/>
      <c r="R28" s="2664"/>
    </row>
    <row r="29" spans="1:18" s="2248" customFormat="1">
      <c r="B29" s="2662"/>
      <c r="C29" s="2662"/>
      <c r="D29" s="2662"/>
      <c r="H29" s="2662"/>
      <c r="I29" s="2663"/>
      <c r="J29" s="2662"/>
      <c r="K29" s="2662"/>
      <c r="L29" s="2663"/>
      <c r="M29" s="2662"/>
      <c r="N29" s="2662"/>
      <c r="O29" s="2663"/>
      <c r="P29" s="2662"/>
      <c r="Q29" s="2662"/>
      <c r="R29" s="2664"/>
    </row>
    <row r="30" spans="1:18" s="2248" customFormat="1">
      <c r="B30" s="2662"/>
      <c r="C30" s="2662"/>
      <c r="D30" s="2662"/>
      <c r="H30" s="2662"/>
      <c r="I30" s="2663"/>
      <c r="J30" s="2662"/>
      <c r="K30" s="2662"/>
      <c r="L30" s="2663"/>
      <c r="M30" s="2662"/>
      <c r="N30" s="2662"/>
      <c r="O30" s="2663"/>
      <c r="P30" s="2662"/>
      <c r="Q30" s="2662"/>
      <c r="R30" s="2664"/>
    </row>
    <row r="31" spans="1:18" s="2248" customFormat="1">
      <c r="B31" s="2662"/>
      <c r="C31" s="2662"/>
      <c r="D31" s="2662"/>
      <c r="H31" s="2662"/>
      <c r="I31" s="2663"/>
      <c r="J31" s="2662"/>
      <c r="K31" s="2662"/>
      <c r="L31" s="2663"/>
      <c r="M31" s="2662"/>
      <c r="N31" s="2662"/>
      <c r="O31" s="2663"/>
      <c r="P31" s="2662"/>
      <c r="Q31" s="2662"/>
      <c r="R31" s="2664"/>
    </row>
    <row r="32" spans="1:18" s="2248" customFormat="1">
      <c r="B32" s="2662"/>
      <c r="C32" s="2662"/>
      <c r="D32" s="2662"/>
      <c r="H32" s="2662"/>
      <c r="I32" s="2663"/>
      <c r="J32" s="2662"/>
      <c r="K32" s="2662"/>
      <c r="L32" s="2663"/>
      <c r="M32" s="2662"/>
      <c r="N32" s="2662"/>
      <c r="O32" s="2663"/>
      <c r="P32" s="2662"/>
      <c r="Q32" s="2662"/>
      <c r="R32" s="2664"/>
    </row>
    <row r="33" spans="2:18" s="2248" customFormat="1">
      <c r="B33" s="2662"/>
      <c r="C33" s="2662"/>
      <c r="D33" s="2662"/>
      <c r="H33" s="2662"/>
      <c r="I33" s="2663"/>
      <c r="J33" s="2662"/>
      <c r="K33" s="2662"/>
      <c r="L33" s="2663"/>
      <c r="M33" s="2662"/>
      <c r="N33" s="2662"/>
      <c r="O33" s="2663"/>
      <c r="P33" s="2662"/>
      <c r="Q33" s="2662"/>
      <c r="R33" s="2664"/>
    </row>
    <row r="34" spans="2:18" s="2248" customFormat="1">
      <c r="B34" s="2662"/>
      <c r="C34" s="2662"/>
      <c r="D34" s="2662"/>
      <c r="H34" s="2662"/>
      <c r="I34" s="2663"/>
      <c r="J34" s="2662"/>
      <c r="K34" s="2662"/>
      <c r="L34" s="2663"/>
      <c r="M34" s="2662"/>
      <c r="N34" s="2662"/>
      <c r="O34" s="2663"/>
      <c r="P34" s="2662"/>
      <c r="Q34" s="2662"/>
      <c r="R34" s="2664"/>
    </row>
    <row r="35" spans="2:18" s="2248" customFormat="1">
      <c r="B35" s="2662"/>
      <c r="C35" s="2662"/>
      <c r="D35" s="2662"/>
      <c r="H35" s="2662"/>
      <c r="I35" s="2663"/>
      <c r="J35" s="2662"/>
      <c r="K35" s="2662"/>
      <c r="L35" s="2663"/>
      <c r="M35" s="2662"/>
      <c r="N35" s="2662"/>
      <c r="O35" s="2663"/>
      <c r="P35" s="2662"/>
      <c r="Q35" s="2662"/>
      <c r="R35" s="2664"/>
    </row>
    <row r="36" spans="2:18" s="2248" customFormat="1">
      <c r="B36" s="2662"/>
      <c r="C36" s="2662"/>
      <c r="D36" s="2662"/>
      <c r="H36" s="2662"/>
      <c r="I36" s="2663"/>
      <c r="J36" s="2662"/>
      <c r="K36" s="2662"/>
      <c r="L36" s="2663"/>
      <c r="M36" s="2662"/>
      <c r="N36" s="2662"/>
      <c r="O36" s="2663"/>
      <c r="P36" s="2662"/>
      <c r="Q36" s="2662"/>
      <c r="R36" s="2664"/>
    </row>
    <row r="37" spans="2:18" s="2248" customFormat="1">
      <c r="B37" s="2662"/>
      <c r="C37" s="2662"/>
      <c r="D37" s="2662"/>
      <c r="H37" s="2662"/>
      <c r="I37" s="2663"/>
      <c r="J37" s="2662"/>
      <c r="K37" s="2662"/>
      <c r="L37" s="2663"/>
      <c r="M37" s="2662"/>
      <c r="N37" s="2662"/>
      <c r="O37" s="2663"/>
      <c r="P37" s="2662"/>
      <c r="Q37" s="2662"/>
      <c r="R37" s="2664"/>
    </row>
    <row r="38" spans="2:18" s="2248" customFormat="1">
      <c r="B38" s="2662"/>
      <c r="C38" s="2662"/>
      <c r="D38" s="2662"/>
      <c r="E38" s="2662"/>
      <c r="F38" s="2662"/>
      <c r="G38" s="2663"/>
      <c r="H38" s="2662"/>
      <c r="I38" s="2663"/>
      <c r="J38" s="2662"/>
      <c r="K38" s="2662"/>
      <c r="L38" s="2663"/>
      <c r="M38" s="2662"/>
      <c r="N38" s="2662"/>
      <c r="O38" s="2663"/>
      <c r="P38" s="2662"/>
      <c r="Q38" s="2662"/>
      <c r="R38" s="2664"/>
    </row>
    <row r="39" spans="2:18" s="2248" customFormat="1">
      <c r="B39" s="2662"/>
      <c r="C39" s="2662"/>
      <c r="D39" s="2662"/>
      <c r="E39" s="2662"/>
      <c r="F39" s="2662"/>
      <c r="G39" s="2663"/>
      <c r="H39" s="2662"/>
      <c r="I39" s="2663"/>
      <c r="J39" s="2662"/>
      <c r="K39" s="2662"/>
      <c r="L39" s="2663"/>
      <c r="M39" s="2662"/>
      <c r="N39" s="2662"/>
      <c r="O39" s="2663"/>
      <c r="P39" s="2662"/>
      <c r="Q39" s="2662"/>
      <c r="R39" s="2664"/>
    </row>
    <row r="40" spans="2:18" s="2248" customFormat="1">
      <c r="B40" s="2662"/>
      <c r="C40" s="2662"/>
      <c r="D40" s="2662"/>
      <c r="E40" s="2662"/>
      <c r="F40" s="2662"/>
      <c r="G40" s="2663"/>
      <c r="H40" s="2662"/>
      <c r="I40" s="2663"/>
      <c r="J40" s="2662"/>
      <c r="K40" s="2662"/>
      <c r="L40" s="2663"/>
      <c r="M40" s="2662"/>
      <c r="N40" s="2662"/>
      <c r="O40" s="2663"/>
      <c r="P40" s="2662"/>
      <c r="Q40" s="2662"/>
      <c r="R40" s="2664"/>
    </row>
    <row r="41" spans="2:18" s="2248" customFormat="1">
      <c r="B41" s="2662"/>
      <c r="C41" s="2662"/>
      <c r="D41" s="2662"/>
      <c r="E41" s="2662"/>
      <c r="F41" s="2662"/>
      <c r="G41" s="2663"/>
      <c r="H41" s="2662"/>
      <c r="I41" s="2663"/>
      <c r="J41" s="2662"/>
      <c r="K41" s="2662"/>
      <c r="L41" s="2663"/>
      <c r="M41" s="2662"/>
      <c r="N41" s="2662"/>
      <c r="O41" s="2663"/>
      <c r="P41" s="2662"/>
      <c r="Q41" s="2662"/>
      <c r="R41" s="2664"/>
    </row>
    <row r="42" spans="2:18" s="2248" customFormat="1">
      <c r="B42" s="2662"/>
      <c r="C42" s="2662"/>
      <c r="D42" s="2662"/>
      <c r="E42" s="2662"/>
      <c r="F42" s="2662"/>
      <c r="G42" s="2663"/>
      <c r="H42" s="2662"/>
      <c r="I42" s="2663"/>
      <c r="J42" s="2662"/>
      <c r="K42" s="2662"/>
      <c r="L42" s="2663"/>
      <c r="M42" s="2662"/>
      <c r="N42" s="2662"/>
      <c r="O42" s="2663"/>
      <c r="P42" s="2662"/>
      <c r="Q42" s="2662"/>
      <c r="R42" s="2664"/>
    </row>
    <row r="43" spans="2:18" s="2248" customFormat="1">
      <c r="B43" s="2662"/>
      <c r="C43" s="2662"/>
      <c r="D43" s="2662"/>
      <c r="E43" s="2662"/>
      <c r="F43" s="2662"/>
      <c r="G43" s="2663"/>
      <c r="H43" s="2662"/>
      <c r="I43" s="2663"/>
      <c r="J43" s="2662"/>
      <c r="K43" s="2662"/>
      <c r="L43" s="2663"/>
      <c r="M43" s="2662"/>
      <c r="N43" s="2662"/>
      <c r="O43" s="2663"/>
      <c r="P43" s="2662"/>
      <c r="Q43" s="2662"/>
      <c r="R43" s="2664"/>
    </row>
    <row r="44" spans="2:18" s="2248" customFormat="1">
      <c r="B44" s="2662"/>
      <c r="C44" s="2662"/>
      <c r="D44" s="2662"/>
      <c r="E44" s="2662"/>
      <c r="F44" s="2662"/>
      <c r="G44" s="2663"/>
      <c r="H44" s="2662"/>
      <c r="I44" s="2663"/>
      <c r="J44" s="2662"/>
      <c r="K44" s="2662"/>
      <c r="L44" s="2663"/>
      <c r="M44" s="2662"/>
      <c r="N44" s="2662"/>
      <c r="O44" s="2663"/>
      <c r="P44" s="2662"/>
      <c r="Q44" s="2662"/>
      <c r="R44" s="2664"/>
    </row>
    <row r="45" spans="2:18" s="2248" customFormat="1">
      <c r="B45" s="2662"/>
      <c r="C45" s="2662"/>
      <c r="D45" s="2662"/>
      <c r="E45" s="2662"/>
      <c r="F45" s="2662"/>
      <c r="G45" s="2663"/>
      <c r="H45" s="2662"/>
      <c r="I45" s="2663"/>
      <c r="J45" s="2662"/>
      <c r="K45" s="2662"/>
      <c r="L45" s="2663"/>
      <c r="M45" s="2662"/>
      <c r="N45" s="2662"/>
      <c r="O45" s="2663"/>
      <c r="P45" s="2662"/>
      <c r="Q45" s="2662"/>
      <c r="R45" s="2664"/>
    </row>
    <row r="46" spans="2:18" s="2248" customFormat="1">
      <c r="B46" s="2662"/>
      <c r="C46" s="2662"/>
      <c r="D46" s="2662"/>
      <c r="E46" s="2662"/>
      <c r="F46" s="2662"/>
      <c r="G46" s="2663"/>
      <c r="H46" s="2662"/>
      <c r="I46" s="2663"/>
      <c r="J46" s="2662"/>
      <c r="K46" s="2662"/>
      <c r="L46" s="2663"/>
      <c r="M46" s="2662"/>
      <c r="N46" s="2662"/>
      <c r="O46" s="2663"/>
      <c r="P46" s="2662"/>
      <c r="Q46" s="2662"/>
      <c r="R46" s="2664"/>
    </row>
    <row r="47" spans="2:18" s="2248" customFormat="1">
      <c r="B47" s="2662"/>
      <c r="C47" s="2662"/>
      <c r="D47" s="2662"/>
      <c r="E47" s="2662"/>
      <c r="F47" s="2662"/>
      <c r="G47" s="2663"/>
      <c r="H47" s="2662"/>
      <c r="I47" s="2663"/>
      <c r="J47" s="2662"/>
      <c r="K47" s="2662"/>
      <c r="L47" s="2663"/>
      <c r="M47" s="2662"/>
      <c r="N47" s="2662"/>
      <c r="O47" s="2663"/>
      <c r="P47" s="2662"/>
      <c r="Q47" s="2662"/>
      <c r="R47" s="2664"/>
    </row>
    <row r="48" spans="2:18" s="2248" customFormat="1">
      <c r="B48" s="2662"/>
      <c r="C48" s="2662"/>
      <c r="D48" s="2662"/>
      <c r="E48" s="2662"/>
      <c r="F48" s="2662"/>
      <c r="G48" s="2663"/>
      <c r="H48" s="2662"/>
      <c r="I48" s="2663"/>
      <c r="J48" s="2662"/>
      <c r="K48" s="2662"/>
      <c r="L48" s="2663"/>
      <c r="M48" s="2662"/>
      <c r="N48" s="2662"/>
      <c r="O48" s="2663"/>
      <c r="P48" s="2662"/>
      <c r="Q48" s="2662"/>
      <c r="R48" s="2664"/>
    </row>
    <row r="49" spans="2:18" s="2248" customFormat="1">
      <c r="B49" s="2662"/>
      <c r="C49" s="2662"/>
      <c r="D49" s="2662"/>
      <c r="E49" s="2662"/>
      <c r="F49" s="2662"/>
      <c r="G49" s="2663"/>
      <c r="H49" s="2662"/>
      <c r="I49" s="2663"/>
      <c r="J49" s="2662"/>
      <c r="K49" s="2662"/>
      <c r="L49" s="2663"/>
      <c r="M49" s="2662"/>
      <c r="N49" s="2662"/>
      <c r="O49" s="2663"/>
      <c r="P49" s="2662"/>
      <c r="Q49" s="2662"/>
      <c r="R49" s="2664"/>
    </row>
    <row r="50" spans="2:18" s="2248" customFormat="1">
      <c r="B50" s="2662"/>
      <c r="C50" s="2662"/>
      <c r="D50" s="2662"/>
      <c r="E50" s="2662"/>
      <c r="F50" s="2662"/>
      <c r="G50" s="2663"/>
      <c r="H50" s="2662"/>
      <c r="I50" s="2663"/>
      <c r="J50" s="2662"/>
      <c r="K50" s="2662"/>
      <c r="L50" s="2663"/>
      <c r="M50" s="2662"/>
      <c r="N50" s="2662"/>
      <c r="O50" s="2663"/>
      <c r="P50" s="2662"/>
      <c r="Q50" s="2662"/>
      <c r="R50" s="2664"/>
    </row>
    <row r="51" spans="2:18" s="2248" customFormat="1">
      <c r="B51" s="2662"/>
      <c r="C51" s="2662"/>
      <c r="D51" s="2662"/>
      <c r="E51" s="2662"/>
      <c r="F51" s="2662"/>
      <c r="G51" s="2663"/>
      <c r="H51" s="2662"/>
      <c r="I51" s="2663"/>
      <c r="J51" s="2662"/>
      <c r="K51" s="2662"/>
      <c r="L51" s="2663"/>
      <c r="M51" s="2662"/>
      <c r="N51" s="2662"/>
      <c r="O51" s="2663"/>
      <c r="P51" s="2662"/>
      <c r="Q51" s="2662"/>
      <c r="R51" s="2664"/>
    </row>
    <row r="52" spans="2:18" s="2248" customFormat="1">
      <c r="B52" s="2662"/>
      <c r="C52" s="2662"/>
      <c r="D52" s="2662"/>
      <c r="E52" s="2662"/>
      <c r="F52" s="2662"/>
      <c r="G52" s="2663"/>
      <c r="H52" s="2662"/>
      <c r="I52" s="2663"/>
      <c r="J52" s="2662"/>
      <c r="K52" s="2662"/>
      <c r="L52" s="2663"/>
      <c r="M52" s="2662"/>
      <c r="N52" s="2662"/>
      <c r="O52" s="2663"/>
      <c r="P52" s="2662"/>
      <c r="Q52" s="2662"/>
      <c r="R52" s="2664"/>
    </row>
    <row r="53" spans="2:18" s="2248" customFormat="1">
      <c r="B53" s="2662"/>
      <c r="C53" s="2662"/>
      <c r="D53" s="2662"/>
      <c r="E53" s="2662"/>
      <c r="F53" s="2662"/>
      <c r="G53" s="2663"/>
      <c r="H53" s="2662"/>
      <c r="I53" s="2663"/>
      <c r="J53" s="2662"/>
      <c r="K53" s="2662"/>
      <c r="L53" s="2663"/>
      <c r="M53" s="2662"/>
      <c r="N53" s="2662"/>
      <c r="O53" s="2663"/>
      <c r="P53" s="2662"/>
      <c r="Q53" s="2662"/>
      <c r="R53" s="2664"/>
    </row>
    <row r="54" spans="2:18" s="2248" customFormat="1">
      <c r="B54" s="2662"/>
      <c r="C54" s="2662"/>
      <c r="D54" s="2662"/>
      <c r="E54" s="2662"/>
      <c r="F54" s="2662"/>
      <c r="G54" s="2663"/>
      <c r="H54" s="2662"/>
      <c r="I54" s="2663"/>
      <c r="J54" s="2662"/>
      <c r="K54" s="2662"/>
      <c r="L54" s="2663"/>
      <c r="M54" s="2662"/>
      <c r="N54" s="2662"/>
      <c r="O54" s="2663"/>
      <c r="P54" s="2662"/>
      <c r="Q54" s="2662"/>
      <c r="R54" s="2664"/>
    </row>
    <row r="55" spans="2:18" s="2248" customFormat="1">
      <c r="B55" s="2662"/>
      <c r="C55" s="2662"/>
      <c r="D55" s="2662"/>
      <c r="E55" s="2662"/>
      <c r="F55" s="2662"/>
      <c r="G55" s="2663"/>
      <c r="H55" s="2662"/>
      <c r="I55" s="2663"/>
      <c r="J55" s="2662"/>
      <c r="K55" s="2662"/>
      <c r="L55" s="2663"/>
      <c r="M55" s="2662"/>
      <c r="N55" s="2662"/>
      <c r="O55" s="2663"/>
      <c r="P55" s="2662"/>
      <c r="Q55" s="2662"/>
      <c r="R55" s="2664"/>
    </row>
    <row r="56" spans="2:18" s="2248" customFormat="1">
      <c r="B56" s="2662"/>
      <c r="C56" s="2662"/>
      <c r="D56" s="2662"/>
      <c r="E56" s="2662"/>
      <c r="F56" s="2662"/>
      <c r="G56" s="2663"/>
      <c r="H56" s="2662"/>
      <c r="I56" s="2663"/>
      <c r="J56" s="2662"/>
      <c r="K56" s="2662"/>
      <c r="L56" s="2663"/>
      <c r="M56" s="2662"/>
      <c r="N56" s="2662"/>
      <c r="O56" s="2663"/>
      <c r="P56" s="2662"/>
      <c r="Q56" s="2662"/>
      <c r="R56" s="2664"/>
    </row>
    <row r="57" spans="2:18" s="2248" customFormat="1">
      <c r="B57" s="2662"/>
      <c r="C57" s="2662"/>
      <c r="D57" s="2662"/>
      <c r="E57" s="2662"/>
      <c r="F57" s="2662"/>
      <c r="G57" s="2663"/>
      <c r="H57" s="2662"/>
      <c r="I57" s="2663"/>
      <c r="J57" s="2662"/>
      <c r="K57" s="2662"/>
      <c r="L57" s="2663"/>
      <c r="M57" s="2662"/>
      <c r="N57" s="2662"/>
      <c r="O57" s="2663"/>
      <c r="P57" s="2662"/>
      <c r="Q57" s="2662"/>
      <c r="R57" s="2664"/>
    </row>
    <row r="58" spans="2:18" s="2248" customFormat="1">
      <c r="B58" s="2662"/>
      <c r="C58" s="2662"/>
      <c r="D58" s="2662"/>
      <c r="E58" s="2662"/>
      <c r="F58" s="2662"/>
      <c r="G58" s="2663"/>
      <c r="H58" s="2662"/>
      <c r="I58" s="2663"/>
      <c r="J58" s="2662"/>
      <c r="K58" s="2662"/>
      <c r="L58" s="2663"/>
      <c r="M58" s="2662"/>
      <c r="N58" s="2662"/>
      <c r="O58" s="2663"/>
      <c r="P58" s="2662"/>
      <c r="Q58" s="2662"/>
      <c r="R58" s="2664"/>
    </row>
    <row r="59" spans="2:18" s="2248" customFormat="1">
      <c r="B59" s="2662"/>
      <c r="C59" s="2662"/>
      <c r="D59" s="2662"/>
      <c r="E59" s="2662"/>
      <c r="F59" s="2662"/>
      <c r="G59" s="2663"/>
      <c r="H59" s="2662"/>
      <c r="I59" s="2663"/>
      <c r="J59" s="2662"/>
      <c r="K59" s="2662"/>
      <c r="L59" s="2663"/>
      <c r="M59" s="2662"/>
      <c r="N59" s="2662"/>
      <c r="O59" s="2663"/>
      <c r="P59" s="2662"/>
      <c r="Q59" s="2662"/>
      <c r="R59" s="2664"/>
    </row>
    <row r="60" spans="2:18" s="2248" customFormat="1">
      <c r="B60" s="2662"/>
      <c r="C60" s="2662"/>
      <c r="D60" s="2662"/>
      <c r="E60" s="2662"/>
      <c r="F60" s="2662"/>
      <c r="G60" s="2663"/>
      <c r="H60" s="2662"/>
      <c r="I60" s="2663"/>
      <c r="J60" s="2662"/>
      <c r="K60" s="2662"/>
      <c r="L60" s="2663"/>
      <c r="M60" s="2662"/>
      <c r="N60" s="2662"/>
      <c r="O60" s="2663"/>
      <c r="P60" s="2662"/>
      <c r="Q60" s="2662"/>
      <c r="R60" s="2664"/>
    </row>
    <row r="61" spans="2:18" s="2248" customFormat="1">
      <c r="B61" s="2662"/>
      <c r="C61" s="2662"/>
      <c r="D61" s="2662"/>
      <c r="E61" s="2662"/>
      <c r="F61" s="2662"/>
      <c r="G61" s="2663"/>
      <c r="H61" s="2662"/>
      <c r="I61" s="2663"/>
      <c r="J61" s="2662"/>
      <c r="K61" s="2662"/>
      <c r="L61" s="2663"/>
      <c r="M61" s="2662"/>
      <c r="N61" s="2662"/>
      <c r="O61" s="2663"/>
      <c r="P61" s="2662"/>
      <c r="Q61" s="2662"/>
      <c r="R61" s="2664"/>
    </row>
    <row r="62" spans="2:18" s="2248" customFormat="1">
      <c r="B62" s="2662"/>
      <c r="C62" s="2662"/>
      <c r="D62" s="2662"/>
      <c r="E62" s="2662"/>
      <c r="F62" s="2662"/>
      <c r="G62" s="2663"/>
      <c r="H62" s="2662"/>
      <c r="I62" s="2663"/>
      <c r="J62" s="2662"/>
      <c r="K62" s="2662"/>
      <c r="L62" s="2663"/>
      <c r="M62" s="2662"/>
      <c r="N62" s="2662"/>
      <c r="O62" s="2663"/>
      <c r="P62" s="2662"/>
      <c r="Q62" s="2662"/>
      <c r="R62" s="2664"/>
    </row>
    <row r="63" spans="2:18" s="2248" customFormat="1">
      <c r="B63" s="2662"/>
      <c r="C63" s="2662"/>
      <c r="D63" s="2662"/>
      <c r="E63" s="2662"/>
      <c r="F63" s="2662"/>
      <c r="G63" s="2663"/>
      <c r="H63" s="2662"/>
      <c r="I63" s="2663"/>
      <c r="J63" s="2662"/>
      <c r="K63" s="2662"/>
      <c r="L63" s="2663"/>
      <c r="M63" s="2662"/>
      <c r="N63" s="2662"/>
      <c r="O63" s="2663"/>
      <c r="P63" s="2662"/>
      <c r="Q63" s="2662"/>
      <c r="R63" s="2664"/>
    </row>
    <row r="64" spans="2:18" s="2248" customFormat="1">
      <c r="B64" s="2662"/>
      <c r="C64" s="2662"/>
      <c r="D64" s="2662"/>
      <c r="E64" s="2662"/>
      <c r="F64" s="2662"/>
      <c r="G64" s="2663"/>
      <c r="H64" s="2662"/>
      <c r="I64" s="2663"/>
      <c r="J64" s="2662"/>
      <c r="K64" s="2662"/>
      <c r="L64" s="2663"/>
      <c r="M64" s="2662"/>
      <c r="N64" s="2662"/>
      <c r="O64" s="2663"/>
      <c r="P64" s="2662"/>
      <c r="Q64" s="2662"/>
      <c r="R64" s="2664"/>
    </row>
    <row r="65" spans="2:18" s="2248" customFormat="1">
      <c r="B65" s="2662"/>
      <c r="C65" s="2662"/>
      <c r="D65" s="2662"/>
      <c r="E65" s="2662"/>
      <c r="F65" s="2662"/>
      <c r="G65" s="2663"/>
      <c r="H65" s="2662"/>
      <c r="I65" s="2663"/>
      <c r="J65" s="2662"/>
      <c r="K65" s="2662"/>
      <c r="L65" s="2663"/>
      <c r="M65" s="2662"/>
      <c r="N65" s="2662"/>
      <c r="O65" s="2663"/>
      <c r="P65" s="2662"/>
      <c r="Q65" s="2662"/>
      <c r="R65" s="2664"/>
    </row>
    <row r="66" spans="2:18" s="2248" customFormat="1">
      <c r="B66" s="2662"/>
      <c r="C66" s="2662"/>
      <c r="D66" s="2662"/>
      <c r="E66" s="2662"/>
      <c r="F66" s="2662"/>
      <c r="G66" s="2663"/>
      <c r="H66" s="2662"/>
      <c r="I66" s="2663"/>
      <c r="J66" s="2662"/>
      <c r="K66" s="2662"/>
      <c r="L66" s="2663"/>
      <c r="M66" s="2662"/>
      <c r="N66" s="2662"/>
      <c r="O66" s="2663"/>
      <c r="P66" s="2662"/>
      <c r="Q66" s="2662"/>
      <c r="R66" s="2664"/>
    </row>
    <row r="67" spans="2:18" s="2248" customFormat="1">
      <c r="B67" s="2662"/>
      <c r="C67" s="2662"/>
      <c r="D67" s="2662"/>
      <c r="E67" s="2662"/>
      <c r="F67" s="2662"/>
      <c r="G67" s="2663"/>
      <c r="H67" s="2662"/>
      <c r="I67" s="2663"/>
      <c r="J67" s="2662"/>
      <c r="K67" s="2662"/>
      <c r="L67" s="2663"/>
      <c r="M67" s="2662"/>
      <c r="N67" s="2662"/>
      <c r="O67" s="2663"/>
      <c r="P67" s="2662"/>
      <c r="Q67" s="2662"/>
      <c r="R67" s="2664"/>
    </row>
    <row r="68" spans="2:18" s="2248" customFormat="1">
      <c r="B68" s="2662"/>
      <c r="C68" s="2662"/>
      <c r="D68" s="2662"/>
      <c r="E68" s="2662"/>
      <c r="F68" s="2662"/>
      <c r="G68" s="2663"/>
      <c r="H68" s="2662"/>
      <c r="I68" s="2663"/>
      <c r="J68" s="2662"/>
      <c r="K68" s="2662"/>
      <c r="L68" s="2663"/>
      <c r="M68" s="2662"/>
      <c r="N68" s="2662"/>
      <c r="O68" s="2663"/>
      <c r="P68" s="2662"/>
      <c r="Q68" s="2662"/>
      <c r="R68" s="2664"/>
    </row>
    <row r="69" spans="2:18" s="2248" customFormat="1">
      <c r="B69" s="2662"/>
      <c r="C69" s="2662"/>
      <c r="D69" s="2662"/>
      <c r="E69" s="2662"/>
      <c r="F69" s="2662"/>
      <c r="G69" s="2663"/>
      <c r="H69" s="2662"/>
      <c r="I69" s="2663"/>
      <c r="J69" s="2662"/>
      <c r="K69" s="2662"/>
      <c r="L69" s="2663"/>
      <c r="M69" s="2662"/>
      <c r="N69" s="2662"/>
      <c r="O69" s="2663"/>
      <c r="P69" s="2662"/>
      <c r="Q69" s="2662"/>
      <c r="R69" s="2664"/>
    </row>
    <row r="70" spans="2:18" s="2248" customFormat="1">
      <c r="B70" s="2662"/>
      <c r="C70" s="2662"/>
      <c r="D70" s="2662"/>
      <c r="E70" s="2662"/>
      <c r="F70" s="2662"/>
      <c r="G70" s="2663"/>
      <c r="H70" s="2662"/>
      <c r="I70" s="2663"/>
      <c r="J70" s="2662"/>
      <c r="K70" s="2662"/>
      <c r="L70" s="2663"/>
      <c r="M70" s="2662"/>
      <c r="N70" s="2662"/>
      <c r="O70" s="2663"/>
      <c r="P70" s="2662"/>
      <c r="Q70" s="2662"/>
      <c r="R70" s="2664"/>
    </row>
    <row r="71" spans="2:18" s="2248" customFormat="1">
      <c r="B71" s="2662"/>
      <c r="C71" s="2662"/>
      <c r="D71" s="2662"/>
      <c r="E71" s="2662"/>
      <c r="F71" s="2662"/>
      <c r="G71" s="2663"/>
      <c r="H71" s="2662"/>
      <c r="I71" s="2663"/>
      <c r="J71" s="2662"/>
      <c r="K71" s="2662"/>
      <c r="L71" s="2663"/>
      <c r="M71" s="2662"/>
      <c r="N71" s="2662"/>
      <c r="O71" s="2663"/>
      <c r="P71" s="2662"/>
      <c r="Q71" s="2662"/>
      <c r="R71" s="2664"/>
    </row>
    <row r="72" spans="2:18" s="2248" customFormat="1">
      <c r="B72" s="2662"/>
      <c r="C72" s="2662"/>
      <c r="D72" s="2662"/>
      <c r="E72" s="2662"/>
      <c r="F72" s="2662"/>
      <c r="G72" s="2663"/>
      <c r="H72" s="2662"/>
      <c r="I72" s="2663"/>
      <c r="J72" s="2662"/>
      <c r="K72" s="2662"/>
      <c r="L72" s="2663"/>
      <c r="M72" s="2662"/>
      <c r="N72" s="2662"/>
      <c r="O72" s="2663"/>
      <c r="P72" s="2662"/>
      <c r="Q72" s="2662"/>
      <c r="R72" s="2664"/>
    </row>
    <row r="73" spans="2:18" s="2248" customFormat="1">
      <c r="B73" s="2662"/>
      <c r="C73" s="2662"/>
      <c r="D73" s="2662"/>
      <c r="E73" s="2662"/>
      <c r="F73" s="2662"/>
      <c r="G73" s="2663"/>
      <c r="H73" s="2662"/>
      <c r="I73" s="2663"/>
      <c r="J73" s="2662"/>
      <c r="K73" s="2662"/>
      <c r="L73" s="2663"/>
      <c r="M73" s="2662"/>
      <c r="N73" s="2662"/>
      <c r="O73" s="2663"/>
      <c r="P73" s="2662"/>
      <c r="Q73" s="2662"/>
      <c r="R73" s="2664"/>
    </row>
    <row r="74" spans="2:18" s="2248" customFormat="1">
      <c r="B74" s="2662"/>
      <c r="C74" s="2662"/>
      <c r="D74" s="2662"/>
      <c r="E74" s="2662"/>
      <c r="F74" s="2662"/>
      <c r="G74" s="2663"/>
      <c r="H74" s="2662"/>
      <c r="I74" s="2663"/>
      <c r="J74" s="2662"/>
      <c r="K74" s="2662"/>
      <c r="L74" s="2663"/>
      <c r="M74" s="2662"/>
      <c r="N74" s="2662"/>
      <c r="O74" s="2663"/>
      <c r="P74" s="2662"/>
      <c r="Q74" s="2662"/>
      <c r="R74" s="2664"/>
    </row>
    <row r="75" spans="2:18" s="2248" customFormat="1">
      <c r="B75" s="2662"/>
      <c r="C75" s="2662"/>
      <c r="D75" s="2662"/>
      <c r="E75" s="2662"/>
      <c r="F75" s="2662"/>
      <c r="G75" s="2663"/>
      <c r="H75" s="2662"/>
      <c r="I75" s="2663"/>
      <c r="J75" s="2662"/>
      <c r="K75" s="2662"/>
      <c r="L75" s="2663"/>
      <c r="M75" s="2662"/>
      <c r="N75" s="2662"/>
      <c r="O75" s="2663"/>
      <c r="P75" s="2662"/>
      <c r="Q75" s="2662"/>
      <c r="R75" s="2664"/>
    </row>
    <row r="76" spans="2:18" s="2248" customFormat="1">
      <c r="B76" s="2662"/>
      <c r="C76" s="2662"/>
      <c r="D76" s="2662"/>
      <c r="E76" s="2662"/>
      <c r="F76" s="2662"/>
      <c r="G76" s="2663"/>
      <c r="H76" s="2662"/>
      <c r="I76" s="2663"/>
      <c r="J76" s="2662"/>
      <c r="K76" s="2662"/>
      <c r="L76" s="2663"/>
      <c r="M76" s="2662"/>
      <c r="N76" s="2662"/>
      <c r="O76" s="2663"/>
      <c r="P76" s="2662"/>
      <c r="Q76" s="2662"/>
      <c r="R76" s="2664"/>
    </row>
    <row r="77" spans="2:18" s="2248" customFormat="1">
      <c r="B77" s="2662"/>
      <c r="C77" s="2662"/>
      <c r="D77" s="2662"/>
      <c r="E77" s="2662"/>
      <c r="F77" s="2662"/>
      <c r="G77" s="2663"/>
      <c r="H77" s="2662"/>
      <c r="I77" s="2663"/>
      <c r="J77" s="2662"/>
      <c r="K77" s="2662"/>
      <c r="L77" s="2663"/>
      <c r="M77" s="2662"/>
      <c r="N77" s="2662"/>
      <c r="O77" s="2663"/>
      <c r="P77" s="2662"/>
      <c r="Q77" s="2662"/>
      <c r="R77" s="2664"/>
    </row>
    <row r="78" spans="2:18" s="2248" customFormat="1">
      <c r="B78" s="2662"/>
      <c r="C78" s="2662"/>
      <c r="D78" s="2662"/>
      <c r="E78" s="2662"/>
      <c r="F78" s="2662"/>
      <c r="G78" s="2663"/>
      <c r="H78" s="2662"/>
      <c r="I78" s="2663"/>
      <c r="J78" s="2662"/>
      <c r="K78" s="2662"/>
      <c r="L78" s="2663"/>
      <c r="M78" s="2662"/>
      <c r="N78" s="2662"/>
      <c r="O78" s="2663"/>
      <c r="P78" s="2662"/>
      <c r="Q78" s="2662"/>
      <c r="R78" s="2664"/>
    </row>
    <row r="79" spans="2:18" s="2248" customFormat="1">
      <c r="B79" s="2662"/>
      <c r="C79" s="2662"/>
      <c r="D79" s="2662"/>
      <c r="E79" s="2662"/>
      <c r="F79" s="2662"/>
      <c r="G79" s="2663"/>
      <c r="H79" s="2662"/>
      <c r="I79" s="2663"/>
      <c r="J79" s="2662"/>
      <c r="K79" s="2662"/>
      <c r="L79" s="2663"/>
      <c r="M79" s="2662"/>
      <c r="N79" s="2662"/>
      <c r="O79" s="2663"/>
      <c r="P79" s="2662"/>
      <c r="Q79" s="2662"/>
      <c r="R79" s="2664"/>
    </row>
    <row r="80" spans="2:18" s="2248" customFormat="1">
      <c r="B80" s="2662"/>
      <c r="C80" s="2662"/>
      <c r="D80" s="2662"/>
      <c r="E80" s="2662"/>
      <c r="F80" s="2662"/>
      <c r="G80" s="2663"/>
      <c r="H80" s="2662"/>
      <c r="I80" s="2663"/>
      <c r="J80" s="2662"/>
      <c r="K80" s="2662"/>
      <c r="L80" s="2663"/>
      <c r="M80" s="2662"/>
      <c r="N80" s="2662"/>
      <c r="O80" s="2663"/>
      <c r="P80" s="2662"/>
      <c r="Q80" s="2662"/>
      <c r="R80" s="2664"/>
    </row>
    <row r="81" spans="2:18" s="2248" customFormat="1">
      <c r="B81" s="2662"/>
      <c r="C81" s="2662"/>
      <c r="D81" s="2662"/>
      <c r="E81" s="2662"/>
      <c r="F81" s="2662"/>
      <c r="G81" s="2663"/>
      <c r="H81" s="2662"/>
      <c r="I81" s="2663"/>
      <c r="J81" s="2662"/>
      <c r="K81" s="2662"/>
      <c r="L81" s="2663"/>
      <c r="M81" s="2662"/>
      <c r="N81" s="2662"/>
      <c r="O81" s="2663"/>
      <c r="P81" s="2662"/>
      <c r="Q81" s="2662"/>
      <c r="R81" s="2664"/>
    </row>
    <row r="82" spans="2:18" s="2248" customFormat="1">
      <c r="B82" s="2662"/>
      <c r="C82" s="2662"/>
      <c r="D82" s="2662"/>
      <c r="E82" s="2662"/>
      <c r="F82" s="2662"/>
      <c r="G82" s="2663"/>
      <c r="H82" s="2662"/>
      <c r="I82" s="2663"/>
      <c r="J82" s="2662"/>
      <c r="K82" s="2662"/>
      <c r="L82" s="2663"/>
      <c r="M82" s="2662"/>
      <c r="N82" s="2662"/>
      <c r="O82" s="2663"/>
      <c r="P82" s="2662"/>
      <c r="Q82" s="2662"/>
      <c r="R82" s="2664"/>
    </row>
    <row r="83" spans="2:18" s="2248" customFormat="1">
      <c r="B83" s="2662"/>
      <c r="C83" s="2662"/>
      <c r="D83" s="2662"/>
      <c r="E83" s="2662"/>
      <c r="F83" s="2662"/>
      <c r="G83" s="2663"/>
      <c r="H83" s="2662"/>
      <c r="I83" s="2663"/>
      <c r="J83" s="2662"/>
      <c r="K83" s="2662"/>
      <c r="L83" s="2663"/>
      <c r="M83" s="2662"/>
      <c r="N83" s="2662"/>
      <c r="O83" s="2663"/>
      <c r="P83" s="2662"/>
      <c r="Q83" s="2662"/>
      <c r="R83" s="2664"/>
    </row>
    <row r="84" spans="2:18" s="2248" customFormat="1">
      <c r="B84" s="2662"/>
      <c r="C84" s="2662"/>
      <c r="D84" s="2662"/>
      <c r="E84" s="2662"/>
      <c r="F84" s="2662"/>
      <c r="G84" s="2663"/>
      <c r="H84" s="2662"/>
      <c r="I84" s="2663"/>
      <c r="J84" s="2662"/>
      <c r="K84" s="2662"/>
      <c r="L84" s="2663"/>
      <c r="M84" s="2662"/>
      <c r="N84" s="2662"/>
      <c r="O84" s="2663"/>
      <c r="P84" s="2662"/>
      <c r="Q84" s="2662"/>
      <c r="R84" s="2664"/>
    </row>
    <row r="85" spans="2:18" s="2248" customFormat="1">
      <c r="B85" s="2662"/>
      <c r="C85" s="2662"/>
      <c r="D85" s="2662"/>
      <c r="E85" s="2662"/>
      <c r="F85" s="2662"/>
      <c r="G85" s="2663"/>
      <c r="H85" s="2662"/>
      <c r="I85" s="2663"/>
      <c r="J85" s="2662"/>
      <c r="K85" s="2662"/>
      <c r="L85" s="2663"/>
      <c r="M85" s="2662"/>
      <c r="N85" s="2662"/>
      <c r="O85" s="2663"/>
      <c r="P85" s="2662"/>
      <c r="Q85" s="2662"/>
      <c r="R85" s="2664"/>
    </row>
    <row r="86" spans="2:18" s="2248" customFormat="1">
      <c r="B86" s="2662"/>
      <c r="C86" s="2662"/>
      <c r="D86" s="2662"/>
      <c r="E86" s="2662"/>
      <c r="F86" s="2662"/>
      <c r="G86" s="2663"/>
      <c r="H86" s="2662"/>
      <c r="I86" s="2663"/>
      <c r="J86" s="2662"/>
      <c r="K86" s="2662"/>
      <c r="L86" s="2663"/>
      <c r="M86" s="2662"/>
      <c r="N86" s="2662"/>
      <c r="O86" s="2663"/>
      <c r="P86" s="2662"/>
      <c r="Q86" s="2662"/>
      <c r="R86" s="2664"/>
    </row>
    <row r="87" spans="2:18" s="2248" customFormat="1">
      <c r="B87" s="2662"/>
      <c r="C87" s="2662"/>
      <c r="D87" s="2662"/>
      <c r="E87" s="2662"/>
      <c r="F87" s="2662"/>
      <c r="G87" s="2663"/>
      <c r="H87" s="2662"/>
      <c r="I87" s="2663"/>
      <c r="J87" s="2662"/>
      <c r="K87" s="2662"/>
      <c r="L87" s="2663"/>
      <c r="M87" s="2662"/>
      <c r="N87" s="2662"/>
      <c r="O87" s="2663"/>
      <c r="P87" s="2662"/>
      <c r="Q87" s="2662"/>
      <c r="R87" s="2664"/>
    </row>
    <row r="88" spans="2:18" s="2248" customFormat="1">
      <c r="B88" s="2662"/>
      <c r="C88" s="2662"/>
      <c r="D88" s="2662"/>
      <c r="E88" s="2662"/>
      <c r="F88" s="2662"/>
      <c r="G88" s="2663"/>
      <c r="H88" s="2662"/>
      <c r="I88" s="2663"/>
      <c r="J88" s="2662"/>
      <c r="K88" s="2662"/>
      <c r="L88" s="2663"/>
      <c r="M88" s="2662"/>
      <c r="N88" s="2662"/>
      <c r="O88" s="2663"/>
      <c r="P88" s="2662"/>
      <c r="Q88" s="2662"/>
      <c r="R88" s="2664"/>
    </row>
    <row r="89" spans="2:18" s="2248" customFormat="1">
      <c r="B89" s="2662"/>
      <c r="C89" s="2662"/>
      <c r="D89" s="2662"/>
      <c r="E89" s="2662"/>
      <c r="F89" s="2662"/>
      <c r="G89" s="2663"/>
      <c r="H89" s="2662"/>
      <c r="I89" s="2663"/>
      <c r="J89" s="2662"/>
      <c r="K89" s="2662"/>
      <c r="L89" s="2663"/>
      <c r="M89" s="2662"/>
      <c r="N89" s="2662"/>
      <c r="O89" s="2663"/>
      <c r="P89" s="2662"/>
      <c r="Q89" s="2662"/>
      <c r="R89" s="2664"/>
    </row>
    <row r="90" spans="2:18" s="2248" customFormat="1">
      <c r="B90" s="2662"/>
      <c r="C90" s="2662"/>
      <c r="D90" s="2662"/>
      <c r="E90" s="2662"/>
      <c r="F90" s="2662"/>
      <c r="G90" s="2663"/>
      <c r="H90" s="2662"/>
      <c r="I90" s="2663"/>
      <c r="J90" s="2662"/>
      <c r="K90" s="2662"/>
      <c r="L90" s="2663"/>
      <c r="M90" s="2662"/>
      <c r="N90" s="2662"/>
      <c r="O90" s="2663"/>
      <c r="P90" s="2662"/>
      <c r="Q90" s="2662"/>
      <c r="R90" s="2664"/>
    </row>
    <row r="91" spans="2:18" s="2248" customFormat="1">
      <c r="B91" s="2662"/>
      <c r="C91" s="2662"/>
      <c r="D91" s="2662"/>
      <c r="E91" s="2662"/>
      <c r="F91" s="2662"/>
      <c r="G91" s="2663"/>
      <c r="H91" s="2662"/>
      <c r="I91" s="2663"/>
      <c r="J91" s="2662"/>
      <c r="K91" s="2662"/>
      <c r="L91" s="2663"/>
      <c r="M91" s="2662"/>
      <c r="N91" s="2662"/>
      <c r="O91" s="2663"/>
      <c r="P91" s="2662"/>
      <c r="Q91" s="2662"/>
      <c r="R91" s="2664"/>
    </row>
    <row r="92" spans="2:18" s="2248" customFormat="1">
      <c r="B92" s="2662"/>
      <c r="C92" s="2662"/>
      <c r="D92" s="2662"/>
      <c r="E92" s="2662"/>
      <c r="F92" s="2662"/>
      <c r="G92" s="2663"/>
      <c r="H92" s="2662"/>
      <c r="I92" s="2663"/>
      <c r="J92" s="2662"/>
      <c r="K92" s="2662"/>
      <c r="L92" s="2663"/>
      <c r="M92" s="2662"/>
      <c r="N92" s="2662"/>
      <c r="O92" s="2663"/>
      <c r="P92" s="2662"/>
      <c r="Q92" s="2662"/>
      <c r="R92" s="2664"/>
    </row>
    <row r="93" spans="2:18" s="2248" customFormat="1">
      <c r="B93" s="2662"/>
      <c r="C93" s="2662"/>
      <c r="D93" s="2662"/>
      <c r="E93" s="2662"/>
      <c r="F93" s="2662"/>
      <c r="G93" s="2663"/>
      <c r="H93" s="2662"/>
      <c r="I93" s="2663"/>
      <c r="J93" s="2662"/>
      <c r="K93" s="2662"/>
      <c r="L93" s="2663"/>
      <c r="M93" s="2662"/>
      <c r="N93" s="2662"/>
      <c r="O93" s="2663"/>
      <c r="P93" s="2662"/>
      <c r="Q93" s="2662"/>
      <c r="R93" s="2664"/>
    </row>
    <row r="94" spans="2:18" s="2248" customFormat="1">
      <c r="B94" s="2662"/>
      <c r="C94" s="2662"/>
      <c r="D94" s="2662"/>
      <c r="E94" s="2662"/>
      <c r="F94" s="2662"/>
      <c r="G94" s="2663"/>
      <c r="H94" s="2662"/>
      <c r="I94" s="2663"/>
      <c r="J94" s="2662"/>
      <c r="K94" s="2662"/>
      <c r="L94" s="2663"/>
      <c r="M94" s="2662"/>
      <c r="N94" s="2662"/>
      <c r="O94" s="2663"/>
      <c r="P94" s="2662"/>
      <c r="Q94" s="2662"/>
      <c r="R94" s="2664"/>
    </row>
    <row r="95" spans="2:18" s="2248" customFormat="1">
      <c r="B95" s="2662"/>
      <c r="C95" s="2662"/>
      <c r="D95" s="2662"/>
      <c r="E95" s="2662"/>
      <c r="F95" s="2662"/>
      <c r="G95" s="2663"/>
      <c r="H95" s="2662"/>
      <c r="I95" s="2663"/>
      <c r="J95" s="2662"/>
      <c r="K95" s="2662"/>
      <c r="L95" s="2663"/>
      <c r="M95" s="2662"/>
      <c r="N95" s="2662"/>
      <c r="O95" s="2663"/>
      <c r="P95" s="2662"/>
      <c r="Q95" s="2662"/>
      <c r="R95" s="2664"/>
    </row>
    <row r="96" spans="2:18" s="2248" customFormat="1">
      <c r="B96" s="2662"/>
      <c r="C96" s="2662"/>
      <c r="D96" s="2662"/>
      <c r="E96" s="2662"/>
      <c r="F96" s="2662"/>
      <c r="G96" s="2663"/>
      <c r="H96" s="2662"/>
      <c r="I96" s="2663"/>
      <c r="J96" s="2662"/>
      <c r="K96" s="2662"/>
      <c r="L96" s="2663"/>
      <c r="M96" s="2662"/>
      <c r="N96" s="2662"/>
      <c r="O96" s="2663"/>
      <c r="P96" s="2662"/>
      <c r="Q96" s="2662"/>
      <c r="R96" s="2664"/>
    </row>
    <row r="97" spans="2:18" s="2248" customFormat="1">
      <c r="B97" s="2662"/>
      <c r="C97" s="2662"/>
      <c r="D97" s="2662"/>
      <c r="E97" s="2662"/>
      <c r="F97" s="2662"/>
      <c r="G97" s="2663"/>
      <c r="H97" s="2662"/>
      <c r="I97" s="2663"/>
      <c r="J97" s="2662"/>
      <c r="K97" s="2662"/>
      <c r="L97" s="2663"/>
      <c r="M97" s="2662"/>
      <c r="N97" s="2662"/>
      <c r="O97" s="2663"/>
      <c r="P97" s="2662"/>
      <c r="Q97" s="2662"/>
      <c r="R97" s="2664"/>
    </row>
    <row r="98" spans="2:18" s="2248" customFormat="1">
      <c r="B98" s="2662"/>
      <c r="C98" s="2662"/>
      <c r="D98" s="2662"/>
      <c r="E98" s="2662"/>
      <c r="F98" s="2662"/>
      <c r="G98" s="2663"/>
      <c r="H98" s="2662"/>
      <c r="I98" s="2663"/>
      <c r="J98" s="2662"/>
      <c r="K98" s="2662"/>
      <c r="L98" s="2663"/>
      <c r="M98" s="2662"/>
      <c r="N98" s="2662"/>
      <c r="O98" s="2663"/>
      <c r="P98" s="2662"/>
      <c r="Q98" s="2662"/>
      <c r="R98" s="2664"/>
    </row>
    <row r="99" spans="2:18" s="2248" customFormat="1">
      <c r="B99" s="2662"/>
      <c r="C99" s="2662"/>
      <c r="D99" s="2662"/>
      <c r="E99" s="2662"/>
      <c r="F99" s="2662"/>
      <c r="G99" s="2663"/>
      <c r="H99" s="2662"/>
      <c r="I99" s="2663"/>
      <c r="J99" s="2662"/>
      <c r="K99" s="2662"/>
      <c r="L99" s="2663"/>
      <c r="M99" s="2662"/>
      <c r="N99" s="2662"/>
      <c r="O99" s="2663"/>
      <c r="P99" s="2662"/>
      <c r="Q99" s="2662"/>
      <c r="R99" s="2664"/>
    </row>
    <row r="100" spans="2:18" s="2248" customFormat="1">
      <c r="B100" s="2662"/>
      <c r="C100" s="2662"/>
      <c r="D100" s="2662"/>
      <c r="E100" s="2662"/>
      <c r="F100" s="2662"/>
      <c r="G100" s="2663"/>
      <c r="H100" s="2662"/>
      <c r="I100" s="2663"/>
      <c r="J100" s="2662"/>
      <c r="K100" s="2662"/>
      <c r="L100" s="2663"/>
      <c r="M100" s="2662"/>
      <c r="N100" s="2662"/>
      <c r="O100" s="2663"/>
      <c r="P100" s="2662"/>
      <c r="Q100" s="2662"/>
      <c r="R100" s="2664"/>
    </row>
    <row r="101" spans="2:18" s="2248" customFormat="1">
      <c r="B101" s="2662"/>
      <c r="C101" s="2662"/>
      <c r="D101" s="2662"/>
      <c r="E101" s="2662"/>
      <c r="F101" s="2662"/>
      <c r="G101" s="2663"/>
      <c r="H101" s="2662"/>
      <c r="I101" s="2663"/>
      <c r="J101" s="2662"/>
      <c r="K101" s="2662"/>
      <c r="L101" s="2663"/>
      <c r="M101" s="2662"/>
      <c r="N101" s="2662"/>
      <c r="O101" s="2663"/>
      <c r="P101" s="2662"/>
      <c r="Q101" s="2662"/>
      <c r="R101" s="2664"/>
    </row>
    <row r="102" spans="2:18" s="2248" customFormat="1">
      <c r="B102" s="2662"/>
      <c r="C102" s="2662"/>
      <c r="D102" s="2662"/>
      <c r="E102" s="2662"/>
      <c r="F102" s="2662"/>
      <c r="G102" s="2663"/>
      <c r="H102" s="2662"/>
      <c r="I102" s="2663"/>
      <c r="J102" s="2662"/>
      <c r="K102" s="2662"/>
      <c r="L102" s="2663"/>
      <c r="M102" s="2662"/>
      <c r="N102" s="2662"/>
      <c r="O102" s="2663"/>
      <c r="P102" s="2662"/>
      <c r="Q102" s="2662"/>
      <c r="R102" s="2664"/>
    </row>
    <row r="103" spans="2:18" s="2248" customFormat="1">
      <c r="B103" s="2662"/>
      <c r="C103" s="2662"/>
      <c r="D103" s="2662"/>
      <c r="E103" s="2662"/>
      <c r="F103" s="2662"/>
      <c r="G103" s="2663"/>
      <c r="H103" s="2662"/>
      <c r="I103" s="2663"/>
      <c r="J103" s="2662"/>
      <c r="K103" s="2662"/>
      <c r="L103" s="2663"/>
      <c r="M103" s="2662"/>
      <c r="N103" s="2662"/>
      <c r="O103" s="2663"/>
      <c r="P103" s="2662"/>
      <c r="Q103" s="2662"/>
      <c r="R103" s="2664"/>
    </row>
    <row r="104" spans="2:18" s="2248" customFormat="1">
      <c r="B104" s="2662"/>
      <c r="C104" s="2662"/>
      <c r="D104" s="2662"/>
      <c r="E104" s="2662"/>
      <c r="F104" s="2662"/>
      <c r="G104" s="2663"/>
      <c r="H104" s="2662"/>
      <c r="I104" s="2663"/>
      <c r="J104" s="2662"/>
      <c r="K104" s="2662"/>
      <c r="L104" s="2663"/>
      <c r="M104" s="2662"/>
      <c r="N104" s="2662"/>
      <c r="O104" s="2663"/>
      <c r="P104" s="2662"/>
      <c r="Q104" s="2662"/>
      <c r="R104" s="2664"/>
    </row>
    <row r="105" spans="2:18" s="2248" customFormat="1">
      <c r="B105" s="2662"/>
      <c r="C105" s="2662"/>
      <c r="D105" s="2662"/>
      <c r="E105" s="2662"/>
      <c r="F105" s="2662"/>
      <c r="G105" s="2663"/>
      <c r="H105" s="2662"/>
      <c r="I105" s="2663"/>
      <c r="J105" s="2662"/>
      <c r="K105" s="2662"/>
      <c r="L105" s="2663"/>
      <c r="M105" s="2662"/>
      <c r="N105" s="2662"/>
      <c r="O105" s="2663"/>
      <c r="P105" s="2662"/>
      <c r="Q105" s="2662"/>
      <c r="R105" s="2664"/>
    </row>
    <row r="106" spans="2:18" s="2248" customFormat="1">
      <c r="B106" s="2662"/>
      <c r="C106" s="2662"/>
      <c r="D106" s="2662"/>
      <c r="E106" s="2662"/>
      <c r="F106" s="2662"/>
      <c r="G106" s="2663"/>
      <c r="H106" s="2662"/>
      <c r="I106" s="2663"/>
      <c r="J106" s="2662"/>
      <c r="K106" s="2662"/>
      <c r="L106" s="2663"/>
      <c r="M106" s="2662"/>
      <c r="N106" s="2662"/>
      <c r="O106" s="2663"/>
      <c r="P106" s="2662"/>
      <c r="Q106" s="2662"/>
      <c r="R106" s="2664"/>
    </row>
    <row r="107" spans="2:18" s="2248" customFormat="1">
      <c r="B107" s="2662"/>
      <c r="C107" s="2662"/>
      <c r="D107" s="2662"/>
      <c r="E107" s="2662"/>
      <c r="F107" s="2662"/>
      <c r="G107" s="2663"/>
      <c r="H107" s="2662"/>
      <c r="I107" s="2663"/>
      <c r="J107" s="2662"/>
      <c r="K107" s="2662"/>
      <c r="L107" s="2663"/>
      <c r="M107" s="2662"/>
      <c r="N107" s="2662"/>
      <c r="O107" s="2663"/>
      <c r="P107" s="2662"/>
      <c r="Q107" s="2662"/>
      <c r="R107" s="2664"/>
    </row>
    <row r="108" spans="2:18" s="2248" customFormat="1">
      <c r="B108" s="2662"/>
      <c r="C108" s="2662"/>
      <c r="D108" s="2662"/>
      <c r="E108" s="2662"/>
      <c r="F108" s="2662"/>
      <c r="G108" s="2663"/>
      <c r="H108" s="2662"/>
      <c r="I108" s="2663"/>
      <c r="J108" s="2662"/>
      <c r="K108" s="2662"/>
      <c r="L108" s="2663"/>
      <c r="M108" s="2662"/>
      <c r="N108" s="2662"/>
      <c r="O108" s="2663"/>
      <c r="P108" s="2662"/>
      <c r="Q108" s="2662"/>
      <c r="R108" s="2664"/>
    </row>
    <row r="109" spans="2:18" s="2248" customFormat="1">
      <c r="B109" s="2662"/>
      <c r="C109" s="2662"/>
      <c r="D109" s="2662"/>
      <c r="E109" s="2662"/>
      <c r="F109" s="2662"/>
      <c r="G109" s="2663"/>
      <c r="H109" s="2662"/>
      <c r="I109" s="2663"/>
      <c r="J109" s="2662"/>
      <c r="K109" s="2662"/>
      <c r="L109" s="2663"/>
      <c r="M109" s="2662"/>
      <c r="N109" s="2662"/>
      <c r="O109" s="2663"/>
      <c r="P109" s="2662"/>
      <c r="Q109" s="2662"/>
      <c r="R109" s="2664"/>
    </row>
    <row r="110" spans="2:18" s="2248" customFormat="1">
      <c r="B110" s="2662"/>
      <c r="C110" s="2662"/>
      <c r="D110" s="2662"/>
      <c r="E110" s="2662"/>
      <c r="F110" s="2662"/>
      <c r="G110" s="2663"/>
      <c r="H110" s="2662"/>
      <c r="I110" s="2663"/>
      <c r="J110" s="2662"/>
      <c r="K110" s="2662"/>
      <c r="L110" s="2663"/>
      <c r="M110" s="2662"/>
      <c r="N110" s="2662"/>
      <c r="O110" s="2663"/>
      <c r="P110" s="2662"/>
      <c r="Q110" s="2662"/>
      <c r="R110" s="2664"/>
    </row>
    <row r="111" spans="2:18" s="2248" customFormat="1">
      <c r="B111" s="2662"/>
      <c r="C111" s="2662"/>
      <c r="D111" s="2662"/>
      <c r="E111" s="2662"/>
      <c r="F111" s="2662"/>
      <c r="G111" s="2663"/>
      <c r="H111" s="2662"/>
      <c r="I111" s="2663"/>
      <c r="J111" s="2662"/>
      <c r="K111" s="2662"/>
      <c r="L111" s="2663"/>
      <c r="M111" s="2662"/>
      <c r="N111" s="2662"/>
      <c r="O111" s="2663"/>
      <c r="P111" s="2662"/>
      <c r="Q111" s="2662"/>
      <c r="R111" s="2664"/>
    </row>
    <row r="112" spans="2:18" s="2248" customFormat="1">
      <c r="B112" s="2662"/>
      <c r="C112" s="2662"/>
      <c r="D112" s="2662"/>
      <c r="E112" s="2662"/>
      <c r="F112" s="2662"/>
      <c r="G112" s="2663"/>
      <c r="H112" s="2662"/>
      <c r="I112" s="2663"/>
      <c r="J112" s="2662"/>
      <c r="K112" s="2662"/>
      <c r="L112" s="2663"/>
      <c r="M112" s="2662"/>
      <c r="N112" s="2662"/>
      <c r="O112" s="2663"/>
      <c r="P112" s="2662"/>
      <c r="Q112" s="2662"/>
      <c r="R112" s="2664"/>
    </row>
    <row r="113" spans="2:18" s="2248" customFormat="1">
      <c r="B113" s="2662"/>
      <c r="C113" s="2662"/>
      <c r="D113" s="2662"/>
      <c r="E113" s="2662"/>
      <c r="F113" s="2662"/>
      <c r="G113" s="2663"/>
      <c r="H113" s="2662"/>
      <c r="I113" s="2663"/>
      <c r="J113" s="2662"/>
      <c r="K113" s="2662"/>
      <c r="L113" s="2663"/>
      <c r="M113" s="2662"/>
      <c r="N113" s="2662"/>
      <c r="O113" s="2663"/>
      <c r="P113" s="2662"/>
      <c r="Q113" s="2662"/>
      <c r="R113" s="2664"/>
    </row>
    <row r="114" spans="2:18" s="2248" customFormat="1">
      <c r="B114" s="2662"/>
      <c r="C114" s="2662"/>
      <c r="D114" s="2662"/>
      <c r="E114" s="2662"/>
      <c r="F114" s="2662"/>
      <c r="G114" s="2663"/>
      <c r="H114" s="2662"/>
      <c r="I114" s="2663"/>
      <c r="J114" s="2662"/>
      <c r="K114" s="2662"/>
      <c r="L114" s="2663"/>
      <c r="M114" s="2662"/>
      <c r="N114" s="2662"/>
      <c r="O114" s="2663"/>
      <c r="P114" s="2662"/>
      <c r="Q114" s="2662"/>
      <c r="R114" s="2664"/>
    </row>
    <row r="115" spans="2:18" s="2248" customFormat="1">
      <c r="B115" s="2662"/>
      <c r="C115" s="2662"/>
      <c r="D115" s="2662"/>
      <c r="E115" s="2662"/>
      <c r="F115" s="2662"/>
      <c r="G115" s="2663"/>
      <c r="H115" s="2662"/>
      <c r="I115" s="2663"/>
      <c r="J115" s="2662"/>
      <c r="K115" s="2662"/>
      <c r="L115" s="2663"/>
      <c r="M115" s="2662"/>
      <c r="N115" s="2662"/>
      <c r="O115" s="2663"/>
      <c r="P115" s="2662"/>
      <c r="Q115" s="2662"/>
      <c r="R115" s="2664"/>
    </row>
    <row r="116" spans="2:18" s="2248" customFormat="1">
      <c r="B116" s="2662"/>
      <c r="C116" s="2662"/>
      <c r="D116" s="2662"/>
      <c r="E116" s="2662"/>
      <c r="F116" s="2662"/>
      <c r="G116" s="2663"/>
      <c r="H116" s="2662"/>
      <c r="I116" s="2663"/>
      <c r="J116" s="2662"/>
      <c r="K116" s="2662"/>
      <c r="L116" s="2663"/>
      <c r="M116" s="2662"/>
      <c r="N116" s="2662"/>
      <c r="O116" s="2663"/>
      <c r="P116" s="2662"/>
      <c r="Q116" s="2662"/>
      <c r="R116" s="2664"/>
    </row>
    <row r="117" spans="2:18" s="2248" customFormat="1">
      <c r="B117" s="2662"/>
      <c r="C117" s="2662"/>
      <c r="D117" s="2662"/>
      <c r="E117" s="2662"/>
      <c r="F117" s="2662"/>
      <c r="G117" s="2663"/>
      <c r="H117" s="2662"/>
      <c r="I117" s="2663"/>
      <c r="J117" s="2662"/>
      <c r="K117" s="2662"/>
      <c r="L117" s="2663"/>
      <c r="M117" s="2662"/>
      <c r="N117" s="2662"/>
      <c r="O117" s="2663"/>
      <c r="P117" s="2662"/>
      <c r="Q117" s="2662"/>
      <c r="R117" s="2664"/>
    </row>
    <row r="118" spans="2:18" s="2248" customFormat="1">
      <c r="B118" s="2662"/>
      <c r="C118" s="2662"/>
      <c r="D118" s="2662"/>
      <c r="E118" s="2662"/>
      <c r="F118" s="2662"/>
      <c r="G118" s="2663"/>
      <c r="H118" s="2662"/>
      <c r="I118" s="2663"/>
      <c r="J118" s="2662"/>
      <c r="K118" s="2662"/>
      <c r="L118" s="2663"/>
      <c r="M118" s="2662"/>
      <c r="N118" s="2662"/>
      <c r="O118" s="2663"/>
      <c r="P118" s="2662"/>
      <c r="Q118" s="2662"/>
      <c r="R118" s="2664"/>
    </row>
    <row r="119" spans="2:18" s="2248" customFormat="1">
      <c r="B119" s="2662"/>
      <c r="C119" s="2662"/>
      <c r="D119" s="2662"/>
      <c r="E119" s="2662"/>
      <c r="F119" s="2662"/>
      <c r="G119" s="2663"/>
      <c r="H119" s="2662"/>
      <c r="I119" s="2663"/>
      <c r="J119" s="2662"/>
      <c r="K119" s="2662"/>
      <c r="L119" s="2663"/>
      <c r="M119" s="2662"/>
      <c r="N119" s="2662"/>
      <c r="O119" s="2663"/>
      <c r="P119" s="2662"/>
      <c r="Q119" s="2662"/>
      <c r="R119" s="2664"/>
    </row>
    <row r="120" spans="2:18" s="2248" customFormat="1">
      <c r="B120" s="2662"/>
      <c r="C120" s="2662"/>
      <c r="D120" s="2662"/>
      <c r="E120" s="2662"/>
      <c r="F120" s="2662"/>
      <c r="G120" s="2663"/>
      <c r="H120" s="2662"/>
      <c r="I120" s="2663"/>
      <c r="J120" s="2662"/>
      <c r="K120" s="2662"/>
      <c r="L120" s="2663"/>
      <c r="M120" s="2662"/>
      <c r="N120" s="2662"/>
      <c r="O120" s="2663"/>
      <c r="P120" s="2662"/>
      <c r="Q120" s="2662"/>
      <c r="R120" s="2664"/>
    </row>
    <row r="121" spans="2:18" s="2248" customFormat="1">
      <c r="B121" s="2662"/>
      <c r="C121" s="2662"/>
      <c r="D121" s="2662"/>
      <c r="E121" s="2662"/>
      <c r="F121" s="2662"/>
      <c r="G121" s="2663"/>
      <c r="H121" s="2662"/>
      <c r="I121" s="2663"/>
      <c r="J121" s="2662"/>
      <c r="K121" s="2662"/>
      <c r="L121" s="2663"/>
      <c r="M121" s="2662"/>
      <c r="N121" s="2662"/>
      <c r="O121" s="2663"/>
      <c r="P121" s="2662"/>
      <c r="Q121" s="2662"/>
      <c r="R121" s="2664"/>
    </row>
    <row r="122" spans="2:18" s="2248" customFormat="1">
      <c r="B122" s="2662"/>
      <c r="C122" s="2662"/>
      <c r="D122" s="2662"/>
      <c r="E122" s="2662"/>
      <c r="F122" s="2662"/>
      <c r="G122" s="2663"/>
      <c r="H122" s="2662"/>
      <c r="I122" s="2663"/>
      <c r="J122" s="2662"/>
      <c r="K122" s="2662"/>
      <c r="L122" s="2663"/>
      <c r="M122" s="2662"/>
      <c r="N122" s="2662"/>
      <c r="O122" s="2663"/>
      <c r="P122" s="2662"/>
      <c r="Q122" s="2662"/>
      <c r="R122" s="2664"/>
    </row>
    <row r="123" spans="2:18" s="2248" customFormat="1">
      <c r="B123" s="2662"/>
      <c r="C123" s="2662"/>
      <c r="D123" s="2662"/>
      <c r="E123" s="2662"/>
      <c r="F123" s="2662"/>
      <c r="G123" s="2663"/>
      <c r="H123" s="2662"/>
      <c r="I123" s="2663"/>
      <c r="J123" s="2662"/>
      <c r="K123" s="2662"/>
      <c r="L123" s="2663"/>
      <c r="M123" s="2662"/>
      <c r="N123" s="2662"/>
      <c r="O123" s="2663"/>
      <c r="P123" s="2662"/>
      <c r="Q123" s="2662"/>
      <c r="R123" s="2664"/>
    </row>
    <row r="124" spans="2:18" s="2248" customFormat="1">
      <c r="B124" s="2662"/>
      <c r="C124" s="2662"/>
      <c r="D124" s="2662"/>
      <c r="E124" s="2662"/>
      <c r="F124" s="2662"/>
      <c r="G124" s="2663"/>
      <c r="H124" s="2662"/>
      <c r="I124" s="2663"/>
      <c r="J124" s="2662"/>
      <c r="K124" s="2662"/>
      <c r="L124" s="2663"/>
      <c r="M124" s="2662"/>
      <c r="N124" s="2662"/>
      <c r="O124" s="2663"/>
      <c r="P124" s="2662"/>
      <c r="Q124" s="2662"/>
      <c r="R124" s="2664"/>
    </row>
    <row r="125" spans="2:18" s="2248" customFormat="1">
      <c r="B125" s="2662"/>
      <c r="C125" s="2662"/>
      <c r="D125" s="2662"/>
      <c r="E125" s="2662"/>
      <c r="F125" s="2662"/>
      <c r="G125" s="2663"/>
      <c r="H125" s="2662"/>
      <c r="I125" s="2663"/>
      <c r="J125" s="2662"/>
      <c r="K125" s="2662"/>
      <c r="L125" s="2663"/>
      <c r="M125" s="2662"/>
      <c r="N125" s="2662"/>
      <c r="O125" s="2663"/>
      <c r="P125" s="2662"/>
      <c r="Q125" s="2662"/>
      <c r="R125" s="2664"/>
    </row>
    <row r="126" spans="2:18" s="2248" customFormat="1">
      <c r="B126" s="2662"/>
      <c r="C126" s="2662"/>
      <c r="D126" s="2662"/>
      <c r="E126" s="2662"/>
      <c r="F126" s="2662"/>
      <c r="G126" s="2663"/>
      <c r="H126" s="2662"/>
      <c r="I126" s="2663"/>
      <c r="J126" s="2662"/>
      <c r="K126" s="2662"/>
      <c r="L126" s="2663"/>
      <c r="M126" s="2662"/>
      <c r="N126" s="2662"/>
      <c r="O126" s="2663"/>
      <c r="P126" s="2662"/>
      <c r="Q126" s="2662"/>
      <c r="R126" s="2664"/>
    </row>
    <row r="127" spans="2:18" s="2248" customFormat="1">
      <c r="B127" s="2662"/>
      <c r="C127" s="2662"/>
      <c r="D127" s="2662"/>
      <c r="E127" s="2662"/>
      <c r="F127" s="2662"/>
      <c r="G127" s="2663"/>
      <c r="H127" s="2662"/>
      <c r="I127" s="2663"/>
      <c r="J127" s="2662"/>
      <c r="K127" s="2662"/>
      <c r="L127" s="2663"/>
      <c r="M127" s="2662"/>
      <c r="N127" s="2662"/>
      <c r="O127" s="2663"/>
      <c r="P127" s="2662"/>
      <c r="Q127" s="2662"/>
      <c r="R127" s="2664"/>
    </row>
    <row r="128" spans="2:18" s="2248" customFormat="1">
      <c r="B128" s="2662"/>
      <c r="C128" s="2662"/>
      <c r="D128" s="2662"/>
      <c r="E128" s="2662"/>
      <c r="F128" s="2662"/>
      <c r="G128" s="2663"/>
      <c r="H128" s="2662"/>
      <c r="I128" s="2663"/>
      <c r="J128" s="2662"/>
      <c r="K128" s="2662"/>
      <c r="L128" s="2663"/>
      <c r="M128" s="2662"/>
      <c r="N128" s="2662"/>
      <c r="O128" s="2663"/>
      <c r="P128" s="2662"/>
      <c r="Q128" s="2662"/>
      <c r="R128" s="2664"/>
    </row>
    <row r="129" spans="2:18" s="2248" customFormat="1">
      <c r="B129" s="2662"/>
      <c r="C129" s="2662"/>
      <c r="D129" s="2662"/>
      <c r="E129" s="2662"/>
      <c r="F129" s="2662"/>
      <c r="G129" s="2663"/>
      <c r="H129" s="2662"/>
      <c r="I129" s="2663"/>
      <c r="J129" s="2662"/>
      <c r="K129" s="2662"/>
      <c r="L129" s="2663"/>
      <c r="M129" s="2662"/>
      <c r="N129" s="2662"/>
      <c r="O129" s="2663"/>
      <c r="P129" s="2662"/>
      <c r="Q129" s="2662"/>
      <c r="R129" s="2664"/>
    </row>
    <row r="130" spans="2:18" s="2248" customFormat="1">
      <c r="B130" s="2662"/>
      <c r="C130" s="2662"/>
      <c r="D130" s="2662"/>
      <c r="E130" s="2662"/>
      <c r="F130" s="2662"/>
      <c r="G130" s="2663"/>
      <c r="H130" s="2662"/>
      <c r="I130" s="2663"/>
      <c r="J130" s="2662"/>
      <c r="K130" s="2662"/>
      <c r="L130" s="2663"/>
      <c r="M130" s="2662"/>
      <c r="N130" s="2662"/>
      <c r="O130" s="2663"/>
      <c r="P130" s="2662"/>
      <c r="Q130" s="2662"/>
      <c r="R130" s="2664"/>
    </row>
    <row r="131" spans="2:18" s="2248" customFormat="1">
      <c r="B131" s="2662"/>
      <c r="C131" s="2662"/>
      <c r="D131" s="2662"/>
      <c r="E131" s="2662"/>
      <c r="F131" s="2662"/>
      <c r="G131" s="2663"/>
      <c r="H131" s="2662"/>
      <c r="I131" s="2663"/>
      <c r="J131" s="2662"/>
      <c r="K131" s="2662"/>
      <c r="L131" s="2663"/>
      <c r="M131" s="2662"/>
      <c r="N131" s="2662"/>
      <c r="O131" s="2663"/>
      <c r="P131" s="2662"/>
      <c r="Q131" s="2662"/>
      <c r="R131" s="2664"/>
    </row>
    <row r="132" spans="2:18" s="2248" customFormat="1">
      <c r="B132" s="2662"/>
      <c r="C132" s="2662"/>
      <c r="D132" s="2662"/>
      <c r="E132" s="2662"/>
      <c r="F132" s="2662"/>
      <c r="G132" s="2663"/>
      <c r="H132" s="2662"/>
      <c r="I132" s="2663"/>
      <c r="J132" s="2662"/>
      <c r="K132" s="2662"/>
      <c r="L132" s="2663"/>
      <c r="M132" s="2662"/>
      <c r="N132" s="2662"/>
      <c r="O132" s="2663"/>
      <c r="P132" s="2662"/>
      <c r="Q132" s="2662"/>
      <c r="R132" s="2664"/>
    </row>
    <row r="133" spans="2:18" s="2248" customFormat="1">
      <c r="B133" s="2662"/>
      <c r="C133" s="2662"/>
      <c r="D133" s="2662"/>
      <c r="E133" s="2662"/>
      <c r="F133" s="2662"/>
      <c r="G133" s="2663"/>
      <c r="H133" s="2662"/>
      <c r="I133" s="2663"/>
      <c r="J133" s="2662"/>
      <c r="K133" s="2662"/>
      <c r="L133" s="2663"/>
      <c r="M133" s="2662"/>
      <c r="N133" s="2662"/>
      <c r="O133" s="2663"/>
      <c r="P133" s="2662"/>
      <c r="Q133" s="2662"/>
      <c r="R133" s="2664"/>
    </row>
    <row r="134" spans="2:18" s="2248" customFormat="1">
      <c r="B134" s="2662"/>
      <c r="C134" s="2662"/>
      <c r="D134" s="2662"/>
      <c r="E134" s="2662"/>
      <c r="F134" s="2662"/>
      <c r="G134" s="2663"/>
      <c r="H134" s="2662"/>
      <c r="I134" s="2663"/>
      <c r="J134" s="2662"/>
      <c r="K134" s="2662"/>
      <c r="L134" s="2663"/>
      <c r="M134" s="2662"/>
      <c r="N134" s="2662"/>
      <c r="O134" s="2663"/>
      <c r="P134" s="2662"/>
      <c r="Q134" s="2662"/>
      <c r="R134" s="2664"/>
    </row>
    <row r="135" spans="2:18" s="2248" customFormat="1">
      <c r="B135" s="2662"/>
      <c r="C135" s="2662"/>
      <c r="D135" s="2662"/>
      <c r="E135" s="2662"/>
      <c r="F135" s="2662"/>
      <c r="G135" s="2663"/>
      <c r="H135" s="2662"/>
      <c r="I135" s="2663"/>
      <c r="J135" s="2662"/>
      <c r="K135" s="2662"/>
      <c r="L135" s="2663"/>
      <c r="M135" s="2662"/>
      <c r="N135" s="2662"/>
      <c r="O135" s="2663"/>
      <c r="P135" s="2662"/>
      <c r="Q135" s="2662"/>
      <c r="R135" s="2664"/>
    </row>
    <row r="136" spans="2:18" s="2248" customFormat="1">
      <c r="B136" s="2662"/>
      <c r="C136" s="2662"/>
      <c r="D136" s="2662"/>
      <c r="E136" s="2662"/>
      <c r="F136" s="2662"/>
      <c r="G136" s="2663"/>
      <c r="H136" s="2662"/>
      <c r="I136" s="2663"/>
      <c r="J136" s="2662"/>
      <c r="K136" s="2662"/>
      <c r="L136" s="2663"/>
      <c r="M136" s="2662"/>
      <c r="N136" s="2662"/>
      <c r="O136" s="2663"/>
      <c r="P136" s="2662"/>
      <c r="Q136" s="2662"/>
      <c r="R136" s="2664"/>
    </row>
    <row r="137" spans="2:18" s="2248" customFormat="1">
      <c r="B137" s="2662"/>
      <c r="C137" s="2662"/>
      <c r="D137" s="2662"/>
      <c r="E137" s="2662"/>
      <c r="F137" s="2662"/>
      <c r="G137" s="2663"/>
      <c r="H137" s="2662"/>
      <c r="I137" s="2663"/>
      <c r="J137" s="2662"/>
      <c r="K137" s="2662"/>
      <c r="L137" s="2663"/>
      <c r="M137" s="2662"/>
      <c r="N137" s="2662"/>
      <c r="O137" s="2663"/>
      <c r="P137" s="2662"/>
      <c r="Q137" s="2662"/>
      <c r="R137" s="2664"/>
    </row>
    <row r="138" spans="2:18" s="2248" customFormat="1">
      <c r="B138" s="2662"/>
      <c r="C138" s="2662"/>
      <c r="D138" s="2662"/>
      <c r="E138" s="2662"/>
      <c r="F138" s="2662"/>
      <c r="G138" s="2663"/>
      <c r="H138" s="2662"/>
      <c r="I138" s="2663"/>
      <c r="J138" s="2662"/>
      <c r="K138" s="2662"/>
      <c r="L138" s="2663"/>
      <c r="M138" s="2662"/>
      <c r="N138" s="2662"/>
      <c r="O138" s="2663"/>
      <c r="P138" s="2662"/>
      <c r="Q138" s="2662"/>
      <c r="R138" s="2664"/>
    </row>
    <row r="139" spans="2:18" s="2248" customFormat="1">
      <c r="B139" s="2662"/>
      <c r="C139" s="2662"/>
      <c r="D139" s="2662"/>
      <c r="E139" s="2662"/>
      <c r="F139" s="2662"/>
      <c r="G139" s="2663"/>
      <c r="H139" s="2662"/>
      <c r="I139" s="2663"/>
      <c r="J139" s="2662"/>
      <c r="K139" s="2662"/>
      <c r="L139" s="2663"/>
      <c r="M139" s="2662"/>
      <c r="N139" s="2662"/>
      <c r="O139" s="2663"/>
      <c r="P139" s="2662"/>
      <c r="Q139" s="2662"/>
      <c r="R139" s="2664"/>
    </row>
    <row r="140" spans="2:18" s="2248" customFormat="1">
      <c r="B140" s="2662"/>
      <c r="C140" s="2662"/>
      <c r="D140" s="2662"/>
      <c r="E140" s="2662"/>
      <c r="F140" s="2662"/>
      <c r="G140" s="2663"/>
      <c r="H140" s="2662"/>
      <c r="I140" s="2663"/>
      <c r="J140" s="2662"/>
      <c r="K140" s="2662"/>
      <c r="L140" s="2663"/>
      <c r="M140" s="2662"/>
      <c r="N140" s="2662"/>
      <c r="O140" s="2663"/>
      <c r="P140" s="2662"/>
      <c r="Q140" s="2662"/>
      <c r="R140" s="2664"/>
    </row>
    <row r="141" spans="2:18" s="2248" customFormat="1">
      <c r="B141" s="2662"/>
      <c r="C141" s="2662"/>
      <c r="D141" s="2662"/>
      <c r="E141" s="2662"/>
      <c r="F141" s="2662"/>
      <c r="G141" s="2663"/>
      <c r="H141" s="2662"/>
      <c r="I141" s="2663"/>
      <c r="J141" s="2662"/>
      <c r="K141" s="2662"/>
      <c r="L141" s="2663"/>
      <c r="M141" s="2662"/>
      <c r="N141" s="2662"/>
      <c r="O141" s="2663"/>
      <c r="P141" s="2662"/>
      <c r="Q141" s="2662"/>
      <c r="R141" s="2664"/>
    </row>
    <row r="142" spans="2:18" s="2248" customFormat="1">
      <c r="B142" s="2662"/>
      <c r="C142" s="2662"/>
      <c r="D142" s="2662"/>
      <c r="E142" s="2662"/>
      <c r="F142" s="2662"/>
      <c r="G142" s="2663"/>
      <c r="H142" s="2662"/>
      <c r="I142" s="2663"/>
      <c r="J142" s="2662"/>
      <c r="K142" s="2662"/>
      <c r="L142" s="2663"/>
      <c r="M142" s="2662"/>
      <c r="N142" s="2662"/>
      <c r="O142" s="2663"/>
      <c r="P142" s="2662"/>
      <c r="Q142" s="2662"/>
      <c r="R142" s="2664"/>
    </row>
    <row r="143" spans="2:18" s="2248" customFormat="1">
      <c r="B143" s="2662"/>
      <c r="C143" s="2662"/>
      <c r="D143" s="2662"/>
      <c r="E143" s="2662"/>
      <c r="F143" s="2662"/>
      <c r="G143" s="2663"/>
      <c r="H143" s="2662"/>
      <c r="I143" s="2663"/>
      <c r="J143" s="2662"/>
      <c r="K143" s="2662"/>
      <c r="L143" s="2663"/>
      <c r="M143" s="2662"/>
      <c r="N143" s="2662"/>
      <c r="O143" s="2663"/>
      <c r="P143" s="2662"/>
      <c r="Q143" s="2662"/>
      <c r="R143" s="2664"/>
    </row>
    <row r="144" spans="2:18" s="2248" customFormat="1">
      <c r="B144" s="2662"/>
      <c r="C144" s="2662"/>
      <c r="D144" s="2662"/>
      <c r="E144" s="2662"/>
      <c r="F144" s="2662"/>
      <c r="G144" s="2663"/>
      <c r="H144" s="2662"/>
      <c r="I144" s="2663"/>
      <c r="J144" s="2662"/>
      <c r="K144" s="2662"/>
      <c r="L144" s="2663"/>
      <c r="M144" s="2662"/>
      <c r="N144" s="2662"/>
      <c r="O144" s="2663"/>
      <c r="P144" s="2662"/>
      <c r="Q144" s="2662"/>
      <c r="R144" s="2664"/>
    </row>
    <row r="145" spans="2:18" s="2248" customFormat="1">
      <c r="B145" s="2662"/>
      <c r="C145" s="2662"/>
      <c r="D145" s="2662"/>
      <c r="E145" s="2662"/>
      <c r="F145" s="2662"/>
      <c r="G145" s="2663"/>
      <c r="H145" s="2662"/>
      <c r="I145" s="2663"/>
      <c r="J145" s="2662"/>
      <c r="K145" s="2662"/>
      <c r="L145" s="2663"/>
      <c r="M145" s="2662"/>
      <c r="N145" s="2662"/>
      <c r="O145" s="2663"/>
      <c r="P145" s="2662"/>
      <c r="Q145" s="2662"/>
      <c r="R145" s="2664"/>
    </row>
    <row r="146" spans="2:18" s="2248" customFormat="1">
      <c r="B146" s="2662"/>
      <c r="C146" s="2662"/>
      <c r="D146" s="2662"/>
      <c r="E146" s="2662"/>
      <c r="F146" s="2662"/>
      <c r="G146" s="2663"/>
      <c r="H146" s="2662"/>
      <c r="I146" s="2663"/>
      <c r="J146" s="2662"/>
      <c r="K146" s="2662"/>
      <c r="L146" s="2663"/>
      <c r="M146" s="2662"/>
      <c r="N146" s="2662"/>
      <c r="O146" s="2663"/>
      <c r="P146" s="2662"/>
      <c r="Q146" s="2662"/>
      <c r="R146" s="2664"/>
    </row>
    <row r="147" spans="2:18" s="2248" customFormat="1">
      <c r="B147" s="2662"/>
      <c r="C147" s="2662"/>
      <c r="D147" s="2662"/>
      <c r="E147" s="2662"/>
      <c r="F147" s="2662"/>
      <c r="G147" s="2663"/>
      <c r="H147" s="2662"/>
      <c r="I147" s="2663"/>
      <c r="J147" s="2662"/>
      <c r="K147" s="2662"/>
      <c r="L147" s="2663"/>
      <c r="M147" s="2662"/>
      <c r="N147" s="2662"/>
      <c r="O147" s="2663"/>
      <c r="P147" s="2662"/>
      <c r="Q147" s="2662"/>
      <c r="R147" s="2664"/>
    </row>
    <row r="148" spans="2:18" s="2248" customFormat="1">
      <c r="B148" s="2662"/>
      <c r="C148" s="2662"/>
      <c r="D148" s="2662"/>
      <c r="E148" s="2662"/>
      <c r="F148" s="2662"/>
      <c r="G148" s="2663"/>
      <c r="H148" s="2662"/>
      <c r="I148" s="2663"/>
      <c r="J148" s="2662"/>
      <c r="K148" s="2662"/>
      <c r="L148" s="2663"/>
      <c r="M148" s="2662"/>
      <c r="N148" s="2662"/>
      <c r="O148" s="2663"/>
      <c r="P148" s="2662"/>
      <c r="Q148" s="2662"/>
      <c r="R148" s="2664"/>
    </row>
    <row r="149" spans="2:18" s="2248" customFormat="1">
      <c r="B149" s="2662"/>
      <c r="C149" s="2662"/>
      <c r="D149" s="2662"/>
      <c r="E149" s="2662"/>
      <c r="F149" s="2662"/>
      <c r="G149" s="2663"/>
      <c r="H149" s="2662"/>
      <c r="I149" s="2663"/>
      <c r="J149" s="2662"/>
      <c r="K149" s="2662"/>
      <c r="L149" s="2663"/>
      <c r="M149" s="2662"/>
      <c r="N149" s="2662"/>
      <c r="O149" s="2663"/>
      <c r="P149" s="2662"/>
      <c r="Q149" s="2662"/>
      <c r="R149" s="2664"/>
    </row>
    <row r="150" spans="2:18" s="2248" customFormat="1">
      <c r="B150" s="2662"/>
      <c r="C150" s="2662"/>
      <c r="D150" s="2662"/>
      <c r="E150" s="2662"/>
      <c r="F150" s="2662"/>
      <c r="G150" s="2663"/>
      <c r="H150" s="2662"/>
      <c r="I150" s="2663"/>
      <c r="J150" s="2662"/>
      <c r="K150" s="2662"/>
      <c r="L150" s="2663"/>
      <c r="M150" s="2662"/>
      <c r="N150" s="2662"/>
      <c r="O150" s="2663"/>
      <c r="P150" s="2662"/>
      <c r="Q150" s="2662"/>
      <c r="R150" s="2664"/>
    </row>
    <row r="151" spans="2:18" s="2248" customFormat="1">
      <c r="B151" s="2662"/>
      <c r="C151" s="2662"/>
      <c r="D151" s="2662"/>
      <c r="E151" s="2662"/>
      <c r="F151" s="2662"/>
      <c r="G151" s="2663"/>
      <c r="H151" s="2662"/>
      <c r="I151" s="2663"/>
      <c r="J151" s="2662"/>
      <c r="K151" s="2662"/>
      <c r="L151" s="2663"/>
      <c r="M151" s="2662"/>
      <c r="N151" s="2662"/>
      <c r="O151" s="2663"/>
      <c r="P151" s="2662"/>
      <c r="Q151" s="2662"/>
      <c r="R151" s="2664"/>
    </row>
    <row r="152" spans="2:18" s="2248" customFormat="1">
      <c r="B152" s="2662"/>
      <c r="C152" s="2662"/>
      <c r="D152" s="2662"/>
      <c r="E152" s="2662"/>
      <c r="F152" s="2662"/>
      <c r="G152" s="2663"/>
      <c r="H152" s="2662"/>
      <c r="I152" s="2663"/>
      <c r="J152" s="2662"/>
      <c r="K152" s="2662"/>
      <c r="L152" s="2663"/>
      <c r="M152" s="2662"/>
      <c r="N152" s="2662"/>
      <c r="O152" s="2663"/>
      <c r="P152" s="2662"/>
      <c r="Q152" s="2662"/>
      <c r="R152" s="2664"/>
    </row>
    <row r="153" spans="2:18" s="2248" customFormat="1">
      <c r="B153" s="2662"/>
      <c r="C153" s="2662"/>
      <c r="D153" s="2662"/>
      <c r="E153" s="2662"/>
      <c r="F153" s="2662"/>
      <c r="G153" s="2663"/>
      <c r="H153" s="2662"/>
      <c r="I153" s="2663"/>
      <c r="J153" s="2662"/>
      <c r="K153" s="2662"/>
      <c r="L153" s="2663"/>
      <c r="M153" s="2662"/>
      <c r="N153" s="2662"/>
      <c r="O153" s="2663"/>
      <c r="P153" s="2662"/>
      <c r="Q153" s="2662"/>
      <c r="R153" s="2664"/>
    </row>
    <row r="154" spans="2:18" s="2248" customFormat="1">
      <c r="B154" s="2662"/>
      <c r="C154" s="2662"/>
      <c r="D154" s="2662"/>
      <c r="E154" s="2662"/>
      <c r="F154" s="2662"/>
      <c r="G154" s="2663"/>
      <c r="H154" s="2662"/>
      <c r="I154" s="2663"/>
      <c r="J154" s="2662"/>
      <c r="K154" s="2662"/>
      <c r="L154" s="2663"/>
      <c r="M154" s="2662"/>
      <c r="N154" s="2662"/>
      <c r="O154" s="2663"/>
      <c r="P154" s="2662"/>
      <c r="Q154" s="2662"/>
      <c r="R154" s="2664"/>
    </row>
    <row r="155" spans="2:18" s="2248" customFormat="1">
      <c r="B155" s="2662"/>
      <c r="C155" s="2662"/>
      <c r="D155" s="2662"/>
      <c r="E155" s="2662"/>
      <c r="F155" s="2662"/>
      <c r="G155" s="2663"/>
      <c r="H155" s="2662"/>
      <c r="I155" s="2663"/>
      <c r="J155" s="2662"/>
      <c r="K155" s="2662"/>
      <c r="L155" s="2663"/>
      <c r="M155" s="2662"/>
      <c r="N155" s="2662"/>
      <c r="O155" s="2663"/>
      <c r="P155" s="2662"/>
      <c r="Q155" s="2662"/>
      <c r="R155" s="2664"/>
    </row>
    <row r="156" spans="2:18" s="2248" customFormat="1">
      <c r="B156" s="2662"/>
      <c r="C156" s="2662"/>
      <c r="D156" s="2662"/>
      <c r="E156" s="2662"/>
      <c r="F156" s="2662"/>
      <c r="G156" s="2663"/>
      <c r="H156" s="2662"/>
      <c r="I156" s="2663"/>
      <c r="J156" s="2662"/>
      <c r="K156" s="2662"/>
      <c r="L156" s="2663"/>
      <c r="M156" s="2662"/>
      <c r="N156" s="2662"/>
      <c r="O156" s="2663"/>
      <c r="P156" s="2662"/>
      <c r="Q156" s="2662"/>
      <c r="R156" s="2664"/>
    </row>
    <row r="157" spans="2:18" s="2248" customFormat="1">
      <c r="B157" s="2662"/>
      <c r="C157" s="2662"/>
      <c r="D157" s="2662"/>
      <c r="E157" s="2662"/>
      <c r="F157" s="2662"/>
      <c r="G157" s="2663"/>
      <c r="H157" s="2662"/>
      <c r="I157" s="2663"/>
      <c r="J157" s="2662"/>
      <c r="K157" s="2662"/>
      <c r="L157" s="2663"/>
      <c r="M157" s="2662"/>
      <c r="N157" s="2662"/>
      <c r="O157" s="2663"/>
      <c r="P157" s="2662"/>
      <c r="Q157" s="2662"/>
      <c r="R157" s="2664"/>
    </row>
    <row r="158" spans="2:18" s="2248" customFormat="1">
      <c r="B158" s="2662"/>
      <c r="C158" s="2662"/>
      <c r="D158" s="2662"/>
      <c r="E158" s="2662"/>
      <c r="F158" s="2662"/>
      <c r="G158" s="2663"/>
      <c r="H158" s="2662"/>
      <c r="I158" s="2663"/>
      <c r="J158" s="2662"/>
      <c r="K158" s="2662"/>
      <c r="L158" s="2663"/>
      <c r="M158" s="2662"/>
      <c r="N158" s="2662"/>
      <c r="O158" s="2663"/>
      <c r="P158" s="2662"/>
      <c r="Q158" s="2662"/>
      <c r="R158" s="2664"/>
    </row>
    <row r="159" spans="2:18" s="2248" customFormat="1">
      <c r="B159" s="2662"/>
      <c r="C159" s="2662"/>
      <c r="D159" s="2662"/>
      <c r="E159" s="2662"/>
      <c r="F159" s="2662"/>
      <c r="G159" s="2663"/>
      <c r="H159" s="2662"/>
      <c r="I159" s="2663"/>
      <c r="J159" s="2662"/>
      <c r="K159" s="2662"/>
      <c r="L159" s="2663"/>
      <c r="M159" s="2662"/>
      <c r="N159" s="2662"/>
      <c r="O159" s="2663"/>
      <c r="P159" s="2662"/>
      <c r="Q159" s="2662"/>
      <c r="R159" s="2664"/>
    </row>
    <row r="160" spans="2:18" s="2248" customFormat="1">
      <c r="B160" s="2662"/>
      <c r="C160" s="2662"/>
      <c r="D160" s="2662"/>
      <c r="E160" s="2662"/>
      <c r="F160" s="2662"/>
      <c r="G160" s="2663"/>
      <c r="H160" s="2662"/>
      <c r="I160" s="2663"/>
      <c r="J160" s="2662"/>
      <c r="K160" s="2662"/>
      <c r="L160" s="2663"/>
      <c r="M160" s="2662"/>
      <c r="N160" s="2662"/>
      <c r="O160" s="2663"/>
      <c r="P160" s="2662"/>
      <c r="Q160" s="2662"/>
      <c r="R160" s="2664"/>
    </row>
    <row r="161" spans="2:18" s="2248" customFormat="1">
      <c r="B161" s="2662"/>
      <c r="C161" s="2662"/>
      <c r="D161" s="2662"/>
      <c r="E161" s="2662"/>
      <c r="F161" s="2662"/>
      <c r="G161" s="2663"/>
      <c r="H161" s="2662"/>
      <c r="I161" s="2663"/>
      <c r="J161" s="2662"/>
      <c r="K161" s="2662"/>
      <c r="L161" s="2663"/>
      <c r="M161" s="2662"/>
      <c r="N161" s="2662"/>
      <c r="O161" s="2663"/>
      <c r="P161" s="2662"/>
      <c r="Q161" s="2662"/>
      <c r="R161" s="2664"/>
    </row>
    <row r="162" spans="2:18" s="2248" customFormat="1">
      <c r="B162" s="2662"/>
      <c r="C162" s="2662"/>
      <c r="D162" s="2662"/>
      <c r="E162" s="2662"/>
      <c r="F162" s="2662"/>
      <c r="G162" s="2663"/>
      <c r="H162" s="2662"/>
      <c r="I162" s="2663"/>
      <c r="J162" s="2662"/>
      <c r="K162" s="2662"/>
      <c r="L162" s="2663"/>
      <c r="M162" s="2662"/>
      <c r="N162" s="2662"/>
      <c r="O162" s="2663"/>
      <c r="P162" s="2662"/>
      <c r="Q162" s="2662"/>
      <c r="R162" s="2664"/>
    </row>
    <row r="163" spans="2:18" s="2248" customFormat="1">
      <c r="B163" s="2662"/>
      <c r="C163" s="2662"/>
      <c r="D163" s="2662"/>
      <c r="E163" s="2662"/>
      <c r="F163" s="2662"/>
      <c r="G163" s="2663"/>
      <c r="H163" s="2662"/>
      <c r="I163" s="2663"/>
      <c r="J163" s="2662"/>
      <c r="K163" s="2662"/>
      <c r="L163" s="2663"/>
      <c r="M163" s="2662"/>
      <c r="N163" s="2662"/>
      <c r="O163" s="2663"/>
      <c r="P163" s="2662"/>
      <c r="Q163" s="2662"/>
      <c r="R163" s="2664"/>
    </row>
    <row r="164" spans="2:18" s="2248" customFormat="1">
      <c r="B164" s="2662"/>
      <c r="C164" s="2662"/>
      <c r="D164" s="2662"/>
      <c r="E164" s="2662"/>
      <c r="F164" s="2662"/>
      <c r="G164" s="2663"/>
      <c r="H164" s="2662"/>
      <c r="I164" s="2663"/>
      <c r="J164" s="2662"/>
      <c r="K164" s="2662"/>
      <c r="L164" s="2663"/>
      <c r="M164" s="2662"/>
      <c r="N164" s="2662"/>
      <c r="O164" s="2663"/>
      <c r="P164" s="2662"/>
      <c r="Q164" s="2662"/>
      <c r="R164" s="2664"/>
    </row>
    <row r="165" spans="2:18" s="2248" customFormat="1">
      <c r="B165" s="2662"/>
      <c r="C165" s="2662"/>
      <c r="D165" s="2662"/>
      <c r="E165" s="2662"/>
      <c r="F165" s="2662"/>
      <c r="G165" s="2663"/>
      <c r="H165" s="2662"/>
      <c r="I165" s="2663"/>
      <c r="J165" s="2662"/>
      <c r="K165" s="2662"/>
      <c r="L165" s="2663"/>
      <c r="M165" s="2662"/>
      <c r="N165" s="2662"/>
      <c r="O165" s="2663"/>
      <c r="P165" s="2662"/>
      <c r="Q165" s="2662"/>
      <c r="R165" s="2664"/>
    </row>
    <row r="166" spans="2:18" s="2248" customFormat="1">
      <c r="B166" s="2662"/>
      <c r="C166" s="2662"/>
      <c r="D166" s="2662"/>
      <c r="E166" s="2662"/>
      <c r="F166" s="2662"/>
      <c r="G166" s="2663"/>
      <c r="H166" s="2662"/>
      <c r="I166" s="2663"/>
      <c r="J166" s="2662"/>
      <c r="K166" s="2662"/>
      <c r="L166" s="2663"/>
      <c r="M166" s="2662"/>
      <c r="N166" s="2662"/>
      <c r="O166" s="2663"/>
      <c r="P166" s="2662"/>
      <c r="Q166" s="2662"/>
      <c r="R166" s="2664"/>
    </row>
    <row r="167" spans="2:18" s="2248" customFormat="1">
      <c r="B167" s="2662"/>
      <c r="C167" s="2662"/>
      <c r="D167" s="2662"/>
      <c r="E167" s="2662"/>
      <c r="F167" s="2662"/>
      <c r="G167" s="2663"/>
      <c r="H167" s="2662"/>
      <c r="I167" s="2663"/>
      <c r="J167" s="2662"/>
      <c r="K167" s="2662"/>
      <c r="L167" s="2663"/>
      <c r="M167" s="2662"/>
      <c r="N167" s="2662"/>
      <c r="O167" s="2663"/>
      <c r="P167" s="2662"/>
      <c r="Q167" s="2662"/>
      <c r="R167" s="2664"/>
    </row>
    <row r="168" spans="2:18" s="2248" customFormat="1">
      <c r="B168" s="2662"/>
      <c r="C168" s="2662"/>
      <c r="D168" s="2662"/>
      <c r="E168" s="2662"/>
      <c r="F168" s="2662"/>
      <c r="G168" s="2663"/>
      <c r="H168" s="2662"/>
      <c r="I168" s="2663"/>
      <c r="J168" s="2662"/>
      <c r="K168" s="2662"/>
      <c r="L168" s="2663"/>
      <c r="M168" s="2662"/>
      <c r="N168" s="2662"/>
      <c r="O168" s="2663"/>
      <c r="P168" s="2662"/>
      <c r="Q168" s="2662"/>
      <c r="R168" s="2664"/>
    </row>
    <row r="169" spans="2:18" s="2248" customFormat="1">
      <c r="B169" s="2662"/>
      <c r="C169" s="2662"/>
      <c r="D169" s="2662"/>
      <c r="E169" s="2662"/>
      <c r="F169" s="2662"/>
      <c r="G169" s="2663"/>
      <c r="H169" s="2662"/>
      <c r="I169" s="2663"/>
      <c r="J169" s="2662"/>
      <c r="K169" s="2662"/>
      <c r="L169" s="2663"/>
      <c r="M169" s="2662"/>
      <c r="N169" s="2662"/>
      <c r="O169" s="2663"/>
      <c r="P169" s="2662"/>
      <c r="Q169" s="2662"/>
      <c r="R169" s="2664"/>
    </row>
    <row r="170" spans="2:18" s="2248" customFormat="1">
      <c r="B170" s="2662"/>
      <c r="C170" s="2662"/>
      <c r="D170" s="2662"/>
      <c r="E170" s="2662"/>
      <c r="F170" s="2662"/>
      <c r="G170" s="2663"/>
      <c r="H170" s="2662"/>
      <c r="I170" s="2663"/>
      <c r="J170" s="2662"/>
      <c r="K170" s="2662"/>
      <c r="L170" s="2663"/>
      <c r="M170" s="2662"/>
      <c r="N170" s="2662"/>
      <c r="O170" s="2663"/>
      <c r="P170" s="2662"/>
      <c r="Q170" s="2662"/>
      <c r="R170" s="2664"/>
    </row>
    <row r="171" spans="2:18" s="2248" customFormat="1">
      <c r="B171" s="2662"/>
      <c r="C171" s="2662"/>
      <c r="D171" s="2662"/>
      <c r="E171" s="2662"/>
      <c r="F171" s="2662"/>
      <c r="G171" s="2663"/>
      <c r="H171" s="2662"/>
      <c r="I171" s="2663"/>
      <c r="J171" s="2662"/>
      <c r="K171" s="2662"/>
      <c r="L171" s="2663"/>
      <c r="M171" s="2662"/>
      <c r="N171" s="2662"/>
      <c r="O171" s="2663"/>
      <c r="P171" s="2662"/>
      <c r="Q171" s="2662"/>
      <c r="R171" s="2664"/>
    </row>
    <row r="172" spans="2:18" s="2248" customFormat="1">
      <c r="B172" s="2662"/>
      <c r="C172" s="2662"/>
      <c r="D172" s="2662"/>
      <c r="E172" s="2662"/>
      <c r="F172" s="2662"/>
      <c r="G172" s="2663"/>
      <c r="H172" s="2662"/>
      <c r="I172" s="2663"/>
      <c r="J172" s="2662"/>
      <c r="K172" s="2662"/>
      <c r="L172" s="2663"/>
      <c r="M172" s="2662"/>
      <c r="N172" s="2662"/>
      <c r="O172" s="2663"/>
      <c r="P172" s="2662"/>
      <c r="Q172" s="2662"/>
      <c r="R172" s="2664"/>
    </row>
    <row r="173" spans="2:18" s="2248" customFormat="1">
      <c r="B173" s="2662"/>
      <c r="C173" s="2662"/>
      <c r="D173" s="2662"/>
      <c r="E173" s="2662"/>
      <c r="F173" s="2662"/>
      <c r="G173" s="2663"/>
      <c r="H173" s="2662"/>
      <c r="I173" s="2663"/>
      <c r="J173" s="2662"/>
      <c r="K173" s="2662"/>
      <c r="L173" s="2663"/>
      <c r="M173" s="2662"/>
      <c r="N173" s="2662"/>
      <c r="O173" s="2663"/>
      <c r="P173" s="2662"/>
      <c r="Q173" s="2662"/>
      <c r="R173" s="2664"/>
    </row>
    <row r="174" spans="2:18" s="2248" customFormat="1">
      <c r="B174" s="2662"/>
      <c r="C174" s="2662"/>
      <c r="D174" s="2662"/>
      <c r="E174" s="2662"/>
      <c r="F174" s="2662"/>
      <c r="G174" s="2663"/>
      <c r="H174" s="2662"/>
      <c r="I174" s="2663"/>
      <c r="J174" s="2662"/>
      <c r="K174" s="2662"/>
      <c r="L174" s="2663"/>
      <c r="M174" s="2662"/>
      <c r="N174" s="2662"/>
      <c r="O174" s="2663"/>
      <c r="P174" s="2662"/>
      <c r="Q174" s="2662"/>
      <c r="R174" s="2664"/>
    </row>
    <row r="175" spans="2:18" s="2248" customFormat="1">
      <c r="B175" s="2662"/>
      <c r="C175" s="2662"/>
      <c r="D175" s="2662"/>
      <c r="E175" s="2662"/>
      <c r="F175" s="2662"/>
      <c r="G175" s="2663"/>
      <c r="H175" s="2662"/>
      <c r="I175" s="2663"/>
      <c r="J175" s="2662"/>
      <c r="K175" s="2662"/>
      <c r="L175" s="2663"/>
      <c r="M175" s="2662"/>
      <c r="N175" s="2662"/>
      <c r="O175" s="2663"/>
      <c r="P175" s="2662"/>
      <c r="Q175" s="2662"/>
      <c r="R175" s="2664"/>
    </row>
    <row r="176" spans="2:18" s="2248" customFormat="1">
      <c r="B176" s="2662"/>
      <c r="C176" s="2662"/>
      <c r="D176" s="2662"/>
      <c r="E176" s="2662"/>
      <c r="F176" s="2662"/>
      <c r="G176" s="2663"/>
      <c r="H176" s="2662"/>
      <c r="I176" s="2663"/>
      <c r="J176" s="2662"/>
      <c r="K176" s="2662"/>
      <c r="L176" s="2663"/>
      <c r="M176" s="2662"/>
      <c r="N176" s="2662"/>
      <c r="O176" s="2663"/>
      <c r="P176" s="2662"/>
      <c r="Q176" s="2662"/>
      <c r="R176" s="2664"/>
    </row>
    <row r="177" spans="1:18" s="2248" customFormat="1">
      <c r="B177" s="2662"/>
      <c r="C177" s="2662"/>
      <c r="D177" s="2662"/>
      <c r="E177" s="2662"/>
      <c r="F177" s="2662"/>
      <c r="G177" s="2663"/>
      <c r="H177" s="2662"/>
      <c r="I177" s="2663"/>
      <c r="J177" s="2662"/>
      <c r="K177" s="2662"/>
      <c r="L177" s="2663"/>
      <c r="M177" s="2662"/>
      <c r="N177" s="2662"/>
      <c r="O177" s="2663"/>
      <c r="P177" s="2662"/>
      <c r="Q177" s="2662"/>
      <c r="R177" s="2664"/>
    </row>
    <row r="178" spans="1:18" s="2248" customFormat="1">
      <c r="B178" s="2662"/>
      <c r="C178" s="2662"/>
      <c r="D178" s="2662"/>
      <c r="E178" s="2662"/>
      <c r="F178" s="2662"/>
      <c r="G178" s="2663"/>
      <c r="H178" s="2662"/>
      <c r="I178" s="2663"/>
      <c r="J178" s="2662"/>
      <c r="K178" s="2662"/>
      <c r="L178" s="2663"/>
      <c r="M178" s="2662"/>
      <c r="N178" s="2662"/>
      <c r="O178" s="2663"/>
      <c r="P178" s="2662"/>
      <c r="Q178" s="2662"/>
      <c r="R178" s="2664"/>
    </row>
    <row r="179" spans="1:18" s="2248" customFormat="1">
      <c r="B179" s="2662"/>
      <c r="C179" s="2662"/>
      <c r="D179" s="2662"/>
      <c r="E179" s="2662"/>
      <c r="F179" s="2662"/>
      <c r="G179" s="2663"/>
      <c r="H179" s="2662"/>
      <c r="I179" s="2663"/>
      <c r="J179" s="2662"/>
      <c r="K179" s="2662"/>
      <c r="L179" s="2663"/>
      <c r="M179" s="2662"/>
      <c r="N179" s="2662"/>
      <c r="O179" s="2663"/>
      <c r="P179" s="2662"/>
      <c r="Q179" s="2662"/>
      <c r="R179" s="2664"/>
    </row>
    <row r="180" spans="1:18" s="2248" customFormat="1">
      <c r="B180" s="2662"/>
      <c r="C180" s="2662"/>
      <c r="D180" s="2662"/>
      <c r="E180" s="2662"/>
      <c r="F180" s="2662"/>
      <c r="G180" s="2663"/>
      <c r="H180" s="2662"/>
      <c r="I180" s="2663"/>
      <c r="J180" s="2662"/>
      <c r="K180" s="2662"/>
      <c r="L180" s="2663"/>
      <c r="M180" s="2662"/>
      <c r="N180" s="2662"/>
      <c r="O180" s="2663"/>
      <c r="P180" s="2662"/>
      <c r="Q180" s="2662"/>
      <c r="R180" s="2664"/>
    </row>
    <row r="181" spans="1:18" s="2248" customFormat="1">
      <c r="B181" s="2662"/>
      <c r="C181" s="2662"/>
      <c r="D181" s="2662"/>
      <c r="E181" s="2662"/>
      <c r="F181" s="2662"/>
      <c r="G181" s="2663"/>
      <c r="H181" s="2662"/>
      <c r="I181" s="2663"/>
      <c r="J181" s="2662"/>
      <c r="K181" s="2662"/>
      <c r="L181" s="2663"/>
      <c r="M181" s="2662"/>
      <c r="N181" s="2662"/>
      <c r="O181" s="2663"/>
      <c r="P181" s="2662"/>
      <c r="Q181" s="2662"/>
      <c r="R181" s="2664"/>
    </row>
    <row r="182" spans="1:18" s="2248" customFormat="1">
      <c r="B182" s="2662"/>
      <c r="C182" s="2662"/>
      <c r="D182" s="2662"/>
      <c r="E182" s="2662"/>
      <c r="F182" s="2662"/>
      <c r="G182" s="2663"/>
      <c r="H182" s="2662"/>
      <c r="I182" s="2663"/>
      <c r="J182" s="2662"/>
      <c r="K182" s="2662"/>
      <c r="L182" s="2663"/>
      <c r="M182" s="2662"/>
      <c r="N182" s="2662"/>
      <c r="O182" s="2663"/>
      <c r="P182" s="2662"/>
      <c r="Q182" s="2662"/>
      <c r="R182" s="2664"/>
    </row>
    <row r="183" spans="1:18" s="2248" customFormat="1">
      <c r="B183" s="2662"/>
      <c r="C183" s="2662"/>
      <c r="D183" s="2662"/>
      <c r="E183" s="2662"/>
      <c r="F183" s="2662"/>
      <c r="G183" s="2663"/>
      <c r="H183" s="2662"/>
      <c r="I183" s="2663"/>
      <c r="J183" s="2662"/>
      <c r="K183" s="2662"/>
      <c r="L183" s="2663"/>
      <c r="M183" s="2662"/>
      <c r="N183" s="2662"/>
      <c r="O183" s="2663"/>
      <c r="P183" s="2662"/>
      <c r="Q183" s="2662"/>
      <c r="R183" s="2664"/>
    </row>
    <row r="184" spans="1:18" s="2248" customFormat="1">
      <c r="B184" s="2662"/>
      <c r="C184" s="2662"/>
      <c r="D184" s="2662"/>
      <c r="E184" s="2662"/>
      <c r="F184" s="2662"/>
      <c r="G184" s="2663"/>
      <c r="H184" s="2662"/>
      <c r="I184" s="2663"/>
      <c r="J184" s="2662"/>
      <c r="K184" s="2662"/>
      <c r="L184" s="2663"/>
      <c r="M184" s="2662"/>
      <c r="N184" s="2662"/>
      <c r="O184" s="2663"/>
      <c r="P184" s="2662"/>
      <c r="Q184" s="2662"/>
      <c r="R184" s="2664"/>
    </row>
    <row r="185" spans="1:18" s="224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8"/>
      <c r="B186" s="2662"/>
      <c r="C186" s="2662"/>
      <c r="E186" s="2662"/>
      <c r="F186" s="2662"/>
      <c r="G186" s="2663"/>
    </row>
    <row r="187" spans="1:18">
      <c r="A187" s="2248"/>
      <c r="B187" s="2662"/>
      <c r="C187" s="2662"/>
      <c r="E187" s="2662"/>
      <c r="F187" s="2662"/>
      <c r="G187" s="2663"/>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E14" sqref="E14"/>
    </sheetView>
  </sheetViews>
  <sheetFormatPr defaultColWidth="9" defaultRowHeight="13.5"/>
  <cols>
    <col min="1" max="1" width="25" style="2640" customWidth="1"/>
    <col min="2" max="9" width="15.75" style="2640" customWidth="1"/>
    <col min="10" max="16384" width="9" style="2640"/>
  </cols>
  <sheetData>
    <row r="1" spans="1:11" ht="16.5">
      <c r="A1" s="2641" t="s">
        <v>738</v>
      </c>
      <c r="B1" s="2641">
        <f>SUM(B14:B23)</f>
        <v>46.53</v>
      </c>
      <c r="C1" s="2642"/>
      <c r="D1" s="2642"/>
      <c r="E1" s="2642"/>
      <c r="F1" s="2642"/>
      <c r="G1" s="2643"/>
      <c r="H1" s="2644"/>
      <c r="I1" s="2644"/>
      <c r="J1" s="2644"/>
      <c r="K1" s="2644"/>
    </row>
    <row r="2" spans="1:11" ht="16.5">
      <c r="A2" s="2641" t="s">
        <v>739</v>
      </c>
      <c r="B2" s="2641">
        <f>SUM(C14:C23)</f>
        <v>0</v>
      </c>
      <c r="C2" s="2642"/>
      <c r="D2" s="2642"/>
      <c r="E2" s="2642"/>
      <c r="F2" s="2642"/>
      <c r="G2" s="2643"/>
      <c r="H2" s="2644"/>
      <c r="I2" s="2644"/>
      <c r="J2" s="2644"/>
      <c r="K2" s="2644"/>
    </row>
    <row r="3" spans="1:11" ht="16.5">
      <c r="A3" s="2641" t="s">
        <v>740</v>
      </c>
      <c r="B3" s="2645">
        <f>项目基本情况!D3</f>
        <v>45218</v>
      </c>
      <c r="C3" s="2642"/>
      <c r="D3" s="2642"/>
      <c r="E3" s="2642"/>
      <c r="F3" s="2642"/>
      <c r="G3" s="2643"/>
      <c r="H3" s="2644"/>
      <c r="I3" s="2644"/>
      <c r="J3" s="2644"/>
      <c r="K3" s="2644"/>
    </row>
    <row r="4" spans="1:11" ht="33">
      <c r="A4" s="2641" t="s">
        <v>741</v>
      </c>
      <c r="B4" s="2641" t="s">
        <v>742</v>
      </c>
      <c r="C4" s="2641" t="s">
        <v>743</v>
      </c>
      <c r="D4" s="2641" t="s">
        <v>744</v>
      </c>
      <c r="E4" s="2642"/>
      <c r="F4" s="2643"/>
      <c r="G4" s="2643"/>
      <c r="H4" s="2644"/>
      <c r="I4" s="2644"/>
      <c r="J4" s="2644"/>
      <c r="K4" s="2644"/>
    </row>
    <row r="5" spans="1:11" ht="16.5">
      <c r="A5" s="2641" t="s">
        <v>745</v>
      </c>
      <c r="B5" s="2641">
        <f ca="1">SUM(D14:D23)</f>
        <v>106</v>
      </c>
      <c r="C5" s="2641">
        <f ca="1">IF(B5=D14,结果表!H102,ROUND(B5*10000/$B$1,0))</f>
        <v>22860</v>
      </c>
      <c r="D5" s="2641" t="e">
        <f ca="1">ROUND(B5*10000/$B$2,0)</f>
        <v>#DIV/0!</v>
      </c>
      <c r="E5" s="2642"/>
      <c r="F5" s="2643"/>
      <c r="G5" s="2643"/>
      <c r="H5" s="2644"/>
      <c r="I5" s="2644"/>
      <c r="J5" s="2644"/>
      <c r="K5" s="2644"/>
    </row>
    <row r="6" spans="1:11" ht="16.5">
      <c r="A6" s="2641" t="s">
        <v>746</v>
      </c>
      <c r="B6" s="2641">
        <f ca="1">SUM(G14:G23)</f>
        <v>106</v>
      </c>
      <c r="C6" s="2641">
        <f ca="1">IF(B6=G14,结果表!H108,ROUND(B6*10000/$B$1,0))</f>
        <v>22860</v>
      </c>
      <c r="D6" s="2641" t="e">
        <f ca="1">ROUND(B6*10000/$B$2,0)</f>
        <v>#DIV/0!</v>
      </c>
      <c r="E6" s="2642"/>
      <c r="F6" s="2643"/>
      <c r="G6" s="2643"/>
      <c r="H6" s="2644"/>
      <c r="I6" s="2644"/>
      <c r="J6" s="2644"/>
      <c r="K6" s="2644"/>
    </row>
    <row r="7" spans="1:11" ht="16.5">
      <c r="A7" s="2641" t="s">
        <v>747</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748</v>
      </c>
      <c r="B9" s="2646"/>
      <c r="C9" s="2642"/>
      <c r="D9" s="2642"/>
      <c r="E9" s="2642"/>
      <c r="F9" s="2643"/>
      <c r="G9" s="2643"/>
      <c r="H9" s="2644"/>
      <c r="I9" s="2644"/>
      <c r="J9" s="2644"/>
      <c r="K9" s="2644"/>
    </row>
    <row r="10" spans="1:11" ht="16.5">
      <c r="A10" s="2641" t="s">
        <v>749</v>
      </c>
      <c r="B10" s="2641">
        <f>IF(E10="",0,ROUND(B1*(E10*365/G10)/10000,0))</f>
        <v>0</v>
      </c>
      <c r="C10" s="2641" t="s">
        <v>750</v>
      </c>
      <c r="D10" s="2641" t="s">
        <v>749</v>
      </c>
      <c r="E10" s="2647"/>
      <c r="F10" s="2648" t="s">
        <v>751</v>
      </c>
      <c r="G10" s="2649"/>
      <c r="H10" s="2644"/>
      <c r="I10" s="2644"/>
      <c r="J10" s="2644"/>
      <c r="K10" s="2644"/>
    </row>
    <row r="11" spans="1:11" ht="16.5">
      <c r="A11" s="2641" t="s">
        <v>752</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753</v>
      </c>
      <c r="B13" s="2651" t="s">
        <v>738</v>
      </c>
      <c r="C13" s="2651" t="s">
        <v>739</v>
      </c>
      <c r="D13" s="2651" t="s">
        <v>754</v>
      </c>
      <c r="E13" s="2641" t="s">
        <v>743</v>
      </c>
      <c r="F13" s="2641" t="s">
        <v>744</v>
      </c>
      <c r="G13" s="2651" t="s">
        <v>755</v>
      </c>
      <c r="H13" s="2651" t="s">
        <v>756</v>
      </c>
      <c r="I13" s="2651" t="s">
        <v>757</v>
      </c>
      <c r="J13" s="2643"/>
      <c r="K13" s="2644"/>
    </row>
    <row r="14" spans="1:11" ht="16.5">
      <c r="A14" s="2652" t="s">
        <v>758</v>
      </c>
      <c r="B14" s="2653">
        <f>结果表!B118</f>
        <v>46.53</v>
      </c>
      <c r="C14" s="2653"/>
      <c r="D14" s="2653">
        <f ca="1">结果表!H118</f>
        <v>106</v>
      </c>
      <c r="E14" s="2653">
        <f ca="1">ROUND(D14*10000/B14,0)</f>
        <v>22781</v>
      </c>
      <c r="F14" s="2653" t="e">
        <f ca="1">ROUND(D14*10000/C14,0)</f>
        <v>#DIV/0!</v>
      </c>
      <c r="G14" s="2653">
        <f ca="1">D14</f>
        <v>106</v>
      </c>
      <c r="H14" s="2653"/>
      <c r="I14" s="2653"/>
      <c r="J14" s="2643"/>
      <c r="K14" s="2644"/>
    </row>
    <row r="15" spans="1:11" ht="16.5">
      <c r="A15" s="2652" t="s">
        <v>759</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760</v>
      </c>
      <c r="B16" s="2654"/>
      <c r="C16" s="2654"/>
      <c r="D16" s="2654"/>
      <c r="E16" s="2653" t="e">
        <f t="shared" si="0"/>
        <v>#DIV/0!</v>
      </c>
      <c r="F16" s="2653" t="e">
        <f t="shared" si="1"/>
        <v>#DIV/0!</v>
      </c>
      <c r="G16" s="2655"/>
      <c r="H16" s="2655"/>
      <c r="I16" s="2654"/>
      <c r="J16" s="2644"/>
      <c r="K16" s="2644"/>
    </row>
    <row r="17" spans="1:11" ht="16.5">
      <c r="A17" s="2652" t="s">
        <v>761</v>
      </c>
      <c r="B17" s="2654"/>
      <c r="C17" s="2654"/>
      <c r="D17" s="2654"/>
      <c r="E17" s="2653" t="e">
        <f t="shared" si="0"/>
        <v>#DIV/0!</v>
      </c>
      <c r="F17" s="2653" t="e">
        <f t="shared" si="1"/>
        <v>#DIV/0!</v>
      </c>
      <c r="G17" s="2655"/>
      <c r="H17" s="2655"/>
      <c r="I17" s="2654"/>
      <c r="J17" s="2644"/>
      <c r="K17" s="2644"/>
    </row>
    <row r="18" spans="1:11" ht="16.5">
      <c r="A18" s="2652" t="s">
        <v>762</v>
      </c>
      <c r="B18" s="2654"/>
      <c r="C18" s="2654"/>
      <c r="D18" s="2654"/>
      <c r="E18" s="2653" t="e">
        <f t="shared" si="0"/>
        <v>#DIV/0!</v>
      </c>
      <c r="F18" s="2653" t="e">
        <f t="shared" si="1"/>
        <v>#DIV/0!</v>
      </c>
      <c r="G18" s="2654"/>
      <c r="H18" s="2654"/>
      <c r="I18" s="2654"/>
      <c r="J18" s="2644"/>
      <c r="K18" s="2644"/>
    </row>
    <row r="19" spans="1:11" ht="16.5">
      <c r="A19" s="2652" t="s">
        <v>763</v>
      </c>
      <c r="B19" s="2654"/>
      <c r="C19" s="2654"/>
      <c r="D19" s="2654"/>
      <c r="E19" s="2653" t="e">
        <f t="shared" si="0"/>
        <v>#DIV/0!</v>
      </c>
      <c r="F19" s="2653" t="e">
        <f t="shared" si="1"/>
        <v>#DIV/0!</v>
      </c>
      <c r="G19" s="2654"/>
      <c r="H19" s="2654"/>
      <c r="I19" s="2654"/>
      <c r="J19" s="2644"/>
      <c r="K19" s="2644"/>
    </row>
    <row r="20" spans="1:11" ht="16.5">
      <c r="A20" s="2652" t="s">
        <v>764</v>
      </c>
      <c r="B20" s="2654"/>
      <c r="C20" s="2654"/>
      <c r="D20" s="2654"/>
      <c r="E20" s="2653" t="e">
        <f t="shared" si="0"/>
        <v>#DIV/0!</v>
      </c>
      <c r="F20" s="2653" t="e">
        <f t="shared" si="1"/>
        <v>#DIV/0!</v>
      </c>
      <c r="G20" s="2654"/>
      <c r="H20" s="2654"/>
      <c r="I20" s="2654"/>
      <c r="J20" s="2644"/>
      <c r="K20" s="2644"/>
    </row>
    <row r="21" spans="1:11" ht="16.5">
      <c r="A21" s="2652" t="s">
        <v>765</v>
      </c>
      <c r="B21" s="2654"/>
      <c r="C21" s="2654"/>
      <c r="D21" s="2654"/>
      <c r="E21" s="2653" t="e">
        <f t="shared" si="0"/>
        <v>#DIV/0!</v>
      </c>
      <c r="F21" s="2653" t="e">
        <f t="shared" si="1"/>
        <v>#DIV/0!</v>
      </c>
      <c r="G21" s="2654"/>
      <c r="H21" s="2654"/>
      <c r="I21" s="2654"/>
      <c r="J21" s="2644"/>
      <c r="K21" s="2644"/>
    </row>
    <row r="22" spans="1:11" ht="16.5">
      <c r="A22" s="2652" t="s">
        <v>766</v>
      </c>
      <c r="B22" s="2654"/>
      <c r="C22" s="2654"/>
      <c r="D22" s="2654"/>
      <c r="E22" s="2653" t="e">
        <f t="shared" si="0"/>
        <v>#DIV/0!</v>
      </c>
      <c r="F22" s="2653" t="e">
        <f t="shared" si="1"/>
        <v>#DIV/0!</v>
      </c>
      <c r="G22" s="2654"/>
      <c r="H22" s="2654"/>
      <c r="I22" s="2654"/>
      <c r="J22" s="2644"/>
      <c r="K22" s="2644"/>
    </row>
    <row r="23" spans="1:11" ht="16.5">
      <c r="A23" s="2652" t="s">
        <v>767</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G24" sqref="G24"/>
    </sheetView>
  </sheetViews>
  <sheetFormatPr defaultColWidth="12.625" defaultRowHeight="21.75" customHeight="1"/>
  <cols>
    <col min="1" max="2" width="12.625" style="2359"/>
    <col min="3" max="4" width="12.625" style="2359" customWidth="1"/>
    <col min="5" max="9" width="12.625" style="2359"/>
    <col min="10" max="11" width="12.625" style="950" customWidth="1"/>
    <col min="12" max="12" width="12.625" style="950"/>
    <col min="13" max="13" width="14.125" style="950" customWidth="1"/>
    <col min="14" max="26" width="12.625" style="950"/>
    <col min="27" max="35" width="12.625" style="2358"/>
    <col min="36" max="16384" width="12.625" style="2359"/>
  </cols>
  <sheetData>
    <row r="1" spans="1:12" ht="21.75" customHeight="1">
      <c r="A1" s="2360" t="s">
        <v>768</v>
      </c>
      <c r="B1" s="2361"/>
      <c r="C1" s="2362"/>
      <c r="D1" s="2361"/>
      <c r="E1" s="2361"/>
      <c r="F1" s="2363" t="s">
        <v>769</v>
      </c>
      <c r="G1" s="2364"/>
      <c r="H1" s="2365" t="str">
        <f>IF(G1="现房","——","估价对象范围")</f>
        <v>估价对象范围</v>
      </c>
      <c r="I1" s="2497"/>
    </row>
    <row r="2" spans="1:12" ht="21.75" customHeight="1">
      <c r="A2" s="3524" t="str">
        <f>项目基本情况!S2</f>
        <v>北京市房地产</v>
      </c>
      <c r="B2" s="3525"/>
      <c r="C2" s="3525"/>
      <c r="D2" s="3525"/>
      <c r="E2" s="3525"/>
      <c r="F2" s="3525"/>
      <c r="G2" s="3525"/>
      <c r="H2" s="3525"/>
      <c r="I2" s="3526"/>
    </row>
    <row r="3" spans="1:12" ht="12.75">
      <c r="A3" s="3527" t="s">
        <v>770</v>
      </c>
      <c r="B3" s="3528"/>
      <c r="C3" s="3528"/>
      <c r="D3" s="3528"/>
      <c r="E3" s="3528"/>
      <c r="F3" s="3528"/>
      <c r="G3" s="3528"/>
      <c r="H3" s="3528"/>
      <c r="I3" s="3528"/>
    </row>
    <row r="4" spans="1:12" ht="14.25">
      <c r="A4" s="2366" t="s">
        <v>771</v>
      </c>
      <c r="B4" s="2367" t="s">
        <v>772</v>
      </c>
      <c r="C4" s="2368" t="s">
        <v>773</v>
      </c>
      <c r="D4" s="2368" t="s">
        <v>266</v>
      </c>
      <c r="E4" s="3529" t="s">
        <v>774</v>
      </c>
      <c r="F4" s="3530"/>
      <c r="G4" s="3530"/>
      <c r="H4" s="3530"/>
      <c r="I4" s="3531"/>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4" t="s">
        <v>775</v>
      </c>
      <c r="B5" s="3612">
        <v>25</v>
      </c>
      <c r="C5" s="3544"/>
      <c r="D5" s="3543"/>
      <c r="E5" s="2012" t="s">
        <v>776</v>
      </c>
      <c r="F5" s="2373"/>
      <c r="G5" s="2373"/>
      <c r="H5" s="2373"/>
      <c r="I5" s="2241"/>
    </row>
    <row r="6" spans="1:12" ht="12.75">
      <c r="A6" s="3574"/>
      <c r="B6" s="3612"/>
      <c r="C6" s="3545"/>
      <c r="D6" s="3543"/>
      <c r="E6" s="2012" t="s">
        <v>777</v>
      </c>
      <c r="F6" s="2373"/>
      <c r="G6" s="2373"/>
      <c r="H6" s="2373"/>
      <c r="I6" s="2241"/>
    </row>
    <row r="7" spans="1:12" ht="12.75">
      <c r="A7" s="3574"/>
      <c r="B7" s="3612"/>
      <c r="C7" s="3546"/>
      <c r="D7" s="3543"/>
      <c r="E7" s="2012" t="s">
        <v>778</v>
      </c>
      <c r="F7" s="2373"/>
      <c r="G7" s="2373"/>
      <c r="H7" s="2373"/>
      <c r="I7" s="2241"/>
    </row>
    <row r="8" spans="1:12" ht="12.75">
      <c r="A8" s="3574" t="s">
        <v>779</v>
      </c>
      <c r="B8" s="3612">
        <v>15</v>
      </c>
      <c r="C8" s="3544"/>
      <c r="D8" s="3543"/>
      <c r="E8" s="2012" t="s">
        <v>780</v>
      </c>
      <c r="F8" s="2373"/>
      <c r="G8" s="2373"/>
      <c r="H8" s="2373"/>
      <c r="I8" s="2241"/>
    </row>
    <row r="9" spans="1:12" ht="12.75">
      <c r="A9" s="3574"/>
      <c r="B9" s="3612"/>
      <c r="C9" s="3546"/>
      <c r="D9" s="3543"/>
      <c r="E9" s="2012" t="s">
        <v>781</v>
      </c>
      <c r="F9" s="2373"/>
      <c r="G9" s="2373"/>
      <c r="H9" s="2373"/>
      <c r="I9" s="2241"/>
    </row>
    <row r="10" spans="1:12" ht="12.75">
      <c r="A10" s="3574" t="s">
        <v>782</v>
      </c>
      <c r="B10" s="3612">
        <v>15</v>
      </c>
      <c r="C10" s="3544"/>
      <c r="D10" s="3543"/>
      <c r="E10" s="2012" t="s">
        <v>783</v>
      </c>
      <c r="F10" s="2373"/>
      <c r="G10" s="2373"/>
      <c r="H10" s="2373"/>
      <c r="I10" s="2241"/>
    </row>
    <row r="11" spans="1:12" ht="12.75">
      <c r="A11" s="3574"/>
      <c r="B11" s="3612"/>
      <c r="C11" s="3546"/>
      <c r="D11" s="3543"/>
      <c r="E11" s="2012" t="s">
        <v>784</v>
      </c>
      <c r="F11" s="2373"/>
      <c r="G11" s="2373"/>
      <c r="H11" s="2373"/>
      <c r="I11" s="2241"/>
    </row>
    <row r="12" spans="1:12" ht="12.75">
      <c r="A12" s="3574" t="s">
        <v>785</v>
      </c>
      <c r="B12" s="3612">
        <v>15</v>
      </c>
      <c r="C12" s="3544"/>
      <c r="D12" s="3543"/>
      <c r="E12" s="2012" t="s">
        <v>786</v>
      </c>
      <c r="F12" s="2373"/>
      <c r="G12" s="2373"/>
      <c r="H12" s="2373"/>
      <c r="I12" s="2241"/>
    </row>
    <row r="13" spans="1:12" ht="12.75">
      <c r="A13" s="3574"/>
      <c r="B13" s="3612"/>
      <c r="C13" s="3546"/>
      <c r="D13" s="3543"/>
      <c r="E13" s="2012" t="s">
        <v>787</v>
      </c>
      <c r="F13" s="2373"/>
      <c r="G13" s="2373"/>
      <c r="H13" s="2373"/>
      <c r="I13" s="2241"/>
    </row>
    <row r="14" spans="1:12" ht="12.75">
      <c r="A14" s="3574" t="s">
        <v>788</v>
      </c>
      <c r="B14" s="3612">
        <v>30</v>
      </c>
      <c r="C14" s="3544">
        <v>7</v>
      </c>
      <c r="D14" s="3543">
        <v>3</v>
      </c>
      <c r="E14" s="2012" t="s">
        <v>789</v>
      </c>
      <c r="F14" s="2373"/>
      <c r="G14" s="2373"/>
      <c r="H14" s="2373"/>
      <c r="I14" s="2241"/>
    </row>
    <row r="15" spans="1:12" ht="12.75">
      <c r="A15" s="3574"/>
      <c r="B15" s="3612"/>
      <c r="C15" s="3545"/>
      <c r="D15" s="3543"/>
      <c r="E15" s="2012" t="s">
        <v>790</v>
      </c>
      <c r="F15" s="2373"/>
      <c r="G15" s="2373"/>
      <c r="H15" s="2373"/>
      <c r="I15" s="2241"/>
    </row>
    <row r="16" spans="1:12" ht="12.75">
      <c r="A16" s="3574"/>
      <c r="B16" s="3612"/>
      <c r="C16" s="3546"/>
      <c r="D16" s="3543"/>
      <c r="E16" s="2012" t="s">
        <v>791</v>
      </c>
      <c r="F16" s="2373"/>
      <c r="G16" s="2373"/>
      <c r="H16" s="2373"/>
      <c r="I16" s="2241"/>
    </row>
    <row r="17" spans="1:36" ht="15">
      <c r="A17" s="2374" t="s">
        <v>792</v>
      </c>
      <c r="B17" s="2375"/>
      <c r="C17" s="2376">
        <f>SUM(C5:C16)</f>
        <v>7</v>
      </c>
      <c r="D17" s="2376">
        <f>SUM(D5:D16)</f>
        <v>3</v>
      </c>
      <c r="E17" s="993"/>
      <c r="F17" s="993"/>
      <c r="G17" s="993"/>
      <c r="H17" s="993"/>
      <c r="I17" s="993"/>
      <c r="K17" s="1972"/>
      <c r="L17" s="1972" t="s">
        <v>793</v>
      </c>
      <c r="M17" s="1972" t="s">
        <v>794</v>
      </c>
    </row>
    <row r="18" spans="1:36" ht="31.9" customHeight="1">
      <c r="A18" s="2377" t="s">
        <v>795</v>
      </c>
      <c r="B18" s="2378"/>
      <c r="C18" s="2379">
        <f>ROUND(C17/SUM(C17:D17),2)</f>
        <v>0.7</v>
      </c>
      <c r="D18" s="2379">
        <f>1-C18</f>
        <v>0.30000000000000004</v>
      </c>
      <c r="E18" s="3532" t="s">
        <v>796</v>
      </c>
      <c r="F18" s="3533"/>
      <c r="G18" s="3533"/>
      <c r="H18" s="3533"/>
      <c r="I18" s="3533"/>
      <c r="K18" s="1972" t="s">
        <v>455</v>
      </c>
      <c r="L18" s="1972">
        <f>IF(C1="",'数据-汇总表'!E3,SUMIF(项目类型,C1,'数据-汇总表'!E17:E26)+SUMIF(项目类型,C1,'数据-汇总表'!I17:I26))</f>
        <v>46.53</v>
      </c>
      <c r="M18" s="1972">
        <f>IF(C1="",'数据-汇总表'!E3,SUMIF(项目类型,C1,'数据-汇总表'!E17:E26))</f>
        <v>46.53</v>
      </c>
    </row>
    <row r="19" spans="1:36" ht="15">
      <c r="A19" s="2380" t="s">
        <v>797</v>
      </c>
      <c r="B19" s="2381" t="s">
        <v>798</v>
      </c>
      <c r="C19" s="2382">
        <f ca="1">SUMIF(INDIRECT("'"&amp;C4&amp;"'"&amp;"!A:A"),结果表!B19,INDIRECT("'"&amp;C4&amp;"'"&amp;"!B:B"))</f>
        <v>116.3297</v>
      </c>
      <c r="D19" s="1431">
        <f ca="1">SUMIF(INDIRECT("'"&amp;D4&amp;"'"&amp;"!A:A"),结果表!B19,INDIRECT("'"&amp;D4&amp;"'"&amp;"!B:B"))</f>
        <v>83.124899999999997</v>
      </c>
      <c r="E19" s="2380" t="s">
        <v>799</v>
      </c>
      <c r="F19" s="2381" t="s">
        <v>798</v>
      </c>
      <c r="G19" s="2383">
        <f ca="1">ROUND(C19*$C$18+D19*$D$18,0)</f>
        <v>106</v>
      </c>
      <c r="H19" s="2384" t="s">
        <v>800</v>
      </c>
      <c r="I19" s="993"/>
      <c r="K19" s="1972" t="s">
        <v>459</v>
      </c>
      <c r="L19" s="1972">
        <f>IF(C1="",'数据-汇总表'!D3,SUMIF(项目类型,C1,'数据-汇总表'!D17:D26)+SUMIF(项目类型,C1,'数据-汇总表'!H17:H27))</f>
        <v>0</v>
      </c>
      <c r="M19" s="1972">
        <f>IF(C1="",'数据-汇总表'!D3,SUMIF(项目类型,C1,'数据-汇总表'!D17:D26))</f>
        <v>0</v>
      </c>
    </row>
    <row r="20" spans="1:36" ht="15">
      <c r="A20" s="2385"/>
      <c r="B20" s="2386" t="s">
        <v>801</v>
      </c>
      <c r="C20" s="1704">
        <f ca="1">SUMIF(INDIRECT("'"&amp;C4&amp;"'"&amp;"!A:A"),结果表!B20,INDIRECT("'"&amp;C4&amp;"'"&amp;"!B:B"))</f>
        <v>25001</v>
      </c>
      <c r="D20" s="1707">
        <f ca="1">SUMIF(INDIRECT("'"&amp;D4&amp;"'"&amp;"!A:A"),结果表!B20,INDIRECT("'"&amp;D4&amp;"'"&amp;"!B:B"))</f>
        <v>17865</v>
      </c>
      <c r="E20" s="2385"/>
      <c r="F20" s="2386" t="s">
        <v>801</v>
      </c>
      <c r="G20" s="2387">
        <f ca="1">ROUND(C20*$C$18+D20*$D$18,0)</f>
        <v>22860</v>
      </c>
      <c r="H20" s="2128" t="s">
        <v>802</v>
      </c>
      <c r="I20" s="993"/>
    </row>
    <row r="21" spans="1:36" ht="15" customHeight="1">
      <c r="A21" s="2323"/>
      <c r="B21" s="2388" t="s">
        <v>803</v>
      </c>
      <c r="C21" s="2389" t="e">
        <f ca="1">ROUND(C19*10000/L19,0)</f>
        <v>#DIV/0!</v>
      </c>
      <c r="D21" s="2390" t="e">
        <f ca="1">ROUND(D19*10000/L19,0)</f>
        <v>#DIV/0!</v>
      </c>
      <c r="E21" s="2323"/>
      <c r="F21" s="2388" t="s">
        <v>803</v>
      </c>
      <c r="G21" s="2391" t="e">
        <f ca="1">ROUND(G19*10000/L19,0)</f>
        <v>#DIV/0!</v>
      </c>
      <c r="H21" s="2392" t="s">
        <v>802</v>
      </c>
      <c r="I21" s="993"/>
    </row>
    <row r="22" spans="1:36" ht="14.25">
      <c r="A22" s="2393" t="s">
        <v>804</v>
      </c>
      <c r="B22" s="2394"/>
      <c r="C22" s="2395"/>
      <c r="D22" s="2396">
        <f ca="1">IF(C19&lt;D19,D19/C19-1,C19/D19-1)</f>
        <v>0.39945672115094277</v>
      </c>
      <c r="E22" s="993"/>
      <c r="F22" s="993"/>
      <c r="G22" s="993"/>
      <c r="H22" s="993"/>
      <c r="I22" s="993"/>
    </row>
    <row r="23" spans="1:36" ht="12.75">
      <c r="A23" s="2361"/>
      <c r="B23" s="2361"/>
      <c r="C23" s="2361"/>
      <c r="D23" s="2361"/>
      <c r="E23" s="993"/>
      <c r="F23" s="993"/>
      <c r="G23" s="993"/>
      <c r="H23" s="993"/>
      <c r="I23" s="993"/>
    </row>
    <row r="24" spans="1:36" ht="14.25">
      <c r="A24" s="3605" t="s">
        <v>805</v>
      </c>
      <c r="B24" s="2381" t="s">
        <v>798</v>
      </c>
      <c r="C24" s="2383">
        <f>IF(B30=0,0,D30)</f>
        <v>0</v>
      </c>
      <c r="D24" s="2397"/>
      <c r="E24" s="993"/>
      <c r="F24" s="993"/>
      <c r="G24" s="993"/>
      <c r="H24" s="993"/>
      <c r="I24" s="993"/>
    </row>
    <row r="25" spans="1:36" ht="14.25">
      <c r="A25" s="3606"/>
      <c r="B25" s="2386" t="s">
        <v>801</v>
      </c>
      <c r="C25" s="2398">
        <f>IF(B30=0,0,C30)</f>
        <v>0</v>
      </c>
      <c r="D25" s="2399"/>
      <c r="E25" s="993"/>
      <c r="F25" s="993"/>
      <c r="G25" s="993"/>
      <c r="H25" s="993"/>
      <c r="I25" s="993"/>
    </row>
    <row r="26" spans="1:36" ht="13.5" customHeight="1">
      <c r="A26" s="2400" t="s">
        <v>806</v>
      </c>
      <c r="B26" s="2401" t="s">
        <v>807</v>
      </c>
      <c r="C26" s="2401" t="s">
        <v>808</v>
      </c>
      <c r="D26" s="2402" t="s">
        <v>809</v>
      </c>
      <c r="E26" s="993"/>
      <c r="F26" s="993"/>
      <c r="G26" s="993"/>
      <c r="H26" s="993"/>
      <c r="I26" s="993"/>
    </row>
    <row r="27" spans="1:36" ht="14.25">
      <c r="A27" s="2400"/>
      <c r="B27" s="2401">
        <v>0</v>
      </c>
      <c r="C27" s="2401">
        <v>0</v>
      </c>
      <c r="D27" s="2402">
        <f>ROUND(C27*B27/10000,0)</f>
        <v>0</v>
      </c>
      <c r="E27" s="993"/>
      <c r="F27" s="993"/>
      <c r="G27" s="993"/>
      <c r="H27" s="993"/>
      <c r="I27" s="993"/>
    </row>
    <row r="28" spans="1:36" ht="14.25">
      <c r="A28" s="2400"/>
      <c r="B28" s="2401"/>
      <c r="C28" s="2401"/>
      <c r="D28" s="2402"/>
      <c r="E28" s="993"/>
      <c r="F28" s="993"/>
      <c r="G28" s="993"/>
      <c r="H28" s="993"/>
      <c r="I28" s="993"/>
    </row>
    <row r="29" spans="1:36" ht="14.25">
      <c r="A29" s="2400"/>
      <c r="B29" s="2401"/>
      <c r="C29" s="2401"/>
      <c r="D29" s="2402"/>
      <c r="E29" s="993"/>
      <c r="F29" s="993"/>
      <c r="G29" s="993"/>
      <c r="H29" s="993"/>
      <c r="I29" s="993"/>
    </row>
    <row r="30" spans="1:36" ht="14.25">
      <c r="A30" s="2401" t="s">
        <v>810</v>
      </c>
      <c r="B30" s="2401"/>
      <c r="C30" s="2401"/>
      <c r="D30" s="2401"/>
      <c r="E30" s="2403" t="s">
        <v>811</v>
      </c>
      <c r="F30" s="993"/>
      <c r="G30" s="993"/>
      <c r="H30" s="993"/>
      <c r="I30" s="993"/>
    </row>
    <row r="31" spans="1:36" s="2355" customFormat="1" ht="26.45" customHeight="1">
      <c r="A31" s="2404"/>
      <c r="B31" s="2405"/>
      <c r="C31" s="2405"/>
      <c r="D31" s="2405"/>
      <c r="E31" s="2405"/>
      <c r="F31" s="2405"/>
      <c r="G31" s="2405"/>
      <c r="H31" s="2405"/>
      <c r="I31" s="2499" t="s">
        <v>812</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813</v>
      </c>
      <c r="B32" s="2407"/>
      <c r="C32" s="2408">
        <f ca="1">IF(D32="总价",G19-C24,G20-C25)</f>
        <v>22860</v>
      </c>
      <c r="D32" s="2409" t="s">
        <v>2756</v>
      </c>
      <c r="E32" s="993"/>
      <c r="F32" s="993"/>
      <c r="G32" s="993"/>
      <c r="H32" s="993"/>
      <c r="I32" s="993"/>
    </row>
    <row r="33" spans="1:15" ht="15">
      <c r="A33" s="2264" t="s">
        <v>814</v>
      </c>
      <c r="B33" s="2410"/>
      <c r="C33" s="2411" t="s">
        <v>2752</v>
      </c>
      <c r="D33" s="2412" t="s">
        <v>266</v>
      </c>
      <c r="E33" s="2413" t="s">
        <v>815</v>
      </c>
      <c r="F33" s="2414" t="str">
        <f>IF(D32="楼面单价","取值（单价）","取值（总价）")</f>
        <v>取值（单价）</v>
      </c>
      <c r="G33" s="993"/>
      <c r="H33" s="993"/>
      <c r="I33" s="993"/>
    </row>
    <row r="34" spans="1:15" ht="15">
      <c r="A34" s="2415"/>
      <c r="B34" s="2416" t="s">
        <v>816</v>
      </c>
      <c r="C34" s="2417">
        <f ca="1">IF(C33="自定义",F34,C32-C35)</f>
        <v>13967</v>
      </c>
      <c r="D34" s="2418">
        <f ca="1">IF(C33="自定义",ROUND(C34/C32,3),IF(C33="收益比率",SUMIF(INDIRECT("'"&amp;D33&amp;"'"&amp;"!b:b"),"土地收益比率",INDIRECT("'"&amp;D33&amp;"'"&amp;"!c:c")),SUMIF(INDIRECT("'"&amp;D33&amp;"'"&amp;"!b:b"),"土地成本比率",INDIRECT("'"&amp;D33&amp;"'"&amp;"!c:c"))))</f>
        <v>0.61099999999999999</v>
      </c>
      <c r="E34" s="2419" t="s">
        <v>817</v>
      </c>
      <c r="F34" s="2420"/>
      <c r="G34" s="993"/>
      <c r="H34" s="993"/>
      <c r="I34" s="993"/>
    </row>
    <row r="35" spans="1:15" ht="15">
      <c r="A35" s="2421"/>
      <c r="B35" s="2422" t="s">
        <v>818</v>
      </c>
      <c r="C35" s="2423">
        <f ca="1">IF(C33="自定义",F35,ROUND(C32*D35,0))</f>
        <v>8893</v>
      </c>
      <c r="D35" s="2424">
        <f ca="1">IF(C33="自定义",ROUND(C35/C32,3),IF(C33="收益比率",SUMIF(INDIRECT("'"&amp;D33&amp;"'"&amp;"!b:b"),"建筑物收益比率",INDIRECT("'"&amp;D33&amp;"'"&amp;"!c:c")),SUMIF(INDIRECT("'"&amp;D33&amp;"'"&amp;"!b:b"),"建筑物成本比率",INDIRECT("'"&amp;D33&amp;"'"&amp;"!c:c"))))</f>
        <v>0.38900000000000001</v>
      </c>
      <c r="E35" s="2425" t="s">
        <v>819</v>
      </c>
      <c r="F35" s="2426"/>
      <c r="G35" s="993"/>
      <c r="H35" s="993"/>
      <c r="I35" s="993"/>
    </row>
    <row r="36" spans="1:15" ht="15">
      <c r="A36" s="3607" t="s">
        <v>820</v>
      </c>
      <c r="B36" s="2427" t="s">
        <v>821</v>
      </c>
      <c r="C36" s="2428"/>
      <c r="D36" s="2429"/>
      <c r="E36" s="2430"/>
      <c r="F36" s="2431"/>
      <c r="G36" s="993"/>
      <c r="H36" s="993"/>
      <c r="I36" s="993"/>
    </row>
    <row r="37" spans="1:15" ht="15">
      <c r="A37" s="3608"/>
      <c r="B37" s="2432" t="s">
        <v>822</v>
      </c>
      <c r="C37" s="2433"/>
      <c r="D37" s="2434"/>
      <c r="E37" s="2434"/>
      <c r="F37" s="2431"/>
      <c r="G37" s="993"/>
      <c r="H37" s="993"/>
      <c r="I37" s="993"/>
    </row>
    <row r="38" spans="1:15" ht="15">
      <c r="A38" s="3609"/>
      <c r="B38" s="2435" t="s">
        <v>823</v>
      </c>
      <c r="C38" s="2436"/>
      <c r="D38" s="2437" t="s">
        <v>824</v>
      </c>
      <c r="E38" s="2434"/>
      <c r="F38" s="2431"/>
      <c r="G38" s="993"/>
      <c r="H38" s="993"/>
      <c r="I38" s="993"/>
    </row>
    <row r="39" spans="1:15" ht="15">
      <c r="A39" s="2385" t="s">
        <v>825</v>
      </c>
      <c r="B39" s="2438" t="s">
        <v>807</v>
      </c>
      <c r="C39" s="2439" t="s">
        <v>808</v>
      </c>
      <c r="D39" s="2439" t="s">
        <v>826</v>
      </c>
      <c r="E39" s="2440" t="s">
        <v>809</v>
      </c>
      <c r="F39" s="2431"/>
      <c r="G39" s="993"/>
      <c r="H39" s="993"/>
      <c r="I39" s="993"/>
    </row>
    <row r="40" spans="1:15" ht="14.25">
      <c r="A40" s="2441" t="s">
        <v>827</v>
      </c>
      <c r="B40" s="2442"/>
      <c r="C40" s="1012"/>
      <c r="D40" s="1012"/>
      <c r="E40" s="2443"/>
      <c r="F40" s="2431"/>
      <c r="G40" s="993"/>
      <c r="H40" s="993"/>
      <c r="I40" s="993"/>
    </row>
    <row r="41" spans="1:15" ht="14.25">
      <c r="A41" s="2441" t="s">
        <v>828</v>
      </c>
      <c r="B41" s="2442"/>
      <c r="C41" s="1012"/>
      <c r="D41" s="1012"/>
      <c r="E41" s="2443"/>
      <c r="F41" s="2431"/>
      <c r="G41" s="993"/>
      <c r="H41" s="993"/>
      <c r="I41" s="993"/>
    </row>
    <row r="42" spans="1:15" ht="14.25">
      <c r="A42" s="2444"/>
      <c r="B42" s="2445"/>
      <c r="C42" s="2446"/>
      <c r="D42" s="2446"/>
      <c r="E42" s="2426"/>
      <c r="F42" s="2431"/>
      <c r="G42" s="993"/>
      <c r="H42" s="993"/>
      <c r="I42" s="993"/>
    </row>
    <row r="43" spans="1:15" ht="12.75">
      <c r="A43" s="2447"/>
      <c r="B43" s="2447"/>
      <c r="C43" s="2447"/>
      <c r="D43" s="2447"/>
      <c r="E43" s="2447"/>
      <c r="F43" s="2448"/>
      <c r="G43" s="2448"/>
      <c r="H43" s="2448"/>
      <c r="I43" s="2502"/>
    </row>
    <row r="44" spans="1:15" ht="18.75">
      <c r="A44" s="2449" t="s">
        <v>829</v>
      </c>
      <c r="B44" s="2450"/>
      <c r="C44" s="2450"/>
      <c r="D44" s="2451"/>
      <c r="E44" s="2451"/>
      <c r="F44" s="2452"/>
      <c r="G44" s="2452"/>
      <c r="H44" s="2452"/>
      <c r="I44" s="2452"/>
      <c r="J44" s="2503" t="s">
        <v>830</v>
      </c>
      <c r="K44" s="2504"/>
      <c r="L44" s="2504"/>
      <c r="M44" s="2504"/>
      <c r="N44" s="2504"/>
      <c r="O44" s="2504"/>
    </row>
    <row r="45" spans="1:15" ht="14.25" customHeight="1">
      <c r="A45" s="3534" t="s">
        <v>831</v>
      </c>
      <c r="B45" s="3535"/>
      <c r="C45" s="3536"/>
      <c r="D45" s="1971">
        <f ca="1">ROUND(H101*F45,0)</f>
        <v>106</v>
      </c>
      <c r="E45" s="2453" t="s">
        <v>832</v>
      </c>
      <c r="F45" s="2454">
        <v>1</v>
      </c>
      <c r="G45" s="2455" t="s">
        <v>833</v>
      </c>
      <c r="H45" s="993"/>
      <c r="I45" s="993"/>
      <c r="J45" s="3537" t="s">
        <v>834</v>
      </c>
      <c r="K45" s="3537"/>
      <c r="L45" s="3537"/>
      <c r="M45" s="3537"/>
      <c r="N45" s="3537"/>
      <c r="O45" s="3537"/>
    </row>
    <row r="46" spans="1:15" ht="14.25" customHeight="1">
      <c r="A46" s="3538" t="s">
        <v>835</v>
      </c>
      <c r="B46" s="3539"/>
      <c r="C46" s="3539"/>
      <c r="D46" s="3539"/>
      <c r="E46" s="3539"/>
      <c r="F46" s="3539"/>
      <c r="G46" s="3540"/>
      <c r="H46" s="2456"/>
      <c r="I46" s="994"/>
      <c r="J46" s="618">
        <v>1</v>
      </c>
      <c r="K46" s="3541" t="s">
        <v>836</v>
      </c>
      <c r="L46" s="3541"/>
      <c r="M46" s="3542"/>
      <c r="N46" s="3542"/>
      <c r="O46" s="3542"/>
    </row>
    <row r="47" spans="1:15" ht="12" customHeight="1">
      <c r="A47" s="2457" t="s">
        <v>837</v>
      </c>
      <c r="B47" s="2458"/>
      <c r="C47" s="2459"/>
      <c r="D47" s="2022" t="s">
        <v>838</v>
      </c>
      <c r="E47" s="1972" t="s">
        <v>839</v>
      </c>
      <c r="F47" s="2460" t="s">
        <v>840</v>
      </c>
      <c r="G47" s="2461" t="s">
        <v>841</v>
      </c>
      <c r="H47" s="2462"/>
      <c r="I47" s="994"/>
      <c r="J47" s="618">
        <v>2</v>
      </c>
      <c r="K47" s="3541" t="s">
        <v>842</v>
      </c>
      <c r="L47" s="3541"/>
      <c r="M47" s="3547">
        <f>'数据-取费表'!B2</f>
        <v>45218</v>
      </c>
      <c r="N47" s="3547"/>
      <c r="O47" s="3547"/>
    </row>
    <row r="48" spans="1:15" ht="25.5">
      <c r="A48" s="3548" t="s">
        <v>843</v>
      </c>
      <c r="B48" s="3549"/>
      <c r="C48" s="3549"/>
      <c r="D48" s="2126" t="b">
        <f>IF(H48="情况1",0,IF(H48="情况2",D52,IF(H48="情况3",D53,IF(H48="情况4",D54))))</f>
        <v>0</v>
      </c>
      <c r="E48" s="2026" t="str">
        <f>IF(H48="情况4","(销售额-原购置价)×税（费）率","销售额×税（费）率")</f>
        <v>销售额×税（费）率</v>
      </c>
      <c r="F48" s="2464">
        <f>IF(H48="情况1","免征",'数据-取费表'!B41)</f>
        <v>5.5000000000000007E-2</v>
      </c>
      <c r="G48" s="2465" t="s">
        <v>844</v>
      </c>
      <c r="H48" s="2466"/>
      <c r="I48" s="2456"/>
      <c r="J48" s="618">
        <v>3</v>
      </c>
      <c r="K48" s="3541" t="s">
        <v>845</v>
      </c>
      <c r="L48" s="3541"/>
      <c r="M48" s="3550">
        <f ca="1">H101</f>
        <v>106</v>
      </c>
      <c r="N48" s="3550"/>
      <c r="O48" s="3550"/>
    </row>
    <row r="49" spans="1:35" ht="25.5" customHeight="1">
      <c r="A49" s="2463" t="s">
        <v>846</v>
      </c>
      <c r="B49" s="3551" t="s">
        <v>847</v>
      </c>
      <c r="C49" s="3551"/>
      <c r="D49" s="2467">
        <v>0</v>
      </c>
      <c r="E49" s="2032" t="s">
        <v>848</v>
      </c>
      <c r="F49" s="2468" t="s">
        <v>124</v>
      </c>
      <c r="G49" s="3557"/>
      <c r="H49" s="2469" t="s">
        <v>849</v>
      </c>
      <c r="I49" s="2506"/>
      <c r="J49" s="618">
        <v>4</v>
      </c>
      <c r="K49" s="3541" t="str">
        <f>IF(项目基本情况!E8="房地产抵押价值","房地产抵押价值","抵押担保权已注销时的房地产抵押价值")</f>
        <v>房地产抵押价值</v>
      </c>
      <c r="L49" s="3541"/>
      <c r="M49" s="3550">
        <f ca="1">IF(项目基本情况!E8="房地产抵押价值",H107,H109)</f>
        <v>106</v>
      </c>
      <c r="N49" s="3550"/>
      <c r="O49" s="3550"/>
    </row>
    <row r="50" spans="1:35" ht="25.5" customHeight="1">
      <c r="A50" s="2470"/>
      <c r="B50" s="3551" t="s">
        <v>850</v>
      </c>
      <c r="C50" s="3551"/>
      <c r="D50" s="2471"/>
      <c r="E50" s="2047"/>
      <c r="F50" s="2468"/>
      <c r="G50" s="3558"/>
      <c r="H50" s="2472" t="s">
        <v>851</v>
      </c>
      <c r="I50" s="2506"/>
      <c r="J50" s="3537" t="s">
        <v>852</v>
      </c>
      <c r="K50" s="3537"/>
      <c r="L50" s="3537"/>
      <c r="M50" s="3537"/>
      <c r="N50" s="3537"/>
      <c r="O50" s="3537"/>
    </row>
    <row r="51" spans="1:35" ht="20.45" customHeight="1">
      <c r="A51" s="2473"/>
      <c r="B51" s="3551" t="s">
        <v>853</v>
      </c>
      <c r="C51" s="3551"/>
      <c r="D51" s="2022"/>
      <c r="E51" s="2036"/>
      <c r="F51" s="2468"/>
      <c r="G51" s="3559"/>
      <c r="H51" s="2472" t="s">
        <v>854</v>
      </c>
      <c r="I51" s="2506"/>
      <c r="J51" s="2505" t="s">
        <v>855</v>
      </c>
      <c r="K51" s="3541" t="s">
        <v>856</v>
      </c>
      <c r="L51" s="3541"/>
      <c r="M51" s="2505" t="s">
        <v>857</v>
      </c>
      <c r="N51" s="2505" t="s">
        <v>858</v>
      </c>
      <c r="O51" s="2505" t="s">
        <v>859</v>
      </c>
    </row>
    <row r="52" spans="1:35" ht="24" customHeight="1">
      <c r="A52" s="2474" t="s">
        <v>860</v>
      </c>
      <c r="B52" s="3551" t="s">
        <v>861</v>
      </c>
      <c r="C52" s="3551"/>
      <c r="D52" s="2022">
        <f ca="1">ROUND(D45*'数据-取费表'!B41/(1+'数据-取费表'!C42),0)</f>
        <v>6</v>
      </c>
      <c r="E52" s="2026" t="s">
        <v>862</v>
      </c>
      <c r="F52" s="2475">
        <f>'数据-取费表'!B41</f>
        <v>5.5000000000000007E-2</v>
      </c>
      <c r="G52" s="2476"/>
      <c r="H52" s="2141"/>
      <c r="I52" s="2507"/>
      <c r="J52" s="618">
        <v>1</v>
      </c>
      <c r="K52" s="3553" t="s">
        <v>863</v>
      </c>
      <c r="L52" s="3553"/>
      <c r="M52" s="2508" t="b">
        <f>D48</f>
        <v>0</v>
      </c>
      <c r="N52" s="618" t="str">
        <f>E48</f>
        <v>销售额×税（费）率</v>
      </c>
      <c r="O52" s="2509">
        <f>F48</f>
        <v>5.5000000000000007E-2</v>
      </c>
    </row>
    <row r="53" spans="1:35" ht="12" customHeight="1">
      <c r="A53" s="2474" t="s">
        <v>864</v>
      </c>
      <c r="B53" s="3554" t="s">
        <v>865</v>
      </c>
      <c r="C53" s="3555"/>
      <c r="D53" s="2022">
        <f ca="1">ROUND(D45*'数据-取费表'!B41/(1+'数据-取费表'!C42),0)</f>
        <v>6</v>
      </c>
      <c r="E53" s="2026" t="s">
        <v>862</v>
      </c>
      <c r="F53" s="2475">
        <f>'数据-取费表'!B41</f>
        <v>5.5000000000000007E-2</v>
      </c>
      <c r="G53" s="2476"/>
      <c r="H53" s="2141"/>
      <c r="I53" s="2507"/>
      <c r="J53" s="618">
        <v>2</v>
      </c>
      <c r="K53" s="3553" t="s">
        <v>866</v>
      </c>
      <c r="L53" s="3553"/>
      <c r="M53" s="2508">
        <f t="shared" ref="M53:O54" ca="1" si="0">D55</f>
        <v>0</v>
      </c>
      <c r="N53" s="618" t="str">
        <f t="shared" si="0"/>
        <v>销售额×税（费）率</v>
      </c>
      <c r="O53" s="2509" t="str">
        <f t="shared" si="0"/>
        <v>免征</v>
      </c>
    </row>
    <row r="54" spans="1:35" ht="12" customHeight="1">
      <c r="A54" s="2474" t="s">
        <v>867</v>
      </c>
      <c r="B54" s="3554" t="s">
        <v>868</v>
      </c>
      <c r="C54" s="3555"/>
      <c r="D54" s="2022">
        <f ca="1">C68</f>
        <v>6</v>
      </c>
      <c r="E54" s="2036" t="s">
        <v>869</v>
      </c>
      <c r="F54" s="2475">
        <f>'数据-取费表'!B41</f>
        <v>5.5000000000000007E-2</v>
      </c>
      <c r="G54" s="2476"/>
      <c r="H54" s="2477"/>
      <c r="I54" s="2507"/>
      <c r="J54" s="618">
        <v>3</v>
      </c>
      <c r="K54" s="3553" t="s">
        <v>870</v>
      </c>
      <c r="L54" s="3553"/>
      <c r="M54" s="2508">
        <f t="shared" ca="1" si="0"/>
        <v>60</v>
      </c>
      <c r="N54" s="618" t="str">
        <f t="shared" si="0"/>
        <v>增值额×税（费）率</v>
      </c>
      <c r="O54" s="2510" t="str">
        <f t="shared" si="0"/>
        <v>免征</v>
      </c>
    </row>
    <row r="55" spans="1:35" ht="24" customHeight="1">
      <c r="A55" s="3556" t="s">
        <v>871</v>
      </c>
      <c r="B55" s="3549"/>
      <c r="C55" s="3549"/>
      <c r="D55" s="2126">
        <f ca="1">IF(H55="个人住宅",0,ROUND(D45*I55,0))</f>
        <v>0</v>
      </c>
      <c r="E55" s="2026" t="s">
        <v>872</v>
      </c>
      <c r="F55" s="2475" t="str">
        <f>IF(H55="正常",I55,"免征")</f>
        <v>免征</v>
      </c>
      <c r="G55" s="2476"/>
      <c r="H55" s="2466"/>
      <c r="I55" s="2511">
        <f>'数据-取费表'!B49</f>
        <v>5.0000000000000001E-4</v>
      </c>
      <c r="J55" s="618">
        <f>IF(H59="非个人房产","",4)</f>
        <v>4</v>
      </c>
      <c r="K55" s="3553" t="str">
        <f>IF(H59="非个人房产","——","个人所得税")</f>
        <v>个人所得税</v>
      </c>
      <c r="L55" s="3553"/>
      <c r="M55" s="2512">
        <f ca="1">D59</f>
        <v>1</v>
      </c>
      <c r="N55" s="599" t="str">
        <f>E59</f>
        <v>差额计税</v>
      </c>
      <c r="O55" s="2513">
        <f>F59</f>
        <v>0.01</v>
      </c>
    </row>
    <row r="56" spans="1:35" ht="24.75">
      <c r="A56" s="3556" t="s">
        <v>873</v>
      </c>
      <c r="B56" s="3549"/>
      <c r="C56" s="3549"/>
      <c r="D56" s="2126">
        <f ca="1">IF(H56="个人住宅",D57,D58)</f>
        <v>60</v>
      </c>
      <c r="E56" s="2026" t="s">
        <v>874</v>
      </c>
      <c r="F56" s="2475" t="str">
        <f>IF(H56="正常",F58,"免征")</f>
        <v>免征</v>
      </c>
      <c r="G56" s="2478" t="s">
        <v>875</v>
      </c>
      <c r="H56" s="2479"/>
      <c r="I56" s="2488"/>
      <c r="J56" s="618" t="str">
        <f>IF(项目基本情况!K6="上海银行",IF(J55="",4,J55+1),"")</f>
        <v/>
      </c>
      <c r="K56" s="3560" t="str">
        <f>IF(项目基本情况!K6="上海银行","其他处置费用","")</f>
        <v/>
      </c>
      <c r="L56" s="3561"/>
      <c r="M56" s="2508" t="str">
        <f>IF(项目基本情况!K6="上海银行",M69,"")</f>
        <v/>
      </c>
      <c r="N56" s="3560" t="str">
        <f>IF(项目基本情况!K6="上海银行","包含处置中涉及的律师、诉讼、拍卖、评估等费用","")</f>
        <v/>
      </c>
      <c r="O56" s="3562"/>
    </row>
    <row r="57" spans="1:35" ht="12.75">
      <c r="A57" s="2474" t="s">
        <v>846</v>
      </c>
      <c r="B57" s="3554" t="s">
        <v>876</v>
      </c>
      <c r="C57" s="3555"/>
      <c r="D57" s="2467">
        <v>0</v>
      </c>
      <c r="E57" s="2032" t="s">
        <v>848</v>
      </c>
      <c r="F57" s="1972"/>
      <c r="G57" s="2476"/>
      <c r="H57" s="2480"/>
      <c r="I57" s="2488"/>
      <c r="J57" s="3553">
        <f>IF(AND(J55="",J56=""),4,IF(项目基本情况!K6="上海银行",结果表!J56+1,结果表!J55+1))</f>
        <v>5</v>
      </c>
      <c r="K57" s="3553" t="s">
        <v>877</v>
      </c>
      <c r="L57" s="2514" t="s">
        <v>878</v>
      </c>
      <c r="M57" s="2515"/>
      <c r="N57" s="2516">
        <f ca="1">SUMIF(M52:M56,"&lt;9e307")</f>
        <v>61</v>
      </c>
      <c r="O57" s="2517"/>
      <c r="P57" s="2518">
        <f ca="1">N57/M49</f>
        <v>0.57547169811320753</v>
      </c>
    </row>
    <row r="58" spans="1:35" ht="24.75">
      <c r="A58" s="2474" t="s">
        <v>860</v>
      </c>
      <c r="B58" s="3554" t="s">
        <v>879</v>
      </c>
      <c r="C58" s="3551"/>
      <c r="D58" s="2126">
        <f ca="1">IF(H58="转让取得",C81,C97)</f>
        <v>60</v>
      </c>
      <c r="E58" s="2026" t="s">
        <v>874</v>
      </c>
      <c r="F58" s="1972" t="s">
        <v>124</v>
      </c>
      <c r="G58" s="2476"/>
      <c r="H58" s="2479"/>
      <c r="I58" s="2488"/>
      <c r="J58" s="3553"/>
      <c r="K58" s="3553"/>
      <c r="L58" s="2514" t="s">
        <v>880</v>
      </c>
      <c r="M58" s="2519"/>
      <c r="N58" s="2520" t="str">
        <f ca="1">NUMBERSTRING(INT(N57*10000),2)&amp;"元整"</f>
        <v>陆拾壹万元整</v>
      </c>
      <c r="O58" s="2521"/>
    </row>
    <row r="59" spans="1:35" ht="24">
      <c r="A59" s="3563" t="s">
        <v>881</v>
      </c>
      <c r="B59" s="3564"/>
      <c r="C59" s="3564"/>
      <c r="D59" s="2481">
        <f ca="1">IF(H59="非个人房产","——",IF(H59="个人住宅（满五唯一有凭证）",0,IF(H59="个人其他（无凭证）",ROUND(D45*F59,0),ROUND(C67*F59,0))))</f>
        <v>1</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875</v>
      </c>
      <c r="H59" s="2485"/>
      <c r="I59" s="2522" t="s">
        <v>882</v>
      </c>
      <c r="J59" s="3568">
        <f>J57+1</f>
        <v>6</v>
      </c>
      <c r="K59" s="3553" t="s">
        <v>883</v>
      </c>
      <c r="L59" s="618" t="s">
        <v>878</v>
      </c>
      <c r="M59" s="2523"/>
      <c r="N59" s="2524">
        <f ca="1">M49-N57</f>
        <v>45</v>
      </c>
      <c r="O59" s="2525"/>
    </row>
    <row r="60" spans="1:35" ht="12" customHeight="1">
      <c r="A60" s="2486"/>
      <c r="B60" s="2361"/>
      <c r="C60" s="2361"/>
      <c r="D60" s="2361"/>
      <c r="E60" s="2487"/>
      <c r="F60" s="2488"/>
      <c r="G60" s="2488"/>
      <c r="H60" s="2489"/>
      <c r="I60" s="993"/>
      <c r="J60" s="3569"/>
      <c r="K60" s="3553"/>
      <c r="L60" s="2514" t="s">
        <v>880</v>
      </c>
      <c r="M60" s="2519"/>
      <c r="N60" s="2520" t="str">
        <f ca="1">NUMBERSTRING(INT(N59*10000),2)&amp;"元整"</f>
        <v>肆拾伍万元整</v>
      </c>
      <c r="O60" s="2521"/>
    </row>
    <row r="61" spans="1:35" ht="12.75">
      <c r="A61" s="3565" t="s">
        <v>884</v>
      </c>
      <c r="B61" s="3565"/>
      <c r="C61" s="3565"/>
      <c r="D61" s="3565"/>
      <c r="E61" s="3565"/>
      <c r="F61" s="2488"/>
      <c r="G61" s="2488"/>
      <c r="H61" s="2489"/>
      <c r="I61" s="993"/>
      <c r="J61" s="618">
        <f>J59+1</f>
        <v>7</v>
      </c>
      <c r="K61" s="3553" t="s">
        <v>885</v>
      </c>
      <c r="L61" s="3553"/>
      <c r="M61" s="2526"/>
      <c r="N61" s="2527">
        <f ca="1">ROUND(N59*10000/'数据-汇总表'!E3,0)</f>
        <v>9671</v>
      </c>
      <c r="O61" s="2528"/>
    </row>
    <row r="62" spans="1:35" ht="12.75">
      <c r="A62" s="3566" t="s">
        <v>886</v>
      </c>
      <c r="B62" s="3567"/>
      <c r="C62" s="569"/>
      <c r="D62" s="569" t="s">
        <v>887</v>
      </c>
      <c r="E62" s="2490" t="s">
        <v>841</v>
      </c>
      <c r="F62" s="2488"/>
      <c r="G62" s="2488"/>
      <c r="H62" s="2489"/>
      <c r="I62" s="993"/>
    </row>
    <row r="63" spans="1:35" ht="12.75">
      <c r="A63" s="2491" t="s">
        <v>888</v>
      </c>
      <c r="B63" s="628" t="s">
        <v>889</v>
      </c>
      <c r="C63" s="2492">
        <f ca="1">ROUND((C64+C65)/(1+'数据-取费表'!C42),0)</f>
        <v>101</v>
      </c>
      <c r="D63" s="628"/>
      <c r="E63" s="2493"/>
      <c r="F63" s="2488"/>
      <c r="G63" s="2488"/>
      <c r="H63" s="2489"/>
      <c r="I63" s="993"/>
      <c r="J63" s="3552" t="s">
        <v>890</v>
      </c>
      <c r="K63" s="2529" t="s">
        <v>891</v>
      </c>
      <c r="L63" s="2529">
        <f ca="1">IF(M49&gt;10000,M49*0.5%,IF(AND(M49&gt;1000,M49&lt;=10000),M49*1%,IF(AND(M49&gt;100,M49&lt;=1000),M49*3%,IF(AND(M49&gt;10,M49&lt;=100),M49*5%,M49*8%))))</f>
        <v>3.1799999999999997</v>
      </c>
      <c r="M63" s="1972">
        <f ca="1">ROUND(L63,1)</f>
        <v>3.2</v>
      </c>
      <c r="N63" s="2530"/>
      <c r="Z63" s="2358"/>
      <c r="AI63" s="2359"/>
    </row>
    <row r="64" spans="1:35" ht="14.25" customHeight="1">
      <c r="A64" s="2494" t="s">
        <v>892</v>
      </c>
      <c r="B64" s="555" t="s">
        <v>893</v>
      </c>
      <c r="C64" s="2495">
        <f ca="1">D45</f>
        <v>106</v>
      </c>
      <c r="D64" s="555" t="s">
        <v>124</v>
      </c>
      <c r="E64" s="2496"/>
      <c r="F64" s="2488"/>
      <c r="G64" s="2488"/>
      <c r="H64" s="2489"/>
      <c r="I64" s="993"/>
      <c r="J64" s="3552"/>
      <c r="K64" s="2529" t="s">
        <v>894</v>
      </c>
      <c r="L64" s="2529">
        <f ca="1">IF(M49&gt;2000,M49*0.5%,IF(AND(M49&gt;1000,M49&lt;=2000),M49*0.6%,IF(AND(M49&gt;500,M49&lt;=1000),M49*0.7%,IF(AND(M49&gt;200,M49&lt;=500),M49*0.8%,IF(AND(M49&gt;100,M49&lt;=200),M49*0.9%,IF(AND(M49&gt;50,M49&lt;=100),M49*1%,IF(AND(M49&gt;20,M49&lt;=50),M49*1.5%,IF(AND(M49&gt;10,M49&lt;=20),M49*2%,IF(AND(M49&gt;1,M49&lt;=10),M49*2.5%)))))))))</f>
        <v>0.95400000000000007</v>
      </c>
      <c r="M64" s="1972">
        <f t="shared" ref="M64:M65" ca="1" si="1">ROUND(L64,1)</f>
        <v>1</v>
      </c>
      <c r="N64" s="2141" t="s">
        <v>895</v>
      </c>
      <c r="Z64" s="2358"/>
      <c r="AI64" s="2359"/>
    </row>
    <row r="65" spans="1:35" ht="14.25" customHeight="1">
      <c r="A65" s="2494" t="s">
        <v>896</v>
      </c>
      <c r="B65" s="555" t="s">
        <v>897</v>
      </c>
      <c r="C65" s="2532"/>
      <c r="D65" s="555"/>
      <c r="E65" s="2496"/>
      <c r="F65" s="2488"/>
      <c r="G65" s="2488"/>
      <c r="H65" s="2489"/>
      <c r="I65" s="993"/>
      <c r="J65" s="3552"/>
      <c r="K65" s="2529" t="s">
        <v>898</v>
      </c>
      <c r="L65" s="2529">
        <f ca="1">IF(M49&gt;1000,M49*0.1%,IF(AND(M49&gt;500,M49&lt;=1000),M49*0.5%,IF(AND(M49&gt;50,M49&lt;=500),M49*1%,IF(AND(M49&gt;1,M49&lt;=50),M49*1.5%))))</f>
        <v>1.06</v>
      </c>
      <c r="M65" s="1972">
        <f t="shared" ca="1" si="1"/>
        <v>1.1000000000000001</v>
      </c>
      <c r="N65" s="2141" t="s">
        <v>895</v>
      </c>
      <c r="Z65" s="2358"/>
      <c r="AI65" s="2359"/>
    </row>
    <row r="66" spans="1:35" ht="14.25" customHeight="1">
      <c r="A66" s="2491" t="s">
        <v>899</v>
      </c>
      <c r="B66" s="2533" t="s">
        <v>900</v>
      </c>
      <c r="C66" s="2534"/>
      <c r="D66" s="2533" t="s">
        <v>124</v>
      </c>
      <c r="E66" s="2535" t="s">
        <v>901</v>
      </c>
      <c r="F66" s="2488"/>
      <c r="G66" s="2488"/>
      <c r="H66" s="2489"/>
      <c r="I66" s="993"/>
      <c r="J66" s="3552"/>
      <c r="K66" s="2529" t="s">
        <v>902</v>
      </c>
      <c r="L66" s="2529">
        <f ca="1">M49*0.5%</f>
        <v>0.53</v>
      </c>
      <c r="M66" s="1972">
        <f ca="1">IF(L66&gt;0.5,0.5,ROUND(L66,0))</f>
        <v>0.5</v>
      </c>
      <c r="N66" s="2141" t="s">
        <v>903</v>
      </c>
      <c r="Z66" s="2358"/>
      <c r="AI66" s="2359"/>
    </row>
    <row r="67" spans="1:35" ht="14.25" customHeight="1">
      <c r="A67" s="2491" t="s">
        <v>904</v>
      </c>
      <c r="B67" s="2533" t="s">
        <v>905</v>
      </c>
      <c r="C67" s="2536">
        <f ca="1">C63-C66</f>
        <v>101</v>
      </c>
      <c r="D67" s="555" t="s">
        <v>124</v>
      </c>
      <c r="E67" s="2496"/>
      <c r="F67" s="2488"/>
      <c r="G67" s="2488"/>
      <c r="H67" s="2489"/>
      <c r="I67" s="993"/>
      <c r="J67" s="3552"/>
      <c r="K67" s="2529" t="s">
        <v>906</v>
      </c>
      <c r="L67" s="2529">
        <f ca="1">IF(M49&gt;=10000,(8.25+(M49-10000)*0.01%),IF(AND(M49&gt;=8000,M49&lt;10000),(7.85+(M49-8000)*0.02%),IF(AND(M49&gt;=5000,M49&lt;8000),(6.65+(M49-5000)*0.04%),IF(AND(M49&gt;=2000,M49&lt;5000),(4.25+(PM49-2000)*0.08%),IF(AND(M49&gt;=1000,M49&lt;2000),(2.75+(M49-1000)*0.15%),IF(AND(M49&gt;=100,M49&lt;1000),(0.5+(M49-100)*0.25%),IF(AND(M49&gt;0,M49&lt;100),M49*0.5%)))))))</f>
        <v>0.51500000000000001</v>
      </c>
      <c r="M67" s="1972">
        <f ca="1">ROUND(L67*0.9,1)</f>
        <v>0.5</v>
      </c>
      <c r="N67" s="2530"/>
      <c r="Z67" s="2358"/>
      <c r="AI67" s="2359"/>
    </row>
    <row r="68" spans="1:35" ht="14.25" customHeight="1">
      <c r="A68" s="2537" t="s">
        <v>907</v>
      </c>
      <c r="B68" s="2538" t="s">
        <v>908</v>
      </c>
      <c r="C68" s="2539">
        <f ca="1">IF(C67&lt;=0,0,ROUND(C67*D68,0))</f>
        <v>6</v>
      </c>
      <c r="D68" s="821">
        <f>'数据-取费表'!B41</f>
        <v>5.5000000000000007E-2</v>
      </c>
      <c r="E68" s="2540"/>
      <c r="F68" s="2488"/>
      <c r="G68" s="2488"/>
      <c r="H68" s="2489"/>
      <c r="I68" s="993"/>
      <c r="J68" s="3552"/>
      <c r="K68" s="2529" t="s">
        <v>909</v>
      </c>
      <c r="L68" s="2529">
        <f ca="1">IF(M49&gt;10000,M49*0.5%,IF(AND(M49&gt;5000,M49&lt;=10000),M49*1%,IF(AND(M49&gt;1000,M49&lt;=5000),M49*2%,IF(AND(M49&gt;200,M49&lt;=1000),M49*3%,M49*5%))))</f>
        <v>5.3000000000000007</v>
      </c>
      <c r="M68" s="1972">
        <f ca="1">ROUND(L68,1)</f>
        <v>5.3</v>
      </c>
      <c r="N68" s="2530"/>
      <c r="Z68" s="2358"/>
      <c r="AI68" s="2359"/>
    </row>
    <row r="69" spans="1:35" s="2356" customFormat="1" ht="16.5" customHeight="1">
      <c r="A69" s="2541"/>
      <c r="B69" s="2542"/>
      <c r="C69" s="2543"/>
      <c r="D69" s="738"/>
      <c r="E69" s="2544"/>
      <c r="F69" s="2487"/>
      <c r="G69" s="2487"/>
      <c r="H69" s="2447"/>
      <c r="I69" s="2361"/>
      <c r="J69" s="3552"/>
      <c r="K69" s="2529" t="s">
        <v>910</v>
      </c>
      <c r="L69" s="2529"/>
      <c r="M69" s="1972">
        <f ca="1">ROUND(SUM(M63:M68),0)</f>
        <v>12</v>
      </c>
      <c r="N69" s="2607">
        <f ca="1">M69/M49</f>
        <v>0.11320754716981132</v>
      </c>
      <c r="O69" s="950"/>
      <c r="P69" s="950"/>
      <c r="Q69" s="950"/>
      <c r="R69" s="950"/>
      <c r="S69" s="950"/>
      <c r="T69" s="950"/>
      <c r="U69" s="950"/>
      <c r="V69" s="950"/>
      <c r="W69" s="950"/>
      <c r="X69" s="950"/>
      <c r="Y69" s="950"/>
      <c r="Z69" s="2358"/>
      <c r="AA69" s="2358"/>
      <c r="AB69" s="2358"/>
      <c r="AC69" s="2358"/>
      <c r="AD69" s="2358"/>
      <c r="AE69" s="2358"/>
      <c r="AF69" s="2358"/>
      <c r="AG69" s="2358"/>
      <c r="AH69" s="2358"/>
    </row>
    <row r="70" spans="1:35" s="2357" customFormat="1" ht="14.25">
      <c r="A70" s="3590" t="s">
        <v>911</v>
      </c>
      <c r="B70" s="3591"/>
      <c r="C70" s="3591"/>
      <c r="D70" s="3591"/>
      <c r="E70" s="3591"/>
      <c r="F70" s="3591"/>
      <c r="G70" s="3591"/>
      <c r="H70" s="3591"/>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66" t="s">
        <v>886</v>
      </c>
      <c r="B71" s="3567"/>
      <c r="C71" s="569"/>
      <c r="D71" s="569" t="s">
        <v>887</v>
      </c>
      <c r="E71" s="2545" t="s">
        <v>841</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888</v>
      </c>
      <c r="B72" s="2533" t="s">
        <v>912</v>
      </c>
      <c r="C72" s="2536">
        <f ca="1">ROUND(D45/(1+'数据-取费表'!C42),0)</f>
        <v>101</v>
      </c>
      <c r="D72" s="555" t="s">
        <v>124</v>
      </c>
      <c r="E72" s="2003"/>
      <c r="F72" s="2004"/>
      <c r="G72" s="2004"/>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899</v>
      </c>
      <c r="B73" s="2460" t="s">
        <v>913</v>
      </c>
      <c r="C73" s="2536">
        <f ca="1">C74+C78</f>
        <v>1</v>
      </c>
      <c r="D73" s="555" t="s">
        <v>124</v>
      </c>
      <c r="E73" s="2003"/>
      <c r="F73" s="2004"/>
      <c r="G73" s="2004"/>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892</v>
      </c>
      <c r="B74" s="555" t="s">
        <v>914</v>
      </c>
      <c r="C74" s="555">
        <f>ROUND(IF(G77="2016年5月1日后购买",C75/(1+'数据-取费表'!C42)+C76+C77,C75+C76+C77),0)</f>
        <v>0</v>
      </c>
      <c r="D74" s="555" t="s">
        <v>124</v>
      </c>
      <c r="E74" s="2003"/>
      <c r="F74" s="2004"/>
      <c r="G74" s="2004"/>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915</v>
      </c>
      <c r="B75" s="555" t="s">
        <v>916</v>
      </c>
      <c r="C75" s="2549"/>
      <c r="D75" s="555" t="s">
        <v>124</v>
      </c>
      <c r="E75" s="2550" t="s">
        <v>917</v>
      </c>
      <c r="F75" s="2551"/>
      <c r="G75" s="2550" t="s">
        <v>918</v>
      </c>
      <c r="H75" s="2552"/>
      <c r="I75" s="84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919</v>
      </c>
      <c r="B76" s="2553" t="s">
        <v>920</v>
      </c>
      <c r="C76" s="555">
        <f>IF(F75="购房发票",ROUND(C75*H75*D76,0),0)</f>
        <v>0</v>
      </c>
      <c r="D76" s="2554">
        <v>0.05</v>
      </c>
      <c r="E76" s="3554" t="s">
        <v>921</v>
      </c>
      <c r="F76" s="3551"/>
      <c r="G76" s="3551"/>
      <c r="H76" s="3592"/>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922</v>
      </c>
      <c r="B77" s="555" t="s">
        <v>923</v>
      </c>
      <c r="C77" s="555">
        <f>ROUND(IF(G77="个人住宅",0,IF(G77="2016年5月1日前购买",C75*D77,C75*D77/(1+'数据-取费表'!C42))),0)</f>
        <v>0</v>
      </c>
      <c r="D77" s="2556">
        <f>'数据-取费表'!B48+'数据-取费表'!B49</f>
        <v>3.0499999999999999E-2</v>
      </c>
      <c r="E77" s="2126" t="s">
        <v>924</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896</v>
      </c>
      <c r="B78" s="555" t="s">
        <v>925</v>
      </c>
      <c r="C78" s="2559">
        <f ca="1">ROUND(D45*D78/(1+'数据-取费表'!C42),0)</f>
        <v>1</v>
      </c>
      <c r="D78" s="2560">
        <f>'数据-取费表'!B43</f>
        <v>5.000000000000001E-3</v>
      </c>
      <c r="E78" s="3593" t="s">
        <v>926</v>
      </c>
      <c r="F78" s="3594"/>
      <c r="G78" s="3594"/>
      <c r="H78" s="3595"/>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904</v>
      </c>
      <c r="B79" s="2533" t="s">
        <v>927</v>
      </c>
      <c r="C79" s="2536">
        <f ca="1">C72-C73</f>
        <v>100</v>
      </c>
      <c r="D79" s="555" t="s">
        <v>124</v>
      </c>
      <c r="E79" s="2003"/>
      <c r="F79" s="2004"/>
      <c r="G79" s="2004"/>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907</v>
      </c>
      <c r="B80" s="2533" t="s">
        <v>928</v>
      </c>
      <c r="C80" s="2564">
        <f ca="1">IF(C79&lt;=0,0,C79/C73)</f>
        <v>100</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929</v>
      </c>
      <c r="B81" s="2538" t="s">
        <v>930</v>
      </c>
      <c r="C81" s="2565">
        <f ca="1">ROUND(IF(C79&lt;=0,0,IF(C80&gt;=200%,C79*60%-C73*35%,IF(C80&gt;=100%,C79*50%-C73*15%,IF(C80&gt;=50%,C79*40%-C73*5%,IF(C80&lt;50%,C79*30%,0))))),0)</f>
        <v>60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2"/>
      <c r="D82" s="722"/>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90" t="s">
        <v>931</v>
      </c>
      <c r="B83" s="3591"/>
      <c r="C83" s="3591"/>
      <c r="D83" s="3591"/>
      <c r="E83" s="3591"/>
      <c r="F83" s="3591"/>
      <c r="G83" s="3591"/>
      <c r="H83" s="3591"/>
      <c r="I83" s="84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66" t="s">
        <v>886</v>
      </c>
      <c r="B84" s="3567"/>
      <c r="C84" s="569"/>
      <c r="D84" s="569" t="s">
        <v>887</v>
      </c>
      <c r="E84" s="2545" t="s">
        <v>841</v>
      </c>
      <c r="F84" s="2546"/>
      <c r="G84" s="2546"/>
      <c r="H84" s="2573"/>
      <c r="I84" s="84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888</v>
      </c>
      <c r="B85" s="2533" t="s">
        <v>912</v>
      </c>
      <c r="C85" s="2536">
        <f ca="1">ROUND(D45/(1+'数据-取费表'!C42),0)</f>
        <v>101</v>
      </c>
      <c r="D85" s="555" t="s">
        <v>124</v>
      </c>
      <c r="E85" s="2003"/>
      <c r="F85" s="2004"/>
      <c r="G85" s="2004"/>
      <c r="H85" s="2574"/>
      <c r="I85" s="84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899</v>
      </c>
      <c r="B86" s="2460" t="s">
        <v>913</v>
      </c>
      <c r="C86" s="2536">
        <f ca="1">IF(H88="仅含出让金",C87+C90+C91+C92+C93+C94,C87+C91+C92+C93+C94)</f>
        <v>1</v>
      </c>
      <c r="D86" s="2575"/>
      <c r="E86" s="2003"/>
      <c r="F86" s="2004"/>
      <c r="G86" s="2004"/>
      <c r="H86" s="2574"/>
      <c r="I86" s="84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892</v>
      </c>
      <c r="B87" s="555" t="s">
        <v>932</v>
      </c>
      <c r="C87" s="2559">
        <f>C88+C89</f>
        <v>0</v>
      </c>
      <c r="D87" s="2560"/>
      <c r="E87" s="2561"/>
      <c r="F87" s="2562"/>
      <c r="G87" s="2562"/>
      <c r="H87" s="2563"/>
      <c r="I87" s="84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915</v>
      </c>
      <c r="B88" s="555" t="s">
        <v>933</v>
      </c>
      <c r="C88" s="2576"/>
      <c r="D88" s="2560"/>
      <c r="E88" s="2577" t="s">
        <v>934</v>
      </c>
      <c r="F88" s="2562"/>
      <c r="G88" s="2578" t="s">
        <v>935</v>
      </c>
      <c r="H88" s="2579"/>
      <c r="I88" s="840"/>
      <c r="J88" s="2613" t="s">
        <v>936</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919</v>
      </c>
      <c r="B89" s="555" t="s">
        <v>923</v>
      </c>
      <c r="C89" s="2559">
        <f>ROUND(C88*D89,0)</f>
        <v>0</v>
      </c>
      <c r="D89" s="2560">
        <f>'数据-取费表'!B48+'数据-取费表'!B49</f>
        <v>3.0499999999999999E-2</v>
      </c>
      <c r="E89" s="2577" t="s">
        <v>937</v>
      </c>
      <c r="F89" s="2562"/>
      <c r="G89" s="2562"/>
      <c r="H89" s="2563"/>
      <c r="I89" s="84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896</v>
      </c>
      <c r="B90" s="555" t="s">
        <v>938</v>
      </c>
      <c r="C90" s="2576"/>
      <c r="D90" s="2560"/>
      <c r="E90" s="2577" t="str">
        <f>IF(H88="-","土地取得成本中已包含该笔费用"," ")</f>
        <v/>
      </c>
      <c r="F90" s="2562"/>
      <c r="G90" s="3602" t="s">
        <v>939</v>
      </c>
      <c r="H90" s="3603"/>
      <c r="I90" s="840"/>
      <c r="J90" s="2613" t="s">
        <v>940</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941</v>
      </c>
      <c r="B91" s="555" t="s">
        <v>942</v>
      </c>
      <c r="C91" s="2559">
        <f>IF(H91="——",成本法!C33,I91)</f>
        <v>0</v>
      </c>
      <c r="D91" s="2560"/>
      <c r="E91" s="3593" t="s">
        <v>943</v>
      </c>
      <c r="F91" s="3594"/>
      <c r="G91" s="3594"/>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944</v>
      </c>
      <c r="B92" s="555" t="s">
        <v>945</v>
      </c>
      <c r="C92" s="2559">
        <f>ROUND((C87+C90+C91)*D92,0)</f>
        <v>0</v>
      </c>
      <c r="D92" s="2581"/>
      <c r="E92" s="3593" t="s">
        <v>946</v>
      </c>
      <c r="F92" s="3594"/>
      <c r="G92" s="3594"/>
      <c r="H92" s="3595"/>
      <c r="I92" s="840"/>
      <c r="J92" s="2615" t="s">
        <v>947</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948</v>
      </c>
      <c r="B93" s="555" t="s">
        <v>925</v>
      </c>
      <c r="C93" s="2559">
        <f ca="1">ROUND(D45*D93/(1+'数据-取费表'!C42),0)</f>
        <v>1</v>
      </c>
      <c r="D93" s="2560">
        <f>'数据-取费表'!B43</f>
        <v>5.000000000000001E-3</v>
      </c>
      <c r="E93" s="3593" t="s">
        <v>926</v>
      </c>
      <c r="F93" s="3594"/>
      <c r="G93" s="3594"/>
      <c r="H93" s="3595"/>
      <c r="I93" s="84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949</v>
      </c>
      <c r="B94" s="555" t="s">
        <v>950</v>
      </c>
      <c r="C94" s="2576">
        <f>ROUND((C87+C90+C91)*D94,0)</f>
        <v>0</v>
      </c>
      <c r="D94" s="2560">
        <v>0.2</v>
      </c>
      <c r="E94" s="3615" t="s">
        <v>951</v>
      </c>
      <c r="F94" s="3616"/>
      <c r="G94" s="3616"/>
      <c r="H94" s="3617"/>
      <c r="I94" s="84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904</v>
      </c>
      <c r="B95" s="2533" t="s">
        <v>927</v>
      </c>
      <c r="C95" s="2536">
        <f ca="1">ROUND(C85-C86,0)</f>
        <v>100</v>
      </c>
      <c r="D95" s="555" t="s">
        <v>124</v>
      </c>
      <c r="E95" s="2003"/>
      <c r="F95" s="2004"/>
      <c r="G95" s="2004"/>
      <c r="H95" s="2574"/>
      <c r="I95" s="84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907</v>
      </c>
      <c r="B96" s="2533" t="s">
        <v>928</v>
      </c>
      <c r="C96" s="2564">
        <f ca="1">IF(C95&lt;=0,0,C95/C86)</f>
        <v>100</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4"/>
      <c r="I96" s="84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929</v>
      </c>
      <c r="B97" s="2538" t="s">
        <v>930</v>
      </c>
      <c r="C97" s="2565">
        <f ca="1">ROUND(IF(C95&lt;=0,0,IF(C96&gt;=200%,C95*60%-C86*35%,IF(C96&gt;=100%,C95*50%-C86*15%,IF(C96&gt;=50%,C95*40%-C86*5%,IF(C96&lt;50%,C95*30%,0))))),0)</f>
        <v>60</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4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3"/>
    </row>
    <row r="99" spans="1:35" ht="21.75" customHeight="1">
      <c r="A99" s="2449" t="s">
        <v>952</v>
      </c>
      <c r="B99" s="2361"/>
      <c r="C99" s="2361"/>
      <c r="D99" s="2361"/>
      <c r="E99" s="2487"/>
      <c r="F99" s="2487"/>
      <c r="G99" s="2487"/>
      <c r="H99" s="2447"/>
      <c r="I99" s="993"/>
    </row>
    <row r="100" spans="1:35" ht="18.75" customHeight="1">
      <c r="A100" s="3518" t="s">
        <v>953</v>
      </c>
      <c r="B100" s="3519"/>
      <c r="C100" s="3519"/>
      <c r="D100" s="3578"/>
      <c r="E100" s="3519" t="s">
        <v>954</v>
      </c>
      <c r="F100" s="3519"/>
      <c r="G100" s="3519"/>
      <c r="H100" s="3578"/>
      <c r="I100" s="993"/>
    </row>
    <row r="101" spans="1:35" ht="18.75" customHeight="1">
      <c r="A101" s="3579" t="s">
        <v>955</v>
      </c>
      <c r="B101" s="3580"/>
      <c r="C101" s="2584" t="str">
        <f>C4</f>
        <v>比较法-办公</v>
      </c>
      <c r="D101" s="2585" t="str">
        <f>D4</f>
        <v>收益法 (元)</v>
      </c>
      <c r="E101" s="3596" t="s">
        <v>956</v>
      </c>
      <c r="F101" s="3597"/>
      <c r="G101" s="2587" t="s">
        <v>957</v>
      </c>
      <c r="H101" s="2588">
        <f ca="1">H118</f>
        <v>106</v>
      </c>
      <c r="I101" s="993"/>
    </row>
    <row r="102" spans="1:35" ht="18.75" customHeight="1">
      <c r="A102" s="3610" t="s">
        <v>958</v>
      </c>
      <c r="B102" s="2589" t="s">
        <v>957</v>
      </c>
      <c r="C102" s="2584">
        <f ca="1">IF(D32="楼面单价",ROUND(C19,0),C19)</f>
        <v>116</v>
      </c>
      <c r="D102" s="2585">
        <f ca="1">IF(D32="楼面单价",ROUND(D19,0),D19)</f>
        <v>83</v>
      </c>
      <c r="E102" s="3596"/>
      <c r="F102" s="3597"/>
      <c r="G102" s="2587" t="s">
        <v>99</v>
      </c>
      <c r="H102" s="2476">
        <f ca="1">I118</f>
        <v>22860</v>
      </c>
      <c r="I102" s="993"/>
    </row>
    <row r="103" spans="1:35" ht="42.75" customHeight="1">
      <c r="A103" s="3610"/>
      <c r="B103" s="2589" t="s">
        <v>99</v>
      </c>
      <c r="C103" s="2590">
        <f ca="1">C20</f>
        <v>25001</v>
      </c>
      <c r="D103" s="2591">
        <f ca="1">D20</f>
        <v>17865</v>
      </c>
      <c r="E103" s="3581" t="s">
        <v>959</v>
      </c>
      <c r="F103" s="3582"/>
      <c r="G103" s="2592" t="s">
        <v>102</v>
      </c>
      <c r="H103" s="2588">
        <f>IF(D36="正常操作",H104+H105+H106,H105+H106)</f>
        <v>0</v>
      </c>
      <c r="I103" s="993"/>
    </row>
    <row r="104" spans="1:35" ht="18.75" customHeight="1">
      <c r="A104" s="3610" t="s">
        <v>960</v>
      </c>
      <c r="B104" s="2593" t="s">
        <v>957</v>
      </c>
      <c r="C104" s="2594">
        <f ca="1">H118</f>
        <v>106</v>
      </c>
      <c r="D104" s="2595"/>
      <c r="E104" s="2432" t="s">
        <v>961</v>
      </c>
      <c r="F104" s="2596"/>
      <c r="G104" s="2592" t="s">
        <v>102</v>
      </c>
      <c r="H104" s="2597">
        <f>IF(D36="同一抵押权人同一抵押物续贷",C36&amp;"（续贷，未扣减，详见特别提示）",C36)</f>
        <v>0</v>
      </c>
      <c r="I104" s="993"/>
    </row>
    <row r="105" spans="1:35" ht="18.75" customHeight="1">
      <c r="A105" s="3611"/>
      <c r="B105" s="2598" t="s">
        <v>99</v>
      </c>
      <c r="C105" s="2599">
        <f ca="1">I118</f>
        <v>22860</v>
      </c>
      <c r="D105" s="2600"/>
      <c r="E105" s="2432" t="s">
        <v>962</v>
      </c>
      <c r="F105" s="2596"/>
      <c r="G105" s="2592" t="s">
        <v>102</v>
      </c>
      <c r="H105" s="2601">
        <f>C37</f>
        <v>0</v>
      </c>
      <c r="I105" s="993"/>
    </row>
    <row r="106" spans="1:35" ht="18.75" customHeight="1">
      <c r="A106" s="2361" t="s">
        <v>963</v>
      </c>
      <c r="B106" s="2361"/>
      <c r="C106" s="2361"/>
      <c r="D106" s="2361"/>
      <c r="E106" s="2602" t="s">
        <v>964</v>
      </c>
      <c r="F106" s="2596"/>
      <c r="G106" s="2592" t="s">
        <v>102</v>
      </c>
      <c r="H106" s="2601">
        <f>C38</f>
        <v>0</v>
      </c>
      <c r="I106" s="993"/>
    </row>
    <row r="107" spans="1:35" ht="18.75" customHeight="1">
      <c r="A107" s="993"/>
      <c r="B107" s="993"/>
      <c r="C107" s="993"/>
      <c r="D107" s="993"/>
      <c r="E107" s="3598" t="str">
        <f>IF(项目基本情况!E8="已注销","——","3.房地产抵押价值")</f>
        <v>3.房地产抵押价值</v>
      </c>
      <c r="F107" s="3597"/>
      <c r="G107" s="2587" t="s">
        <v>957</v>
      </c>
      <c r="H107" s="2588">
        <f ca="1">IF(E107="——","——",H101-H103)</f>
        <v>106</v>
      </c>
      <c r="I107" s="993"/>
    </row>
    <row r="108" spans="1:35" ht="18.75" customHeight="1">
      <c r="A108" s="993"/>
      <c r="B108" s="993"/>
      <c r="C108" s="993"/>
      <c r="D108" s="993"/>
      <c r="E108" s="3598"/>
      <c r="F108" s="3597"/>
      <c r="G108" s="2587" t="s">
        <v>99</v>
      </c>
      <c r="H108" s="2476">
        <f ca="1">IF(H107=H101,H102,ROUND(H107*10000/'数据-汇总表'!E3,0))</f>
        <v>22860</v>
      </c>
      <c r="I108" s="993"/>
    </row>
    <row r="109" spans="1:35" ht="18.75" customHeight="1">
      <c r="A109" s="993"/>
      <c r="B109" s="993"/>
      <c r="C109" s="993"/>
      <c r="D109" s="993"/>
      <c r="E109" s="3598" t="str">
        <f>IF(项目基本情况!E8="已注销及未注销","4.抵押担保权已注销时的房地产抵押价值",IF(项目基本情况!E8="已注销","3.抵押担保权已注销时的房地产抵押价值","——"))</f>
        <v>——</v>
      </c>
      <c r="F109" s="3597"/>
      <c r="G109" s="2587" t="s">
        <v>957</v>
      </c>
      <c r="H109" s="2603" t="str">
        <f>IF(E109="——","——",H101-H105-H106)</f>
        <v>——</v>
      </c>
      <c r="I109" s="993"/>
    </row>
    <row r="110" spans="1:35" ht="18.75" customHeight="1">
      <c r="A110" s="993"/>
      <c r="B110" s="993"/>
      <c r="C110" s="993"/>
      <c r="D110" s="993"/>
      <c r="E110" s="3598"/>
      <c r="F110" s="3597"/>
      <c r="G110" s="2587" t="s">
        <v>99</v>
      </c>
      <c r="H110" s="2476" t="str">
        <f>IF(H109="——","——",ROUND(H109*10000/'数据-汇总表'!E3,0))</f>
        <v>——</v>
      </c>
      <c r="I110" s="993"/>
    </row>
    <row r="111" spans="1:35" ht="18.75" customHeight="1">
      <c r="A111" s="993"/>
      <c r="B111" s="993"/>
      <c r="C111" s="993"/>
      <c r="D111" s="993"/>
      <c r="E111" s="3599" t="str">
        <f>IF(项目基本情况!E9="抵押净值",IF(OR(项目基本情况!E8="已注销",项目基本情况!E8="房地产抵押价值"),"4.抵押净值","5.抵押净值"),"——")</f>
        <v>——</v>
      </c>
      <c r="F111" s="3570"/>
      <c r="G111" s="2587" t="s">
        <v>957</v>
      </c>
      <c r="H111" s="2588" t="str">
        <f>IF(E111="——","——",N59)</f>
        <v>——</v>
      </c>
      <c r="I111" s="993"/>
    </row>
    <row r="112" spans="1:35" ht="18.75" customHeight="1">
      <c r="A112" s="993"/>
      <c r="B112" s="993"/>
      <c r="C112" s="993">
        <f ca="1">ROUND(C105*B118/10000,4)</f>
        <v>106.3676</v>
      </c>
      <c r="D112" s="993"/>
      <c r="E112" s="3600"/>
      <c r="F112" s="3601"/>
      <c r="G112" s="2604" t="s">
        <v>99</v>
      </c>
      <c r="H112" s="2605" t="str">
        <f>IF(E111="——","——",N61)</f>
        <v>——</v>
      </c>
      <c r="I112" s="993"/>
    </row>
    <row r="113" spans="1:27" ht="18.75" customHeight="1">
      <c r="A113" s="993"/>
      <c r="B113" s="993"/>
      <c r="C113" s="993"/>
      <c r="D113" s="993"/>
      <c r="E113" s="3583" t="s">
        <v>963</v>
      </c>
      <c r="F113" s="3583"/>
      <c r="G113" s="3583"/>
      <c r="H113" s="3583"/>
      <c r="I113" s="993"/>
    </row>
    <row r="114" spans="1:27" ht="3.75" customHeight="1">
      <c r="A114" s="2361"/>
      <c r="B114" s="2361"/>
      <c r="C114" s="2361"/>
      <c r="D114" s="2361"/>
      <c r="E114" s="2486"/>
      <c r="F114" s="2486"/>
      <c r="G114" s="2486"/>
      <c r="H114" s="2486"/>
      <c r="I114" s="2361"/>
    </row>
    <row r="115" spans="1:27" ht="18.75" customHeight="1">
      <c r="A115" s="3584" t="s">
        <v>965</v>
      </c>
      <c r="B115" s="3585"/>
      <c r="C115" s="3585"/>
      <c r="D115" s="3585"/>
      <c r="E115" s="3585"/>
      <c r="F115" s="3585"/>
      <c r="G115" s="3585"/>
      <c r="H115" s="3585"/>
      <c r="I115" s="3586"/>
    </row>
    <row r="116" spans="1:27" ht="27" customHeight="1">
      <c r="A116" s="3574" t="s">
        <v>966</v>
      </c>
      <c r="B116" s="3613" t="s">
        <v>967</v>
      </c>
      <c r="C116" s="3613" t="s">
        <v>968</v>
      </c>
      <c r="D116" s="3587" t="s">
        <v>969</v>
      </c>
      <c r="E116" s="3588"/>
      <c r="F116" s="3589" t="s">
        <v>970</v>
      </c>
      <c r="G116" s="3589"/>
      <c r="H116" s="3574" t="s">
        <v>971</v>
      </c>
      <c r="I116" s="3574"/>
    </row>
    <row r="117" spans="1:27" ht="18.75" customHeight="1">
      <c r="A117" s="3574"/>
      <c r="B117" s="3614"/>
      <c r="C117" s="3614"/>
      <c r="D117" s="2371" t="s">
        <v>972</v>
      </c>
      <c r="E117" s="2371" t="s">
        <v>801</v>
      </c>
      <c r="F117" s="2371" t="s">
        <v>972</v>
      </c>
      <c r="G117" s="2371" t="s">
        <v>801</v>
      </c>
      <c r="H117" s="2371" t="s">
        <v>972</v>
      </c>
      <c r="I117" s="2371" t="s">
        <v>801</v>
      </c>
    </row>
    <row r="118" spans="1:27" ht="24.75" customHeight="1">
      <c r="A118" s="2606" t="str">
        <f>项目基本情况!S2</f>
        <v>北京市房地产</v>
      </c>
      <c r="B118" s="2371">
        <f>M18</f>
        <v>46.53</v>
      </c>
      <c r="C118" s="2371">
        <f>M19</f>
        <v>0</v>
      </c>
      <c r="D118" s="2371">
        <f ca="1">ROUND(IF(D32="总价",C34,E118*B118/10000),0)</f>
        <v>65</v>
      </c>
      <c r="E118" s="2371">
        <f ca="1">ROUND(IF(C33="自定义",IF(D32="楼面单价",C34,D118*10000/B118),I118-G118),0)</f>
        <v>13967</v>
      </c>
      <c r="F118" s="2371">
        <f ca="1">ROUND(IF(D32="总价",C35,G118*B118/10000),0)</f>
        <v>41</v>
      </c>
      <c r="G118" s="2371">
        <f ca="1">ROUND(IF(D32="楼面单价",C35,F118*10000/B118),0)</f>
        <v>8893</v>
      </c>
      <c r="H118" s="2371">
        <f ca="1">ROUND(IF(D32="总价",C32,I118*B118/10000),0)</f>
        <v>106</v>
      </c>
      <c r="I118" s="2371">
        <f ca="1">ROUND(IF(D32="楼面单价",C32,H118*10000/B118),0)</f>
        <v>22860</v>
      </c>
    </row>
    <row r="119" spans="1:27" ht="18.75" customHeight="1">
      <c r="A119" s="3574" t="s">
        <v>973</v>
      </c>
      <c r="B119" s="3574"/>
      <c r="C119" s="3574"/>
      <c r="D119" s="3575" t="str">
        <f ca="1">NUMBERSTRING(INT(D118*10000),2)&amp;"元整"</f>
        <v>陆拾伍万元整</v>
      </c>
      <c r="E119" s="3577"/>
      <c r="F119" s="3575" t="str">
        <f ca="1">NUMBERSTRING(INT(F118*10000),2)&amp;"元整"</f>
        <v>肆拾壹万元整</v>
      </c>
      <c r="G119" s="3577"/>
      <c r="H119" s="3575" t="str">
        <f ca="1">NUMBERSTRING(INT(H118*10000),2)&amp;"元整"</f>
        <v>壹佰零陆万元整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75" t="s">
        <v>973</v>
      </c>
      <c r="B121" s="3576"/>
      <c r="C121" s="3577"/>
      <c r="D121" s="3575" t="str">
        <f>IF(D120=0,"零元整",NUMBERSTRING(INT(D120*10000),2)&amp;"元整")</f>
        <v>零元整</v>
      </c>
      <c r="E121" s="3576"/>
      <c r="F121" s="3576"/>
      <c r="G121" s="3576"/>
      <c r="H121" s="3576"/>
      <c r="I121" s="3577"/>
      <c r="AA121" s="950"/>
    </row>
    <row r="122" spans="1:27" ht="18.75" customHeight="1">
      <c r="A122" s="3570" t="str">
        <f>IF(项目基本情况!B9="房地产市场价值","",MID(E107,3,LEN(E107)-2))</f>
        <v>房地产抵押价值</v>
      </c>
      <c r="B122" s="3570"/>
      <c r="C122" s="3570"/>
      <c r="D122" s="3571">
        <f ca="1">H107</f>
        <v>106</v>
      </c>
      <c r="E122" s="3572"/>
      <c r="F122" s="3572"/>
      <c r="G122" s="3572"/>
      <c r="H122" s="3572"/>
      <c r="I122" s="3573"/>
      <c r="AA122" s="950"/>
    </row>
    <row r="123" spans="1:27" ht="18.75" customHeight="1">
      <c r="A123" s="3574" t="s">
        <v>973</v>
      </c>
      <c r="B123" s="3574"/>
      <c r="C123" s="3574"/>
      <c r="D123" s="3575" t="str">
        <f ca="1">NUMBERSTRING(INT(D122*10000),2)&amp;"元整"</f>
        <v>壹佰零陆万元整</v>
      </c>
      <c r="E123" s="3576"/>
      <c r="F123" s="3576"/>
      <c r="G123" s="3576"/>
      <c r="H123" s="3576"/>
      <c r="I123" s="3577"/>
      <c r="AA123" s="950"/>
    </row>
    <row r="124" spans="1:27" ht="18.75" customHeight="1">
      <c r="A124" s="3570" t="str">
        <f>IF(项目基本情况!B9="房地产市场价值","",MID(E109,3,LEN(E109)-2))</f>
        <v/>
      </c>
      <c r="B124" s="3570"/>
      <c r="C124" s="3570"/>
      <c r="D124" s="3571" t="str">
        <f>H109</f>
        <v>——</v>
      </c>
      <c r="E124" s="3572"/>
      <c r="F124" s="3572"/>
      <c r="G124" s="3572"/>
      <c r="H124" s="3572"/>
      <c r="I124" s="3573"/>
      <c r="AA124" s="950"/>
    </row>
    <row r="125" spans="1:27" ht="18.75" customHeight="1">
      <c r="A125" s="3574" t="s">
        <v>973</v>
      </c>
      <c r="B125" s="3574"/>
      <c r="C125" s="3574"/>
      <c r="D125" s="3575" t="e">
        <f>NUMBERSTRING(INT(D124*10000),2)&amp;"元整"</f>
        <v>#VALUE!</v>
      </c>
      <c r="E125" s="3576"/>
      <c r="F125" s="3576"/>
      <c r="G125" s="3576"/>
      <c r="H125" s="3576"/>
      <c r="I125" s="3577"/>
      <c r="AA125" s="950"/>
    </row>
    <row r="126" spans="1:27" ht="18.75" customHeight="1">
      <c r="A126" s="3570" t="str">
        <f>IF(项目基本情况!B9="房地产市场价值","",MID(E111,3,LEN(E111)-2))</f>
        <v/>
      </c>
      <c r="B126" s="3570"/>
      <c r="C126" s="3570"/>
      <c r="D126" s="3571" t="str">
        <f>H111</f>
        <v>——</v>
      </c>
      <c r="E126" s="3572"/>
      <c r="F126" s="3572"/>
      <c r="G126" s="3572"/>
      <c r="H126" s="3572"/>
      <c r="I126" s="3573"/>
      <c r="AA126" s="950"/>
    </row>
    <row r="127" spans="1:27" ht="18.75" customHeight="1">
      <c r="A127" s="3574" t="s">
        <v>973</v>
      </c>
      <c r="B127" s="3574"/>
      <c r="C127" s="3574"/>
      <c r="D127" s="3575" t="e">
        <f>NUMBERSTRING(INT(D126*10000),2)&amp;"元整"</f>
        <v>#VALUE!</v>
      </c>
      <c r="E127" s="3576"/>
      <c r="F127" s="3576"/>
      <c r="G127" s="3576"/>
      <c r="H127" s="3576"/>
      <c r="I127" s="3577"/>
      <c r="AA127" s="950"/>
    </row>
    <row r="128" spans="1:27" ht="21.75" customHeight="1">
      <c r="A128" s="3604" t="s">
        <v>113</v>
      </c>
      <c r="B128" s="3604"/>
      <c r="C128" s="3604"/>
      <c r="D128" s="3604"/>
      <c r="E128" s="3604"/>
      <c r="F128" s="3604"/>
      <c r="G128" s="3604"/>
      <c r="H128" s="3604"/>
      <c r="I128" s="3604"/>
      <c r="AA128" s="950"/>
    </row>
    <row r="129" spans="1:35" ht="21.75" customHeight="1">
      <c r="A129" s="2617" t="s">
        <v>974</v>
      </c>
      <c r="B129" s="2618"/>
      <c r="C129" s="2619" t="s">
        <v>975</v>
      </c>
      <c r="D129" s="2620"/>
      <c r="E129" s="2620"/>
      <c r="F129" s="2620"/>
      <c r="G129" s="2620"/>
      <c r="H129" s="2621"/>
      <c r="I129" s="2636"/>
      <c r="AA129" s="950"/>
    </row>
    <row r="130" spans="1:35" ht="21.75" customHeight="1">
      <c r="A130" s="2622">
        <v>1</v>
      </c>
      <c r="B130" s="2623"/>
      <c r="C130" s="2623"/>
      <c r="D130" s="2624"/>
      <c r="E130" s="2624"/>
      <c r="F130" s="2624"/>
      <c r="G130" s="2624"/>
      <c r="H130" s="2625"/>
      <c r="I130" s="2637"/>
      <c r="AA130" s="950"/>
    </row>
    <row r="131" spans="1:35" ht="21.75" customHeight="1">
      <c r="A131" s="2622">
        <v>2</v>
      </c>
      <c r="B131" s="2623"/>
      <c r="C131" s="2623"/>
      <c r="D131" s="2624"/>
      <c r="E131" s="2624"/>
      <c r="F131" s="2624"/>
      <c r="G131" s="2624"/>
      <c r="H131" s="2625"/>
      <c r="I131" s="2637"/>
      <c r="AA131" s="950"/>
    </row>
    <row r="132" spans="1:35" ht="21.75" customHeight="1">
      <c r="A132" s="2622">
        <v>3</v>
      </c>
      <c r="B132" s="2623"/>
      <c r="C132" s="2623"/>
      <c r="D132" s="2624"/>
      <c r="E132" s="2624"/>
      <c r="F132" s="2624"/>
      <c r="G132" s="2624"/>
      <c r="H132" s="2625"/>
      <c r="I132" s="2637"/>
      <c r="AA132" s="95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50"/>
    </row>
    <row r="135" spans="1:35" ht="21.75" customHeight="1">
      <c r="A135" s="950"/>
      <c r="B135" s="950"/>
      <c r="C135" s="950"/>
      <c r="D135" s="950"/>
      <c r="E135" s="950"/>
      <c r="F135" s="2630" t="s">
        <v>976</v>
      </c>
      <c r="G135" s="2631"/>
      <c r="H135" s="2631"/>
      <c r="I135" s="2639" t="s">
        <v>977</v>
      </c>
    </row>
    <row r="136" spans="1:35" ht="21.75" customHeight="1">
      <c r="A136" s="950"/>
      <c r="B136" s="2632" t="s">
        <v>978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1"/>
      <c r="C138" s="2631"/>
      <c r="D138" s="2631"/>
      <c r="E138" s="2631"/>
      <c r="F138" s="2631"/>
      <c r="G138" s="2631"/>
      <c r="H138" s="2631"/>
      <c r="I138" s="2639" t="s">
        <v>979</v>
      </c>
    </row>
    <row r="139" spans="1:35" ht="21.75" customHeight="1">
      <c r="A139" s="950"/>
      <c r="B139" s="2632" t="s">
        <v>980</v>
      </c>
      <c r="C139" s="950"/>
      <c r="D139" s="950"/>
      <c r="E139" s="950"/>
      <c r="F139" s="950"/>
      <c r="G139" s="950"/>
      <c r="H139" s="950"/>
      <c r="I139" s="950"/>
    </row>
    <row r="140" spans="1:35" ht="21.75" customHeight="1">
      <c r="A140" s="950"/>
      <c r="B140" s="2632"/>
      <c r="C140" s="950"/>
      <c r="D140" s="950"/>
      <c r="E140" s="950"/>
      <c r="F140" s="950"/>
      <c r="G140" s="950"/>
      <c r="H140" s="950"/>
      <c r="I140" s="950"/>
    </row>
    <row r="141" spans="1:35" ht="21.75" customHeight="1">
      <c r="A141" s="950"/>
      <c r="B141" s="2631"/>
      <c r="C141" s="2631"/>
      <c r="D141" s="2631"/>
      <c r="E141" s="2631"/>
      <c r="F141" s="2631"/>
      <c r="G141" s="2631"/>
      <c r="H141" s="2631"/>
      <c r="I141" s="2639" t="s">
        <v>979</v>
      </c>
    </row>
    <row r="142" spans="1:35" ht="21.75" customHeight="1">
      <c r="A142" s="950"/>
      <c r="B142" s="2632"/>
      <c r="C142" s="2633"/>
      <c r="D142" s="2634"/>
      <c r="E142" s="2634"/>
      <c r="F142" s="2635"/>
      <c r="G142" s="950"/>
      <c r="H142" s="950"/>
      <c r="I142" s="950"/>
    </row>
    <row r="143" spans="1:35" s="947" customFormat="1" ht="21.75" customHeight="1">
      <c r="A143" s="950"/>
      <c r="B143" s="2632"/>
      <c r="C143" s="2633"/>
      <c r="D143" s="2634"/>
      <c r="E143" s="2634"/>
      <c r="F143" s="263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981</v>
      </c>
      <c r="B1" s="2340"/>
      <c r="C1" s="376"/>
      <c r="D1" s="376"/>
      <c r="E1" s="376"/>
      <c r="F1" s="376"/>
      <c r="G1" s="2342">
        <f>MATCH(B1,'数据-取费表'!A6:A16,0)+5</f>
        <v>7</v>
      </c>
    </row>
    <row r="2" spans="1:9" s="366" customFormat="1" ht="18" customHeight="1">
      <c r="A2" s="378" t="s">
        <v>982</v>
      </c>
      <c r="B2" s="379">
        <f ca="1">IF(D2="——",C52,C52-E2)</f>
        <v>12550</v>
      </c>
      <c r="C2" s="377" t="s">
        <v>983</v>
      </c>
      <c r="D2" s="2344" t="s">
        <v>124</v>
      </c>
      <c r="E2" s="2345" t="e">
        <f ca="1">SUMIF(INDIRECT("'"&amp;G2&amp;"'"&amp;"!A:A"),"承租人权益价值",INDIRECT("'"&amp;G2&amp;"'"&amp;"!c:c"))</f>
        <v>#REF!</v>
      </c>
      <c r="F2" s="2346" t="s">
        <v>983</v>
      </c>
      <c r="G2" s="2347"/>
    </row>
    <row r="3" spans="1:9" s="366" customFormat="1" ht="18" customHeight="1">
      <c r="A3" s="381" t="s">
        <v>984</v>
      </c>
      <c r="B3" s="382">
        <f ca="1">ROUND(B2*10000/(IF(B1="",'数据-汇总表'!E3,INDIRECT("'数据-取费表'!k"&amp;$G$1))),0)</f>
        <v>2697185</v>
      </c>
      <c r="C3" s="377" t="s">
        <v>985</v>
      </c>
      <c r="D3" s="377"/>
      <c r="E3" s="377"/>
      <c r="F3" s="377"/>
      <c r="G3" s="377"/>
    </row>
    <row r="4" spans="1:9" s="367" customFormat="1" ht="15.75">
      <c r="A4" s="383" t="s">
        <v>986</v>
      </c>
      <c r="B4" s="384"/>
      <c r="C4" s="384"/>
      <c r="D4" s="384"/>
      <c r="E4" s="384"/>
      <c r="F4" s="384"/>
      <c r="G4" s="385"/>
    </row>
    <row r="5" spans="1:9" s="368" customFormat="1" ht="13.5" customHeight="1">
      <c r="A5" s="386" t="s">
        <v>987</v>
      </c>
      <c r="B5" s="387" t="s">
        <v>988</v>
      </c>
      <c r="C5" s="388">
        <f>C6+C7+C8</f>
        <v>9306</v>
      </c>
      <c r="D5" s="388" t="s">
        <v>989</v>
      </c>
      <c r="E5" s="389" t="s">
        <v>990</v>
      </c>
      <c r="F5" s="389" t="s">
        <v>887</v>
      </c>
      <c r="G5" s="390"/>
    </row>
    <row r="6" spans="1:9" s="368" customFormat="1" ht="13.5" customHeight="1">
      <c r="A6" s="391" t="s">
        <v>991</v>
      </c>
      <c r="B6" s="392" t="s">
        <v>992</v>
      </c>
      <c r="C6" s="393"/>
      <c r="D6" s="394"/>
      <c r="E6" s="395"/>
      <c r="F6" s="395"/>
      <c r="G6" s="396"/>
    </row>
    <row r="7" spans="1:9" s="368" customFormat="1" ht="13.5" customHeight="1">
      <c r="A7" s="391" t="s">
        <v>993</v>
      </c>
      <c r="B7" s="392" t="s">
        <v>994</v>
      </c>
      <c r="C7" s="397">
        <f>ROUND(C6*F7,0)</f>
        <v>0</v>
      </c>
      <c r="D7" s="397"/>
      <c r="E7" s="395"/>
      <c r="F7" s="398">
        <f>IF(项目基本情况!B8="出让",0,'数据-取费表'!B48+'数据-取费表'!B49)</f>
        <v>3.0499999999999999E-2</v>
      </c>
      <c r="G7" s="396"/>
    </row>
    <row r="8" spans="1:9" s="369" customFormat="1">
      <c r="A8" s="391" t="s">
        <v>995</v>
      </c>
      <c r="B8" s="392" t="s">
        <v>996</v>
      </c>
      <c r="C8" s="397">
        <f>IF(G8="已包含在土地购买价格中","0",IF(B1="",'数据-取费表'!B29,IF(G9="全部缴纳",C9+C10,H9)))</f>
        <v>9306</v>
      </c>
      <c r="D8" s="399"/>
      <c r="E8" s="397"/>
      <c r="F8" s="398"/>
      <c r="G8" s="2348"/>
    </row>
    <row r="9" spans="1:9" s="368" customFormat="1" ht="13.5" customHeight="1">
      <c r="A9" s="401" t="s">
        <v>997</v>
      </c>
      <c r="B9" s="402" t="s">
        <v>998</v>
      </c>
      <c r="C9" s="403">
        <f ca="1">ROUND(D9*E9/10000,0)</f>
        <v>0</v>
      </c>
      <c r="D9" s="404">
        <f ca="1">IF(B1="",'数据-汇总表'!E5,IF(INDIRECT("'数据-取费表'!c"&amp;$G$1)="住宅",INDIRECT("'数据-取费表'!k"&amp;$G$1),0))</f>
        <v>0</v>
      </c>
      <c r="E9" s="403">
        <f>'数据-取费表'!B27</f>
        <v>0</v>
      </c>
      <c r="F9" s="398"/>
      <c r="G9" s="2352"/>
      <c r="H9" s="2353"/>
      <c r="I9" s="2354" t="s">
        <v>999</v>
      </c>
    </row>
    <row r="10" spans="1:9" s="368" customFormat="1" ht="13.5" customHeight="1">
      <c r="A10" s="401" t="s">
        <v>1000</v>
      </c>
      <c r="B10" s="402" t="s">
        <v>1001</v>
      </c>
      <c r="C10" s="403">
        <f ca="1">ROUND(D10*E10/10000,0)</f>
        <v>1</v>
      </c>
      <c r="D10" s="404">
        <f ca="1">IF(B1="",'数据-汇总表'!E6,IF(INDIRECT("'数据-取费表'!c"&amp;$G$1)="住宅",INDIRECT("'数据-取费表'!s"&amp;$G$1),INDIRECT("'数据-取费表'!k"&amp;$G$1)+INDIRECT("'数据-取费表'!s"&amp;$G$1)))</f>
        <v>46.53</v>
      </c>
      <c r="E10" s="403">
        <f>'数据-取费表'!B28</f>
        <v>200</v>
      </c>
      <c r="F10" s="398"/>
      <c r="G10" s="405"/>
    </row>
    <row r="11" spans="1:9" s="368" customFormat="1" ht="13.5" hidden="1" customHeight="1">
      <c r="A11" s="406" t="s">
        <v>1002</v>
      </c>
      <c r="B11" s="392" t="s">
        <v>1003</v>
      </c>
      <c r="C11" s="388"/>
      <c r="D11" s="407"/>
      <c r="E11" s="395"/>
      <c r="F11" s="395"/>
      <c r="G11" s="396"/>
    </row>
    <row r="12" spans="1:9" s="368" customFormat="1" ht="13.5" hidden="1" customHeight="1">
      <c r="A12" s="406" t="s">
        <v>1004</v>
      </c>
      <c r="B12" s="392" t="s">
        <v>923</v>
      </c>
      <c r="C12" s="388">
        <v>0</v>
      </c>
      <c r="D12" s="407"/>
      <c r="E12" s="408"/>
      <c r="F12" s="398">
        <v>3.0499999999999999E-2</v>
      </c>
      <c r="G12" s="396"/>
    </row>
    <row r="13" spans="1:9" s="368" customFormat="1" ht="13.5" hidden="1" customHeight="1">
      <c r="A13" s="406" t="s">
        <v>1005</v>
      </c>
      <c r="B13" s="392" t="s">
        <v>1006</v>
      </c>
      <c r="C13" s="388"/>
      <c r="D13" s="407"/>
      <c r="E13" s="395"/>
      <c r="F13" s="395"/>
      <c r="G13" s="396"/>
    </row>
    <row r="14" spans="1:9" s="368" customFormat="1" ht="13.5" hidden="1" customHeight="1">
      <c r="A14" s="406" t="s">
        <v>1007</v>
      </c>
      <c r="B14" s="392" t="s">
        <v>996</v>
      </c>
      <c r="C14" s="388"/>
      <c r="D14" s="407"/>
      <c r="E14" s="395"/>
      <c r="F14" s="395"/>
      <c r="G14" s="396" t="s">
        <v>1008</v>
      </c>
    </row>
    <row r="15" spans="1:9" s="368" customFormat="1" ht="13.5" hidden="1" customHeight="1">
      <c r="A15" s="406" t="s">
        <v>1009</v>
      </c>
      <c r="B15" s="392" t="s">
        <v>1010</v>
      </c>
      <c r="C15" s="397"/>
      <c r="D15" s="407"/>
      <c r="E15" s="395"/>
      <c r="F15" s="395"/>
      <c r="G15" s="396" t="s">
        <v>1011</v>
      </c>
    </row>
    <row r="16" spans="1:9"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IF(G19="已包含在土地取得成本中","0",ROUND(D19*E19/10000,0))</f>
        <v>1</v>
      </c>
      <c r="D19" s="412">
        <f ca="1">D9+D10</f>
        <v>46.53</v>
      </c>
      <c r="E19" s="388">
        <f>'数据-取费表'!B31</f>
        <v>200</v>
      </c>
      <c r="F19" s="413"/>
      <c r="G19" s="2348"/>
    </row>
    <row r="20" spans="1:7" s="368" customFormat="1" ht="13.5" customHeight="1">
      <c r="A20" s="386" t="s">
        <v>1020</v>
      </c>
      <c r="B20" s="387" t="s">
        <v>1021</v>
      </c>
      <c r="C20" s="414">
        <f ca="1">ROUND((C5+C19)*F20,0)</f>
        <v>186</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420">
        <f ca="1">ROUND(SUM(C23:C25),0)</f>
        <v>659</v>
      </c>
      <c r="D22" s="417">
        <f ca="1">C26</f>
        <v>6.9999999999999999E-4</v>
      </c>
      <c r="E22" s="418" t="s">
        <v>1025</v>
      </c>
      <c r="F22" s="421">
        <f ca="1">'数据-取费表'!B40</f>
        <v>3.4500000000000003E-2</v>
      </c>
      <c r="G22" s="419" t="str">
        <f>IF('数据-取费表'!B22&lt;=1,"单利计息","复利计息")</f>
        <v>复利计息</v>
      </c>
    </row>
    <row r="23" spans="1:7" s="368" customFormat="1" ht="13.5" customHeight="1">
      <c r="A23" s="422" t="s">
        <v>991</v>
      </c>
      <c r="B23" s="392" t="s">
        <v>1029</v>
      </c>
      <c r="C23" s="423">
        <f ca="1">ROUND(IF('数据-取费表'!B22&lt;=1,C5*F22*'数据-取费表'!B23,C5*(POWER((1+F22),'数据-取费表'!B23)-1)),0)</f>
        <v>653</v>
      </c>
      <c r="D23" s="424"/>
      <c r="E23" s="424"/>
      <c r="F23" s="425"/>
      <c r="G23" s="426" t="s">
        <v>1030</v>
      </c>
    </row>
    <row r="24" spans="1:7" s="368" customFormat="1" ht="13.5" customHeight="1">
      <c r="A24" s="422" t="s">
        <v>993</v>
      </c>
      <c r="B24" s="392" t="s">
        <v>1031</v>
      </c>
      <c r="C24" s="423">
        <f ca="1">ROUND(IF('数据-取费表'!B22&lt;=1,C19*F22*('数据-取费表'!B19/2+'数据-取费表'!B21),C19*(POWER((1+F22),('数据-取费表'!B19/2+'数据-取费表'!B21))-1)),0)</f>
        <v>0</v>
      </c>
      <c r="D24" s="424"/>
      <c r="E24" s="424"/>
      <c r="F24" s="425"/>
      <c r="G24" s="426" t="s">
        <v>1032</v>
      </c>
    </row>
    <row r="25" spans="1:7" s="368" customFormat="1" ht="24">
      <c r="A25" s="422" t="s">
        <v>995</v>
      </c>
      <c r="B25" s="392" t="s">
        <v>1033</v>
      </c>
      <c r="C25" s="423">
        <f ca="1">ROUND(IF('数据-取费表'!B22&lt;=1,C20*F22*'数据-取费表'!B23/2,C20*(POWER((1+F22),'数据-取费表'!B23/2)-1)),0)</f>
        <v>6</v>
      </c>
      <c r="D25" s="424"/>
      <c r="E25" s="427"/>
      <c r="F25" s="425"/>
      <c r="G25" s="428" t="s">
        <v>1034</v>
      </c>
    </row>
    <row r="26" spans="1:7" s="368" customFormat="1">
      <c r="A26" s="422" t="s">
        <v>1035</v>
      </c>
      <c r="B26" s="392" t="s">
        <v>1036</v>
      </c>
      <c r="C26" s="424">
        <f ca="1">ROUND(IF('数据-取费表'!B22&lt;=1,F21*F22*'数据-取费表'!B23/2,F21*(POWER((1+F22),'数据-取费表'!B23/2)-1)),4)</f>
        <v>6.9999999999999999E-4</v>
      </c>
      <c r="D26" s="424"/>
      <c r="E26" s="427"/>
      <c r="F26" s="425"/>
      <c r="G26" s="429"/>
    </row>
    <row r="27" spans="1:7" s="368" customFormat="1" ht="24.75">
      <c r="A27" s="386" t="s">
        <v>1037</v>
      </c>
      <c r="B27" s="430" t="s">
        <v>1038</v>
      </c>
      <c r="C27" s="431">
        <f ca="1">C28</f>
        <v>1424</v>
      </c>
      <c r="D27" s="417">
        <f ca="1">C29</f>
        <v>3.0000000000000001E-3</v>
      </c>
      <c r="E27" s="418" t="s">
        <v>1025</v>
      </c>
      <c r="F27" s="432">
        <f ca="1">IF(B1="",'数据-取费表'!Q16,INDIRECT("'数据-取费表'!q"&amp;$G$1))</f>
        <v>0.15</v>
      </c>
      <c r="G27" s="433" t="s">
        <v>1039</v>
      </c>
    </row>
    <row r="28" spans="1:7" s="368" customFormat="1" ht="13.5" customHeight="1">
      <c r="A28" s="422" t="s">
        <v>991</v>
      </c>
      <c r="B28" s="434" t="s">
        <v>1040</v>
      </c>
      <c r="C28" s="435">
        <f ca="1">ROUND((C5+C19+C20)*F27*'数据-取费表'!B21/'数据-取费表'!B20,0)</f>
        <v>1424</v>
      </c>
      <c r="D28" s="417"/>
      <c r="E28" s="418"/>
      <c r="F28" s="432"/>
      <c r="G28" s="433"/>
    </row>
    <row r="29" spans="1:7" s="368" customFormat="1" ht="13.5" customHeight="1">
      <c r="A29" s="422" t="s">
        <v>993</v>
      </c>
      <c r="B29" s="434" t="s">
        <v>1041</v>
      </c>
      <c r="C29" s="424">
        <f ca="1">ROUND(C21*F27*'数据-取费表'!B21/'数据-取费表'!B20,4)</f>
        <v>3.0000000000000001E-3</v>
      </c>
      <c r="D29" s="417"/>
      <c r="E29" s="418"/>
      <c r="F29" s="432"/>
      <c r="G29" s="433"/>
    </row>
    <row r="30" spans="1:7" s="368" customFormat="1" ht="13.5" customHeight="1">
      <c r="A30" s="386" t="s">
        <v>1042</v>
      </c>
      <c r="B30" s="387" t="s">
        <v>1043</v>
      </c>
      <c r="C30" s="417">
        <f>ROUND(F30/(1+'数据-取费表'!C42),4)</f>
        <v>5.2400000000000002E-2</v>
      </c>
      <c r="D30" s="418" t="s">
        <v>1025</v>
      </c>
      <c r="E30" s="427"/>
      <c r="F30" s="421">
        <f>'数据-取费表'!B41</f>
        <v>5.5000000000000007E-2</v>
      </c>
      <c r="G30" s="419" t="s">
        <v>1044</v>
      </c>
    </row>
    <row r="31" spans="1:7" ht="16.5" customHeight="1">
      <c r="A31" s="436">
        <v>1</v>
      </c>
      <c r="B31" s="387" t="s">
        <v>1045</v>
      </c>
      <c r="C31" s="388">
        <f ca="1">ROUND((C5+C19+C20+C22+C27)/(1-C21-D22-D27-C30),0)</f>
        <v>12529</v>
      </c>
      <c r="D31" s="437"/>
      <c r="E31" s="388"/>
      <c r="F31" s="438"/>
      <c r="G31" s="419" t="s">
        <v>1046</v>
      </c>
    </row>
    <row r="32" spans="1:7" s="367" customFormat="1" ht="15.75">
      <c r="A32" s="439" t="s">
        <v>1047</v>
      </c>
      <c r="B32" s="440"/>
      <c r="C32" s="440"/>
      <c r="D32" s="440"/>
      <c r="E32" s="440"/>
      <c r="F32" s="440"/>
      <c r="G32" s="441"/>
    </row>
    <row r="33" spans="1:7" s="368" customFormat="1" ht="13.5" customHeight="1">
      <c r="A33" s="386" t="s">
        <v>987</v>
      </c>
      <c r="B33" s="387" t="s">
        <v>1048</v>
      </c>
      <c r="C33" s="442">
        <f ca="1">SUM(C34:C38)</f>
        <v>21</v>
      </c>
      <c r="D33" s="414"/>
      <c r="E33" s="389"/>
      <c r="F33" s="427"/>
      <c r="G33" s="419"/>
    </row>
    <row r="34" spans="1:7" s="370" customFormat="1" ht="13.5" customHeight="1">
      <c r="A34" s="422" t="s">
        <v>991</v>
      </c>
      <c r="B34" s="392" t="s">
        <v>1049</v>
      </c>
      <c r="C34" s="397">
        <f ca="1">IF(B1="",IF(F34=100%,'数据-取费表'!M16,'数据-取费表'!O16),IF(F34=100%,INDIRECT("'数据-取费表'!m"&amp;$G$1)+INDIRECT("'数据-取费表'!t"&amp;$G$1),INDIRECT("'数据-取费表'!o"&amp;$G$1)+INDIRECT("'数据-取费表'!aq"&amp;$G$1)))</f>
        <v>19</v>
      </c>
      <c r="D34" s="394"/>
      <c r="E34" s="397"/>
      <c r="F34" s="443">
        <f ca="1">IF('数据-取费表'!B24=0,1,IF(B1="",'数据-取费表'!N16,INDIRECT("'数据-取费表'!n"&amp;$G$1)))</f>
        <v>1</v>
      </c>
      <c r="G34" s="396" t="s">
        <v>1050</v>
      </c>
    </row>
    <row r="35" spans="1:7" ht="13.5" customHeight="1">
      <c r="A35" s="422" t="s">
        <v>993</v>
      </c>
      <c r="B35" s="392" t="s">
        <v>1051</v>
      </c>
      <c r="C35" s="397">
        <f ca="1">ROUND(C34*F35,0)</f>
        <v>1</v>
      </c>
      <c r="D35" s="397"/>
      <c r="E35" s="397"/>
      <c r="F35" s="444">
        <f>'数据-取费表'!B33</f>
        <v>0.03</v>
      </c>
      <c r="G35" s="396" t="s">
        <v>1052</v>
      </c>
    </row>
    <row r="36" spans="1:7" ht="24">
      <c r="A36" s="422" t="s">
        <v>995</v>
      </c>
      <c r="B36" s="392" t="s">
        <v>1053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1054</v>
      </c>
    </row>
    <row r="37" spans="1:7" s="370" customFormat="1" ht="13.5" customHeight="1">
      <c r="A37" s="422" t="s">
        <v>1035</v>
      </c>
      <c r="B37" s="392" t="s">
        <v>1055</v>
      </c>
      <c r="C37" s="435">
        <f ca="1">ROUND(E37*D37*F34/10000,0)</f>
        <v>1</v>
      </c>
      <c r="D37" s="394">
        <f ca="1">D19</f>
        <v>46.53</v>
      </c>
      <c r="E37" s="435">
        <f>'数据-取费表'!B35</f>
        <v>200</v>
      </c>
      <c r="F37" s="444"/>
      <c r="G37" s="446" t="s">
        <v>1056</v>
      </c>
    </row>
    <row r="38" spans="1:7" ht="13.5" customHeight="1">
      <c r="A38" s="422" t="s">
        <v>1057</v>
      </c>
      <c r="B38" s="392" t="s">
        <v>923</v>
      </c>
      <c r="C38" s="397">
        <f ca="1">ROUND(C34*F38,0)</f>
        <v>0</v>
      </c>
      <c r="D38" s="397"/>
      <c r="E38" s="397"/>
      <c r="F38" s="444">
        <f>'数据-取费表'!B36</f>
        <v>1.4999999999999999E-2</v>
      </c>
      <c r="G38" s="396" t="s">
        <v>1052</v>
      </c>
    </row>
    <row r="39" spans="1:7" s="368" customFormat="1" ht="13.5" customHeight="1">
      <c r="A39" s="386" t="s">
        <v>1018</v>
      </c>
      <c r="B39" s="387" t="s">
        <v>1021</v>
      </c>
      <c r="C39" s="414">
        <f ca="1">ROUND(C33*F20,0)</f>
        <v>0</v>
      </c>
      <c r="D39" s="414"/>
      <c r="E39" s="414"/>
      <c r="F39" s="415">
        <f>F20</f>
        <v>0.02</v>
      </c>
      <c r="G39" s="419" t="s">
        <v>1058</v>
      </c>
    </row>
    <row r="40" spans="1:7" s="368" customFormat="1" ht="13.5" customHeight="1">
      <c r="A40" s="386" t="s">
        <v>1020</v>
      </c>
      <c r="B40" s="387" t="s">
        <v>1024</v>
      </c>
      <c r="C40" s="2351">
        <f>F21</f>
        <v>0.02</v>
      </c>
      <c r="D40" s="418" t="s">
        <v>1059</v>
      </c>
      <c r="E40" s="414"/>
      <c r="F40" s="415">
        <f>F21</f>
        <v>0.02</v>
      </c>
      <c r="G40" s="419" t="s">
        <v>1060</v>
      </c>
    </row>
    <row r="41" spans="1:7" s="368" customFormat="1" ht="13.5" customHeight="1">
      <c r="A41" s="386" t="s">
        <v>1023</v>
      </c>
      <c r="B41" s="387" t="s">
        <v>1028</v>
      </c>
      <c r="C41" s="414">
        <f ca="1">ROUND(SUM(C42:C43),0)</f>
        <v>1</v>
      </c>
      <c r="D41" s="417">
        <f ca="1">C44</f>
        <v>6.9999999999999999E-4</v>
      </c>
      <c r="E41" s="418" t="s">
        <v>1059</v>
      </c>
      <c r="F41" s="421">
        <f ca="1">F22</f>
        <v>3.4500000000000003E-2</v>
      </c>
      <c r="G41" s="419" t="str">
        <f>IF('数据-取费表'!B22&lt;=1,"单利计息","复利计息")</f>
        <v>复利计息</v>
      </c>
    </row>
    <row r="42" spans="1:7" ht="13.5" customHeight="1">
      <c r="A42" s="422" t="s">
        <v>991</v>
      </c>
      <c r="B42" s="392" t="s">
        <v>1029</v>
      </c>
      <c r="C42" s="424">
        <f ca="1">ROUND(IF('数据-取费表'!B22&lt;=1,C33*F22*'数据-取费表'!B21/2,C33*(POWER((1+F22),'数据-取费表'!B21/2)-1)),0)</f>
        <v>1</v>
      </c>
      <c r="D42" s="424"/>
      <c r="E42" s="424"/>
      <c r="F42" s="425"/>
      <c r="G42" s="3618" t="s">
        <v>1061</v>
      </c>
    </row>
    <row r="43" spans="1:7" ht="13.5" customHeight="1">
      <c r="A43" s="422" t="s">
        <v>993</v>
      </c>
      <c r="B43" s="392" t="s">
        <v>1031</v>
      </c>
      <c r="C43" s="424">
        <f ca="1">ROUND(IF('数据-取费表'!B22&lt;=1,C39*F22*'数据-取费表'!B21/2,C39*(POWER((1+F22),'数据-取费表'!B21/2)-1)),0)</f>
        <v>0</v>
      </c>
      <c r="D43" s="424"/>
      <c r="E43" s="424"/>
      <c r="F43" s="425"/>
      <c r="G43" s="3619"/>
    </row>
    <row r="44" spans="1:7" ht="13.5" customHeight="1">
      <c r="A44" s="422" t="s">
        <v>995</v>
      </c>
      <c r="B44" s="392" t="s">
        <v>1033</v>
      </c>
      <c r="C44" s="424">
        <f ca="1">ROUND(IF('数据-取费表'!B22&lt;=1,C40*F22*'数据-取费表'!B21/2,C40*(POWER((1+F22),'数据-取费表'!B21/2)-1)),4)</f>
        <v>6.9999999999999999E-4</v>
      </c>
      <c r="D44" s="424"/>
      <c r="E44" s="424"/>
      <c r="F44" s="425"/>
      <c r="G44" s="3620"/>
    </row>
    <row r="45" spans="1:7" s="368" customFormat="1" ht="13.5" customHeight="1">
      <c r="A45" s="386" t="s">
        <v>1027</v>
      </c>
      <c r="B45" s="430" t="s">
        <v>1038</v>
      </c>
      <c r="C45" s="431">
        <f ca="1">C46</f>
        <v>3</v>
      </c>
      <c r="D45" s="417">
        <f ca="1">C47</f>
        <v>3.0000000000000001E-3</v>
      </c>
      <c r="E45" s="418" t="s">
        <v>1059</v>
      </c>
      <c r="F45" s="432">
        <f ca="1">F27</f>
        <v>0.15</v>
      </c>
      <c r="G45" s="433" t="s">
        <v>1062</v>
      </c>
    </row>
    <row r="46" spans="1:7" s="368" customFormat="1" ht="13.5" customHeight="1">
      <c r="A46" s="422" t="s">
        <v>991</v>
      </c>
      <c r="B46" s="434" t="s">
        <v>1063</v>
      </c>
      <c r="C46" s="435">
        <f ca="1">ROUND((C33+C39)*F27,0)</f>
        <v>3</v>
      </c>
      <c r="D46" s="448"/>
      <c r="E46" s="418"/>
      <c r="F46" s="432"/>
      <c r="G46" s="433"/>
    </row>
    <row r="47" spans="1:7" s="368" customFormat="1" ht="13.5" customHeight="1">
      <c r="A47" s="422" t="s">
        <v>993</v>
      </c>
      <c r="B47" s="434" t="s">
        <v>1064</v>
      </c>
      <c r="C47" s="424">
        <f ca="1">ROUND(C40*F27,4)</f>
        <v>3.0000000000000001E-3</v>
      </c>
      <c r="D47" s="448"/>
      <c r="E47" s="418"/>
      <c r="F47" s="432"/>
      <c r="G47" s="433"/>
    </row>
    <row r="48" spans="1:7" s="368" customFormat="1" ht="13.5" customHeight="1">
      <c r="A48" s="386" t="s">
        <v>1037</v>
      </c>
      <c r="B48" s="387" t="s">
        <v>1043</v>
      </c>
      <c r="C48" s="2351">
        <f>ROUND(F30/(1+'数据-取费表'!C42),4)</f>
        <v>5.2400000000000002E-2</v>
      </c>
      <c r="D48" s="418" t="s">
        <v>1059</v>
      </c>
      <c r="E48" s="414"/>
      <c r="F48" s="421">
        <f>F30</f>
        <v>5.5000000000000007E-2</v>
      </c>
      <c r="G48" s="419" t="s">
        <v>1065</v>
      </c>
    </row>
    <row r="49" spans="1:7" ht="16.5" customHeight="1">
      <c r="A49" s="386" t="s">
        <v>1042</v>
      </c>
      <c r="B49" s="387" t="s">
        <v>1066</v>
      </c>
      <c r="C49" s="414">
        <f ca="1">ROUND((C33+C39+C41+C45)/(1-C40-D41-D45-C48),0)</f>
        <v>27</v>
      </c>
      <c r="D49" s="414"/>
      <c r="E49" s="414"/>
      <c r="F49" s="449"/>
      <c r="G49" s="419" t="s">
        <v>1067</v>
      </c>
    </row>
    <row r="50" spans="1:7" s="370" customFormat="1" ht="24">
      <c r="A50" s="386" t="s">
        <v>1068</v>
      </c>
      <c r="B50" s="387" t="s">
        <v>1069</v>
      </c>
      <c r="C50" s="414"/>
      <c r="D50" s="414"/>
      <c r="E50" s="414"/>
      <c r="F50" s="449">
        <f>IF('数据-取费表'!B24=0,'数据-取费表'!N16,1)</f>
        <v>0.77</v>
      </c>
      <c r="G50" s="433" t="s">
        <v>1070</v>
      </c>
    </row>
    <row r="51" spans="1:7" ht="16.5" customHeight="1">
      <c r="A51" s="386" t="s">
        <v>1071</v>
      </c>
      <c r="B51" s="387" t="s">
        <v>1072</v>
      </c>
      <c r="C51" s="414">
        <f ca="1">ROUND(C49*F50,0)</f>
        <v>21</v>
      </c>
      <c r="D51" s="414"/>
      <c r="E51" s="414"/>
      <c r="F51" s="449"/>
      <c r="G51" s="419" t="s">
        <v>1073</v>
      </c>
    </row>
    <row r="52" spans="1:7" s="367" customFormat="1" ht="15.75">
      <c r="A52" s="450" t="s">
        <v>1074</v>
      </c>
      <c r="B52" s="451"/>
      <c r="C52" s="452">
        <f ca="1">C31+C51</f>
        <v>12550</v>
      </c>
      <c r="D52" s="451"/>
      <c r="E52" s="451"/>
      <c r="F52" s="451"/>
      <c r="G52" s="453"/>
    </row>
    <row r="55" spans="1:7" ht="15">
      <c r="B55" s="454" t="s">
        <v>1075</v>
      </c>
      <c r="C55" s="455"/>
    </row>
    <row r="56" spans="1:7">
      <c r="B56" s="456" t="s">
        <v>1076</v>
      </c>
      <c r="C56" s="458">
        <f ca="1">1-C57</f>
        <v>0.998</v>
      </c>
    </row>
    <row r="57" spans="1:7">
      <c r="B57" s="456" t="s">
        <v>1077</v>
      </c>
      <c r="C57" s="457">
        <f ca="1">ROUND(C51/C52,3)</f>
        <v>2E-3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5" t="str">
        <f>项目基本情况!B1</f>
        <v>北京市房地产抵押价值预评估</v>
      </c>
      <c r="C37" s="3435"/>
      <c r="D37" s="3435"/>
      <c r="E37" s="3435"/>
      <c r="F37" s="3435"/>
      <c r="G37" s="3435"/>
      <c r="H37" s="3435"/>
      <c r="I37" s="3435"/>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981</v>
      </c>
      <c r="B1" s="2340"/>
      <c r="C1" s="2341" t="s">
        <v>1078</v>
      </c>
      <c r="D1" s="376"/>
      <c r="E1" s="376"/>
      <c r="F1" s="376"/>
      <c r="G1" s="2342">
        <f>MATCH(B1,'数据-取费表'!A6:A16,0)+5</f>
        <v>7</v>
      </c>
      <c r="H1" s="1690" t="str">
        <f>IF(ISERROR(FIND("住宅",B1)),"非住宅","住宅")</f>
        <v>非住宅</v>
      </c>
    </row>
    <row r="2" spans="1:8" s="366" customFormat="1" ht="18" customHeight="1">
      <c r="A2" s="378" t="s">
        <v>982</v>
      </c>
      <c r="B2" s="2343">
        <f ca="1">ROUND(IF(D2="——",C52/10000,C52/10000-E2),4)</f>
        <v>23.0274</v>
      </c>
      <c r="C2" s="377" t="s">
        <v>983</v>
      </c>
      <c r="D2" s="2344" t="s">
        <v>124</v>
      </c>
      <c r="E2" s="2345" t="e">
        <f ca="1">SUMIF(INDIRECT("'"&amp;G2&amp;"'"&amp;"!A:A"),"承租人权益价值",INDIRECT("'"&amp;G2&amp;"'"&amp;"!c:c"))</f>
        <v>#REF!</v>
      </c>
      <c r="F2" s="2346" t="s">
        <v>983</v>
      </c>
      <c r="G2" s="2347"/>
    </row>
    <row r="3" spans="1:8" s="366" customFormat="1" ht="18" customHeight="1">
      <c r="A3" s="381" t="s">
        <v>984</v>
      </c>
      <c r="B3" s="382">
        <f ca="1">ROUND(B2*10000/(IF(B1="",'数据-汇总表'!E3,INDIRECT("'数据-取费表'!k"&amp;$G$1))),0)</f>
        <v>4949</v>
      </c>
      <c r="C3" s="377" t="s">
        <v>985</v>
      </c>
      <c r="D3" s="377"/>
      <c r="E3" s="377"/>
      <c r="F3" s="377"/>
      <c r="G3" s="377"/>
    </row>
    <row r="4" spans="1:8" s="367" customFormat="1" ht="15.75">
      <c r="A4" s="383" t="s">
        <v>986</v>
      </c>
      <c r="B4" s="384"/>
      <c r="C4" s="384"/>
      <c r="D4" s="384"/>
      <c r="E4" s="384"/>
      <c r="F4" s="384"/>
      <c r="G4" s="385"/>
    </row>
    <row r="5" spans="1:8" s="368" customFormat="1" ht="13.5" customHeight="1">
      <c r="A5" s="386" t="s">
        <v>987</v>
      </c>
      <c r="B5" s="387" t="s">
        <v>988</v>
      </c>
      <c r="C5" s="388">
        <f ca="1">C6+C7+C8</f>
        <v>9306</v>
      </c>
      <c r="D5" s="388" t="s">
        <v>989</v>
      </c>
      <c r="E5" s="389" t="s">
        <v>990</v>
      </c>
      <c r="F5" s="389" t="s">
        <v>887</v>
      </c>
      <c r="G5" s="390"/>
    </row>
    <row r="6" spans="1:8" s="368" customFormat="1" ht="13.5" customHeight="1">
      <c r="A6" s="391" t="s">
        <v>991</v>
      </c>
      <c r="B6" s="392" t="s">
        <v>992</v>
      </c>
      <c r="C6" s="393"/>
      <c r="D6" s="394"/>
      <c r="E6" s="395"/>
      <c r="F6" s="395"/>
      <c r="G6" s="396"/>
    </row>
    <row r="7" spans="1:8" s="368" customFormat="1" ht="13.5" customHeight="1">
      <c r="A7" s="391" t="s">
        <v>993</v>
      </c>
      <c r="B7" s="392" t="s">
        <v>994</v>
      </c>
      <c r="C7" s="397">
        <f>ROUND(C6*F7,0)</f>
        <v>0</v>
      </c>
      <c r="D7" s="397"/>
      <c r="E7" s="395"/>
      <c r="F7" s="398">
        <f>IF(项目基本情况!B8="出让",0,'数据-取费表'!B48+'数据-取费表'!B49)</f>
        <v>3.0499999999999999E-2</v>
      </c>
      <c r="G7" s="396"/>
    </row>
    <row r="8" spans="1:8" s="369" customFormat="1">
      <c r="A8" s="391" t="s">
        <v>995</v>
      </c>
      <c r="B8" s="392" t="s">
        <v>996</v>
      </c>
      <c r="C8" s="397">
        <f ca="1">IF(G8="已包含在土地购买价格中",0,C9+C10)</f>
        <v>9306</v>
      </c>
      <c r="D8" s="399"/>
      <c r="E8" s="397"/>
      <c r="F8" s="398"/>
      <c r="G8" s="2348"/>
    </row>
    <row r="9" spans="1:8" s="368" customFormat="1" ht="13.5" customHeight="1">
      <c r="A9" s="401" t="s">
        <v>997</v>
      </c>
      <c r="B9" s="402" t="s">
        <v>998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1000</v>
      </c>
      <c r="B10" s="402" t="s">
        <v>1001</v>
      </c>
      <c r="C10" s="403">
        <f ca="1">ROUND(D10*E10,0)</f>
        <v>9306</v>
      </c>
      <c r="D10" s="404">
        <f ca="1">IF(B1="",'数据-汇总表'!E6,IF(INDIRECT("'数据-取费表'!c"&amp;$G$1)="住宅",INDIRECT("'数据-取费表'!s"&amp;$G$1),INDIRECT("'数据-取费表'!k"&amp;$G$1)+INDIRECT("'数据-取费表'!s"&amp;$G$1)))</f>
        <v>46.53</v>
      </c>
      <c r="E10" s="403">
        <f>'数据-取费表'!B28</f>
        <v>200</v>
      </c>
      <c r="F10" s="398"/>
      <c r="G10" s="405"/>
    </row>
    <row r="11" spans="1:8" s="368" customFormat="1" ht="13.5" hidden="1" customHeight="1">
      <c r="A11" s="406" t="s">
        <v>1002</v>
      </c>
      <c r="B11" s="392" t="s">
        <v>1003</v>
      </c>
      <c r="C11" s="388"/>
      <c r="D11" s="407"/>
      <c r="E11" s="395"/>
      <c r="F11" s="395"/>
      <c r="G11" s="396"/>
    </row>
    <row r="12" spans="1:8" s="368" customFormat="1" ht="13.5" hidden="1" customHeight="1">
      <c r="A12" s="406" t="s">
        <v>1004</v>
      </c>
      <c r="B12" s="392" t="s">
        <v>923</v>
      </c>
      <c r="C12" s="388">
        <v>0</v>
      </c>
      <c r="D12" s="407"/>
      <c r="E12" s="408"/>
      <c r="F12" s="398">
        <v>3.0499999999999999E-2</v>
      </c>
      <c r="G12" s="396"/>
    </row>
    <row r="13" spans="1:8" s="368" customFormat="1" ht="13.5" hidden="1" customHeight="1">
      <c r="A13" s="406" t="s">
        <v>1005</v>
      </c>
      <c r="B13" s="392" t="s">
        <v>1006</v>
      </c>
      <c r="C13" s="388"/>
      <c r="D13" s="407"/>
      <c r="E13" s="395"/>
      <c r="F13" s="395"/>
      <c r="G13" s="396"/>
    </row>
    <row r="14" spans="1:8" s="368" customFormat="1" ht="13.5" hidden="1" customHeight="1">
      <c r="A14" s="406" t="s">
        <v>1007</v>
      </c>
      <c r="B14" s="392" t="s">
        <v>996</v>
      </c>
      <c r="C14" s="388"/>
      <c r="D14" s="407"/>
      <c r="E14" s="395"/>
      <c r="F14" s="395"/>
      <c r="G14" s="396" t="s">
        <v>1008</v>
      </c>
    </row>
    <row r="15" spans="1:8" s="368" customFormat="1" ht="13.5" hidden="1" customHeight="1">
      <c r="A15" s="406" t="s">
        <v>1009</v>
      </c>
      <c r="B15" s="392" t="s">
        <v>1010</v>
      </c>
      <c r="C15" s="397"/>
      <c r="D15" s="407"/>
      <c r="E15" s="395"/>
      <c r="F15" s="395"/>
      <c r="G15" s="396" t="s">
        <v>1011</v>
      </c>
    </row>
    <row r="16" spans="1:8"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IF(G19="已包含在土地取得成本中","0",ROUND(D19*E19,0))</f>
        <v>9306</v>
      </c>
      <c r="D19" s="412">
        <f ca="1">D9+D10</f>
        <v>46.53</v>
      </c>
      <c r="E19" s="388">
        <f>'数据-取费表'!B31</f>
        <v>200</v>
      </c>
      <c r="F19" s="413"/>
      <c r="G19" s="2348"/>
    </row>
    <row r="20" spans="1:7" s="368" customFormat="1" ht="13.5" customHeight="1">
      <c r="A20" s="386" t="s">
        <v>1020</v>
      </c>
      <c r="B20" s="387" t="s">
        <v>1021</v>
      </c>
      <c r="C20" s="414">
        <f ca="1">ROUND((C5+C19)*F20,0)</f>
        <v>372</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2349">
        <f ca="1">ROUND(SUM(C23:C25),0)</f>
        <v>1319</v>
      </c>
      <c r="D22" s="417">
        <f ca="1">C26</f>
        <v>6.9999999999999999E-4</v>
      </c>
      <c r="E22" s="418" t="s">
        <v>1025</v>
      </c>
      <c r="F22" s="421">
        <f ca="1">'数据-取费表'!B40</f>
        <v>3.4500000000000003E-2</v>
      </c>
      <c r="G22" s="419" t="str">
        <f>IF('数据-取费表'!B22&lt;=1,"单利计息","复利计息")</f>
        <v>复利计息</v>
      </c>
    </row>
    <row r="23" spans="1:7" s="368" customFormat="1" ht="13.5" customHeight="1">
      <c r="A23" s="422" t="s">
        <v>991</v>
      </c>
      <c r="B23" s="392" t="s">
        <v>1029</v>
      </c>
      <c r="C23" s="2350">
        <f ca="1">ROUND(IF('数据-取费表'!B22&lt;=1,C5*F22*'数据-取费表'!B22,C5*(POWER((1+F22),'数据-取费表'!B22)-1)),0)</f>
        <v>653</v>
      </c>
      <c r="D23" s="424"/>
      <c r="E23" s="424"/>
      <c r="F23" s="425"/>
      <c r="G23" s="426" t="s">
        <v>1030</v>
      </c>
    </row>
    <row r="24" spans="1:7" s="368" customFormat="1" ht="13.5" customHeight="1">
      <c r="A24" s="422" t="s">
        <v>993</v>
      </c>
      <c r="B24" s="392" t="s">
        <v>1031</v>
      </c>
      <c r="C24" s="2350">
        <f ca="1">ROUND(IF('数据-取费表'!B22&lt;=1,C19*F22*('数据-取费表'!B19/2+'数据-取费表'!B20),C19*(POWER((1+F22),('数据-取费表'!B19/2+'数据-取费表'!B20))-1)),0)</f>
        <v>653</v>
      </c>
      <c r="D24" s="424"/>
      <c r="E24" s="424"/>
      <c r="F24" s="425"/>
      <c r="G24" s="426" t="s">
        <v>1032</v>
      </c>
    </row>
    <row r="25" spans="1:7" s="368" customFormat="1" ht="24">
      <c r="A25" s="422" t="s">
        <v>995</v>
      </c>
      <c r="B25" s="392" t="s">
        <v>1033</v>
      </c>
      <c r="C25" s="2350">
        <f ca="1">ROUND(IF('数据-取费表'!B22&lt;=1,C20*F22*'数据-取费表'!B22/2,C20*(POWER((1+F22),'数据-取费表'!B22/2)-1)),0)</f>
        <v>13</v>
      </c>
      <c r="D25" s="424"/>
      <c r="E25" s="427"/>
      <c r="F25" s="425"/>
      <c r="G25" s="428" t="s">
        <v>1034</v>
      </c>
    </row>
    <row r="26" spans="1:7" s="368" customFormat="1">
      <c r="A26" s="422" t="s">
        <v>1035</v>
      </c>
      <c r="B26" s="392" t="s">
        <v>1036</v>
      </c>
      <c r="C26" s="424">
        <f ca="1">ROUND(IF('数据-取费表'!B22&lt;=1,F21*F22*'数据-取费表'!B22/2,F21*(POWER((1+F22),'数据-取费表'!B22/2)-1)),4)</f>
        <v>6.9999999999999999E-4</v>
      </c>
      <c r="D26" s="424"/>
      <c r="E26" s="427"/>
      <c r="F26" s="425"/>
      <c r="G26" s="429"/>
    </row>
    <row r="27" spans="1:7" s="368" customFormat="1" ht="24.75">
      <c r="A27" s="386" t="s">
        <v>1037</v>
      </c>
      <c r="B27" s="430" t="s">
        <v>1038</v>
      </c>
      <c r="C27" s="431">
        <f ca="1">C28</f>
        <v>2848</v>
      </c>
      <c r="D27" s="417">
        <f ca="1">C29</f>
        <v>3.0000000000000001E-3</v>
      </c>
      <c r="E27" s="418" t="s">
        <v>1025</v>
      </c>
      <c r="F27" s="432">
        <f ca="1">IF(B1="",'数据-取费表'!Q16,INDIRECT("'数据-取费表'!q"&amp;$G$1))</f>
        <v>0.15</v>
      </c>
      <c r="G27" s="433" t="s">
        <v>1039</v>
      </c>
    </row>
    <row r="28" spans="1:7" s="368" customFormat="1" ht="13.5" customHeight="1">
      <c r="A28" s="422" t="s">
        <v>991</v>
      </c>
      <c r="B28" s="434" t="s">
        <v>1040</v>
      </c>
      <c r="C28" s="435">
        <f ca="1">ROUND((C5+C19+C20)*F27,0)</f>
        <v>2848</v>
      </c>
      <c r="D28" s="417"/>
      <c r="E28" s="418"/>
      <c r="F28" s="432"/>
      <c r="G28" s="433"/>
    </row>
    <row r="29" spans="1:7" s="368" customFormat="1" ht="13.5" customHeight="1">
      <c r="A29" s="422" t="s">
        <v>993</v>
      </c>
      <c r="B29" s="434" t="s">
        <v>1041</v>
      </c>
      <c r="C29" s="424">
        <f ca="1">ROUND(C21*F27,4)</f>
        <v>3.0000000000000001E-3</v>
      </c>
      <c r="D29" s="417"/>
      <c r="E29" s="418"/>
      <c r="F29" s="432"/>
      <c r="G29" s="433"/>
    </row>
    <row r="30" spans="1:7" s="368" customFormat="1" ht="13.5" customHeight="1">
      <c r="A30" s="386" t="s">
        <v>1042</v>
      </c>
      <c r="B30" s="387" t="s">
        <v>1043</v>
      </c>
      <c r="C30" s="417">
        <f>ROUND(F30/(1+'数据-取费表'!C42),4)</f>
        <v>5.2400000000000002E-2</v>
      </c>
      <c r="D30" s="418" t="s">
        <v>1025</v>
      </c>
      <c r="E30" s="427"/>
      <c r="F30" s="421">
        <f>'数据-取费表'!B41</f>
        <v>5.5000000000000007E-2</v>
      </c>
      <c r="G30" s="419" t="s">
        <v>1044</v>
      </c>
    </row>
    <row r="31" spans="1:7" ht="16.5" customHeight="1">
      <c r="A31" s="436">
        <v>1</v>
      </c>
      <c r="B31" s="387" t="s">
        <v>1045</v>
      </c>
      <c r="C31" s="388">
        <f ca="1">ROUND((C5+C19+C20+C22+C27)/(1-C21-D22-D27-C30),0)</f>
        <v>25058</v>
      </c>
      <c r="D31" s="437"/>
      <c r="E31" s="388"/>
      <c r="F31" s="438"/>
      <c r="G31" s="419" t="s">
        <v>1046</v>
      </c>
    </row>
    <row r="32" spans="1:7" s="367" customFormat="1" ht="15.75">
      <c r="A32" s="439" t="s">
        <v>1079</v>
      </c>
      <c r="B32" s="440"/>
      <c r="C32" s="440"/>
      <c r="D32" s="440"/>
      <c r="E32" s="440"/>
      <c r="F32" s="440"/>
      <c r="G32" s="441"/>
    </row>
    <row r="33" spans="1:7" s="368" customFormat="1" ht="13.5" customHeight="1">
      <c r="A33" s="386" t="s">
        <v>987</v>
      </c>
      <c r="B33" s="387" t="s">
        <v>1080</v>
      </c>
      <c r="C33" s="442">
        <f ca="1">SUM(C34:C38)</f>
        <v>203802</v>
      </c>
      <c r="D33" s="414"/>
      <c r="E33" s="389"/>
      <c r="F33" s="427"/>
      <c r="G33" s="419"/>
    </row>
    <row r="34" spans="1:7" s="370" customFormat="1" ht="13.5" customHeight="1">
      <c r="A34" s="422" t="s">
        <v>991</v>
      </c>
      <c r="B34" s="392" t="s">
        <v>1049</v>
      </c>
      <c r="C34" s="397">
        <f ca="1">ROUND(IF(B1="",SUMPRODUCT('数据-取费表'!K6:K14,'数据-取费表'!L6:L14),INDIRECT("'数据-取费表'!l"&amp;$G$1)*INDIRECT("'数据-取费表'!k"&amp;$G$1)+'数据-取费表'!L14*INDIRECT("'数据-取费表'!S"&amp;$G$1)),0)</f>
        <v>186120</v>
      </c>
      <c r="D34" s="394"/>
      <c r="E34" s="397"/>
      <c r="F34" s="443"/>
      <c r="G34" s="396"/>
    </row>
    <row r="35" spans="1:7" ht="13.5" customHeight="1">
      <c r="A35" s="422" t="s">
        <v>993</v>
      </c>
      <c r="B35" s="392" t="s">
        <v>1051</v>
      </c>
      <c r="C35" s="397">
        <f ca="1">ROUND(C34*F35,0)</f>
        <v>5584</v>
      </c>
      <c r="D35" s="397"/>
      <c r="E35" s="397"/>
      <c r="F35" s="444">
        <f>'数据-取费表'!B33</f>
        <v>0.03</v>
      </c>
      <c r="G35" s="396" t="s">
        <v>1052</v>
      </c>
    </row>
    <row r="36" spans="1:7" ht="24">
      <c r="A36" s="422" t="s">
        <v>995</v>
      </c>
      <c r="B36" s="392" t="s">
        <v>1053</v>
      </c>
      <c r="C36" s="397">
        <f ca="1">ROUND(IF(B1="",SUM('数据-取费表'!AP6:AP13)*F36,IF(INDIRECT("'数据-取费表'!c"&amp;$G$1)="住宅",INDIRECT("'数据-取费表'!k"&amp;$G$1)*INDIRECT("'数据-取费表'!l"&amp;$G$1)*F36,0)),0)</f>
        <v>0</v>
      </c>
      <c r="D36" s="397"/>
      <c r="E36" s="397"/>
      <c r="F36" s="444">
        <f>'数据-取费表'!B34</f>
        <v>0</v>
      </c>
      <c r="G36" s="445" t="s">
        <v>1054</v>
      </c>
    </row>
    <row r="37" spans="1:7" s="370" customFormat="1" ht="13.5" customHeight="1">
      <c r="A37" s="422" t="s">
        <v>1035</v>
      </c>
      <c r="B37" s="392" t="s">
        <v>1055</v>
      </c>
      <c r="C37" s="435">
        <f ca="1">ROUND(E37*D37,0)</f>
        <v>9306</v>
      </c>
      <c r="D37" s="394">
        <f ca="1">D19</f>
        <v>46.53</v>
      </c>
      <c r="E37" s="435">
        <f>'数据-取费表'!B35</f>
        <v>200</v>
      </c>
      <c r="F37" s="444"/>
      <c r="G37" s="446"/>
    </row>
    <row r="38" spans="1:7" ht="13.5" customHeight="1">
      <c r="A38" s="422" t="s">
        <v>1057</v>
      </c>
      <c r="B38" s="392" t="s">
        <v>923</v>
      </c>
      <c r="C38" s="397">
        <f ca="1">ROUND(C34*F38,0)</f>
        <v>2792</v>
      </c>
      <c r="D38" s="397"/>
      <c r="E38" s="397"/>
      <c r="F38" s="444">
        <f>'数据-取费表'!B36</f>
        <v>1.4999999999999999E-2</v>
      </c>
      <c r="G38" s="396" t="s">
        <v>1052</v>
      </c>
    </row>
    <row r="39" spans="1:7" s="368" customFormat="1" ht="13.5" customHeight="1">
      <c r="A39" s="386" t="s">
        <v>1018</v>
      </c>
      <c r="B39" s="387" t="s">
        <v>1021</v>
      </c>
      <c r="C39" s="414">
        <f ca="1">ROUND(C33*F20,0)</f>
        <v>4076</v>
      </c>
      <c r="D39" s="414"/>
      <c r="E39" s="414"/>
      <c r="F39" s="415">
        <f>F20</f>
        <v>0.02</v>
      </c>
      <c r="G39" s="419" t="s">
        <v>1058</v>
      </c>
    </row>
    <row r="40" spans="1:7" s="368" customFormat="1" ht="13.5" customHeight="1">
      <c r="A40" s="386" t="s">
        <v>1020</v>
      </c>
      <c r="B40" s="387" t="s">
        <v>1024</v>
      </c>
      <c r="C40" s="2351">
        <f>F21</f>
        <v>0.02</v>
      </c>
      <c r="D40" s="418" t="s">
        <v>1059</v>
      </c>
      <c r="E40" s="414"/>
      <c r="F40" s="415">
        <f>F21</f>
        <v>0.02</v>
      </c>
      <c r="G40" s="419" t="s">
        <v>1060</v>
      </c>
    </row>
    <row r="41" spans="1:7" s="368" customFormat="1" ht="13.5" customHeight="1">
      <c r="A41" s="386" t="s">
        <v>1023</v>
      </c>
      <c r="B41" s="387" t="s">
        <v>1028</v>
      </c>
      <c r="C41" s="414">
        <f ca="1">ROUND(SUM(C42:C43),0)</f>
        <v>7172</v>
      </c>
      <c r="D41" s="417">
        <f ca="1">C44</f>
        <v>6.9999999999999999E-4</v>
      </c>
      <c r="E41" s="418" t="s">
        <v>1059</v>
      </c>
      <c r="F41" s="421">
        <f ca="1">F22</f>
        <v>3.4500000000000003E-2</v>
      </c>
      <c r="G41" s="419" t="str">
        <f>IF('数据-取费表'!B22&lt;=1,"单利计息","复利计息")</f>
        <v>复利计息</v>
      </c>
    </row>
    <row r="42" spans="1:7" ht="13.5" customHeight="1">
      <c r="A42" s="422" t="s">
        <v>991</v>
      </c>
      <c r="B42" s="392" t="s">
        <v>1029</v>
      </c>
      <c r="C42" s="424">
        <f ca="1">ROUND(IF('数据-取费表'!B22&lt;=1,C33*F22*'数据-取费表'!B20/2,C33*(POWER((1+F22),'数据-取费表'!B20/2)-1)),0)</f>
        <v>7031</v>
      </c>
      <c r="D42" s="424"/>
      <c r="E42" s="424"/>
      <c r="F42" s="425"/>
      <c r="G42" s="3618" t="s">
        <v>1081</v>
      </c>
    </row>
    <row r="43" spans="1:7" ht="13.5" customHeight="1">
      <c r="A43" s="422" t="s">
        <v>993</v>
      </c>
      <c r="B43" s="392" t="s">
        <v>1031</v>
      </c>
      <c r="C43" s="424">
        <f ca="1">ROUND(IF('数据-取费表'!B22&lt;=1,C39*F22*'数据-取费表'!B20/2,C39*(POWER((1+F22),'数据-取费表'!B20/2)-1)),0)</f>
        <v>141</v>
      </c>
      <c r="D43" s="424"/>
      <c r="E43" s="424"/>
      <c r="F43" s="425"/>
      <c r="G43" s="3619"/>
    </row>
    <row r="44" spans="1:7" ht="13.5" customHeight="1">
      <c r="A44" s="422" t="s">
        <v>995</v>
      </c>
      <c r="B44" s="392" t="s">
        <v>1033</v>
      </c>
      <c r="C44" s="424">
        <f ca="1">ROUND(IF('数据-取费表'!B22&lt;=1,C40*F22*'数据-取费表'!B20/2,C40*(POWER((1+F22),'数据-取费表'!B20/2)-1)),4)</f>
        <v>6.9999999999999999E-4</v>
      </c>
      <c r="D44" s="424"/>
      <c r="E44" s="424"/>
      <c r="F44" s="425"/>
      <c r="G44" s="3620"/>
    </row>
    <row r="45" spans="1:7" s="368" customFormat="1" ht="13.5" customHeight="1">
      <c r="A45" s="386" t="s">
        <v>1027</v>
      </c>
      <c r="B45" s="430" t="s">
        <v>1038</v>
      </c>
      <c r="C45" s="431">
        <f ca="1">C46</f>
        <v>31182</v>
      </c>
      <c r="D45" s="417">
        <f ca="1">C47</f>
        <v>3.0000000000000001E-3</v>
      </c>
      <c r="E45" s="418" t="s">
        <v>1059</v>
      </c>
      <c r="F45" s="432">
        <f ca="1">F27</f>
        <v>0.15</v>
      </c>
      <c r="G45" s="433" t="s">
        <v>1062</v>
      </c>
    </row>
    <row r="46" spans="1:7" s="368" customFormat="1" ht="13.5" customHeight="1">
      <c r="A46" s="422" t="s">
        <v>991</v>
      </c>
      <c r="B46" s="434" t="s">
        <v>1063</v>
      </c>
      <c r="C46" s="435">
        <f ca="1">ROUND((C33+C39)*F27,0)</f>
        <v>31182</v>
      </c>
      <c r="D46" s="448"/>
      <c r="E46" s="418"/>
      <c r="F46" s="432"/>
      <c r="G46" s="433"/>
    </row>
    <row r="47" spans="1:7" s="368" customFormat="1" ht="13.5" customHeight="1">
      <c r="A47" s="422" t="s">
        <v>993</v>
      </c>
      <c r="B47" s="434" t="s">
        <v>1064</v>
      </c>
      <c r="C47" s="424">
        <f ca="1">ROUND(C40*F27,4)</f>
        <v>3.0000000000000001E-3</v>
      </c>
      <c r="D47" s="448"/>
      <c r="E47" s="418"/>
      <c r="F47" s="432"/>
      <c r="G47" s="433"/>
    </row>
    <row r="48" spans="1:7" s="368" customFormat="1" ht="13.5" customHeight="1">
      <c r="A48" s="386" t="s">
        <v>1037</v>
      </c>
      <c r="B48" s="387" t="s">
        <v>1043</v>
      </c>
      <c r="C48" s="447">
        <f>ROUND(F30/(1+'数据-取费表'!C42),4)</f>
        <v>5.2400000000000002E-2</v>
      </c>
      <c r="D48" s="418" t="s">
        <v>1059</v>
      </c>
      <c r="E48" s="414"/>
      <c r="F48" s="421">
        <f>F30</f>
        <v>5.5000000000000007E-2</v>
      </c>
      <c r="G48" s="419" t="s">
        <v>1065</v>
      </c>
    </row>
    <row r="49" spans="1:7" ht="16.5" customHeight="1">
      <c r="A49" s="386" t="s">
        <v>1042</v>
      </c>
      <c r="B49" s="387" t="s">
        <v>1082</v>
      </c>
      <c r="C49" s="414">
        <f ca="1">ROUND((C33+C39+C41+C45)/(1-C40-D41-D45-C48),0)</f>
        <v>266514</v>
      </c>
      <c r="D49" s="414"/>
      <c r="E49" s="414"/>
      <c r="F49" s="449"/>
      <c r="G49" s="419" t="s">
        <v>1067</v>
      </c>
    </row>
    <row r="50" spans="1:7" s="370" customFormat="1">
      <c r="A50" s="386" t="s">
        <v>1068</v>
      </c>
      <c r="B50" s="387" t="s">
        <v>1069</v>
      </c>
      <c r="C50" s="414"/>
      <c r="D50" s="414"/>
      <c r="E50" s="414"/>
      <c r="F50" s="449">
        <f>IF('数据-取费表'!B24=0,'数据-取费表'!N16,1)</f>
        <v>0.77</v>
      </c>
      <c r="G50" s="433"/>
    </row>
    <row r="51" spans="1:7" ht="16.5" customHeight="1">
      <c r="A51" s="386" t="s">
        <v>1071</v>
      </c>
      <c r="B51" s="387" t="s">
        <v>1083</v>
      </c>
      <c r="C51" s="414">
        <f ca="1">ROUND(C49*F50,0)</f>
        <v>205216</v>
      </c>
      <c r="D51" s="414"/>
      <c r="E51" s="414"/>
      <c r="F51" s="449"/>
      <c r="G51" s="419" t="s">
        <v>1073</v>
      </c>
    </row>
    <row r="52" spans="1:7" s="367" customFormat="1" ht="15.75">
      <c r="A52" s="450" t="s">
        <v>1074</v>
      </c>
      <c r="B52" s="451"/>
      <c r="C52" s="452">
        <f ca="1">C31+C51</f>
        <v>230274</v>
      </c>
      <c r="D52" s="451"/>
      <c r="E52" s="451"/>
      <c r="F52" s="451"/>
      <c r="G52" s="453"/>
    </row>
    <row r="55" spans="1:7" ht="15">
      <c r="B55" s="454" t="s">
        <v>1075</v>
      </c>
      <c r="C55" s="455"/>
    </row>
    <row r="56" spans="1:7">
      <c r="B56" s="456" t="s">
        <v>1076</v>
      </c>
      <c r="C56" s="458">
        <f ca="1">1-C57</f>
        <v>0.10899999999999999</v>
      </c>
    </row>
    <row r="57" spans="1:7">
      <c r="B57" s="456" t="s">
        <v>1077</v>
      </c>
      <c r="C57" s="457">
        <f ca="1">ROUND(C51/C52,3)</f>
        <v>0.89100000000000001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254" customWidth="1"/>
    <col min="3" max="3" width="10.375" style="2255" customWidth="1"/>
    <col min="4" max="4" width="9.875" style="2254" customWidth="1"/>
    <col min="5" max="5" width="9.5" style="1046"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4" t="s">
        <v>1084</v>
      </c>
      <c r="B1" s="2049"/>
      <c r="C1" s="2256"/>
      <c r="D1" s="2257"/>
      <c r="E1" s="2258"/>
      <c r="F1" s="2258"/>
      <c r="G1" s="2259"/>
      <c r="H1" s="2258"/>
      <c r="I1" s="2258"/>
      <c r="J1" s="2258"/>
      <c r="K1" s="2327">
        <f>MATCH(C1,'数据-取费表'!A6:A16,0)+5</f>
        <v>7</v>
      </c>
    </row>
    <row r="2" spans="1:33" ht="18" customHeight="1">
      <c r="A2" s="378" t="s">
        <v>982</v>
      </c>
      <c r="B2" s="382">
        <f ca="1">C32</f>
        <v>10607</v>
      </c>
      <c r="C2" s="2260" t="s">
        <v>1085</v>
      </c>
      <c r="D2" s="2260"/>
      <c r="E2" s="2258"/>
      <c r="F2" s="2258"/>
      <c r="G2" s="2258"/>
      <c r="H2" s="2258"/>
      <c r="I2" s="2258"/>
      <c r="J2" s="2258"/>
      <c r="K2" s="2258"/>
    </row>
    <row r="3" spans="1:33" ht="18" customHeight="1">
      <c r="A3" s="381" t="s">
        <v>984</v>
      </c>
      <c r="B3" s="382">
        <f ca="1">ROUND(B2*10000/IF(C1="",'数据-汇总表'!E3,INDIRECT("'数据-取费表'!K"&amp;$K$1)),0)</f>
        <v>2279605</v>
      </c>
      <c r="C3" s="2260" t="s">
        <v>1086</v>
      </c>
      <c r="D3" s="2260"/>
      <c r="E3" s="2258"/>
      <c r="F3" s="2258"/>
      <c r="G3" s="2258"/>
      <c r="H3" s="2258"/>
      <c r="I3" s="2258"/>
      <c r="J3" s="2258"/>
      <c r="K3" s="2258"/>
    </row>
    <row r="4" spans="1:33" s="2245" customFormat="1" ht="16.5" customHeight="1">
      <c r="A4" s="2261" t="s">
        <v>1087</v>
      </c>
      <c r="B4" s="2262"/>
      <c r="C4" s="2263">
        <f>SUM(C8:K8)</f>
        <v>0</v>
      </c>
      <c r="D4" s="2262"/>
      <c r="E4" s="2262"/>
      <c r="F4" s="2262"/>
      <c r="G4" s="2262"/>
      <c r="H4" s="2262"/>
      <c r="I4" s="2262"/>
      <c r="J4" s="2262"/>
      <c r="K4" s="2328"/>
    </row>
    <row r="5" spans="1:33" s="2246" customFormat="1" ht="15">
      <c r="A5" s="2264" t="s">
        <v>1088</v>
      </c>
      <c r="B5" s="2265" t="s">
        <v>1089</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892</v>
      </c>
      <c r="B6" s="2012" t="s">
        <v>1090</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896</v>
      </c>
      <c r="B7" s="2012" t="s">
        <v>455</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941</v>
      </c>
      <c r="B8" s="2271" t="s">
        <v>1091</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1092</v>
      </c>
      <c r="B9" s="2262"/>
      <c r="C9" s="2262"/>
      <c r="D9" s="2262"/>
      <c r="E9" s="2262"/>
      <c r="F9" s="2262"/>
      <c r="G9" s="2262"/>
      <c r="H9" s="2262"/>
      <c r="I9" s="2262"/>
      <c r="J9" s="2262"/>
      <c r="K9" s="2328"/>
    </row>
    <row r="10" spans="1:33" s="2248" customFormat="1" ht="13.5" customHeight="1">
      <c r="A10" s="2264" t="s">
        <v>1088</v>
      </c>
      <c r="B10" s="2274" t="s">
        <v>1089</v>
      </c>
      <c r="C10" s="2275" t="s">
        <v>1093</v>
      </c>
      <c r="D10" s="2276" t="s">
        <v>1094</v>
      </c>
      <c r="E10" s="2276" t="s">
        <v>1095</v>
      </c>
      <c r="F10" s="2276" t="s">
        <v>1096</v>
      </c>
      <c r="G10" s="2274"/>
      <c r="H10" s="2277"/>
      <c r="I10" s="2277"/>
      <c r="J10" s="2277"/>
      <c r="K10" s="2334"/>
    </row>
    <row r="11" spans="1:33" s="2249" customFormat="1" ht="13.5" customHeight="1">
      <c r="A11" s="2278" t="s">
        <v>997</v>
      </c>
      <c r="B11" s="2279" t="s">
        <v>1097</v>
      </c>
      <c r="C11" s="2280">
        <f ca="1">IF(C1="",'数据-取费表'!P16,INDIRECT("'数据-取费表'!p"&amp;$K$1)+INDIRECT("'数据-取费表'!ar"&amp;$K$1))</f>
        <v>0</v>
      </c>
      <c r="D11" s="2281"/>
      <c r="E11" s="2015"/>
      <c r="F11" s="2282">
        <f ca="1">1-IF('数据-取费表'!B24=0,1,IF(C1="",'数据-取费表'!N16,INDIRECT("'数据-取费表'!n"&amp;$K$1)))</f>
        <v>0</v>
      </c>
      <c r="G11" s="2274"/>
      <c r="H11" s="2277"/>
      <c r="I11" s="2277"/>
      <c r="J11" s="2277"/>
      <c r="K11" s="2334"/>
    </row>
    <row r="12" spans="1:33" s="2249" customFormat="1" ht="13.5" customHeight="1">
      <c r="A12" s="2278" t="s">
        <v>1000</v>
      </c>
      <c r="B12" s="2279" t="s">
        <v>1098</v>
      </c>
      <c r="C12" s="1004">
        <f ca="1">ROUND(C11*F12,0)</f>
        <v>0</v>
      </c>
      <c r="D12" s="2281"/>
      <c r="E12" s="2015"/>
      <c r="F12" s="2282">
        <f>'数据-取费表'!B33</f>
        <v>0.03</v>
      </c>
      <c r="G12" s="2274" t="s">
        <v>1099</v>
      </c>
      <c r="H12" s="2277"/>
      <c r="I12" s="2277"/>
      <c r="J12" s="2277"/>
      <c r="K12" s="2334"/>
    </row>
    <row r="13" spans="1:33" s="2249" customFormat="1" ht="13.5" customHeight="1">
      <c r="A13" s="2278" t="s">
        <v>1100</v>
      </c>
      <c r="B13" s="2279" t="s">
        <v>1101</v>
      </c>
      <c r="C13" s="1004">
        <f ca="1">ROUND(IF(C1="",SUMIF('数据-取费表'!C:C,"住宅",'数据-取费表'!P:P)*F13,IF(INDIRECT("'数据-取费表'!c"&amp;$K$1)="住宅",INDIRECT("'数据-取费表'!P"&amp;$K$1)*F13,0)),0)</f>
        <v>0</v>
      </c>
      <c r="D13" s="2283"/>
      <c r="E13" s="2015"/>
      <c r="F13" s="2282">
        <f>'数据-取费表'!B34</f>
        <v>0</v>
      </c>
      <c r="G13" s="2274" t="s">
        <v>1102</v>
      </c>
      <c r="H13" s="2277"/>
      <c r="I13" s="2277"/>
      <c r="J13" s="2277"/>
      <c r="K13" s="2334"/>
    </row>
    <row r="14" spans="1:33" s="2250" customFormat="1" ht="13.5" customHeight="1">
      <c r="A14" s="2278" t="s">
        <v>1103</v>
      </c>
      <c r="B14" s="2279" t="s">
        <v>1104</v>
      </c>
      <c r="C14" s="1004">
        <f ca="1">ROUND(D14*E14*F11/10000,0)</f>
        <v>0</v>
      </c>
      <c r="D14" s="2283">
        <f ca="1">IF(C1="",'数据-汇总表'!E3,INDIRECT("'数据-取费表'!K"&amp;$K$1)+INDIRECT("'数据-取费表'!S"&amp;$K$1))</f>
        <v>46.53</v>
      </c>
      <c r="E14" s="1004">
        <f>'数据-取费表'!B35</f>
        <v>200</v>
      </c>
      <c r="F14" s="2284"/>
      <c r="G14" s="2274" t="s">
        <v>1105</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1106</v>
      </c>
      <c r="B15" s="2279" t="s">
        <v>1107</v>
      </c>
      <c r="C15" s="2285">
        <f ca="1">ROUND(C11*F15,0)</f>
        <v>0</v>
      </c>
      <c r="D15" s="2286"/>
      <c r="E15" s="2285"/>
      <c r="F15" s="2282">
        <f>'数据-取费表'!B36</f>
        <v>1.4999999999999999E-2</v>
      </c>
      <c r="G15" s="2012" t="s">
        <v>1108</v>
      </c>
      <c r="H15" s="2127"/>
      <c r="I15" s="2127"/>
      <c r="J15" s="2127"/>
      <c r="K15" s="2128"/>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915</v>
      </c>
      <c r="B16" s="2279" t="s">
        <v>1109</v>
      </c>
      <c r="C16" s="2285">
        <f ca="1">SUM(C11:C15)</f>
        <v>0</v>
      </c>
      <c r="D16" s="2286"/>
      <c r="E16" s="2285"/>
      <c r="F16" s="2282"/>
      <c r="G16" s="2012"/>
      <c r="H16" s="2287"/>
      <c r="I16" s="2127"/>
      <c r="J16" s="2127"/>
      <c r="K16" s="2128"/>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919</v>
      </c>
      <c r="B17" s="2279" t="s">
        <v>1110</v>
      </c>
      <c r="C17" s="1004">
        <f ca="1">ROUND(D17*E17/10000,0)</f>
        <v>0</v>
      </c>
      <c r="D17" s="2283">
        <f ca="1">D14</f>
        <v>46.53</v>
      </c>
      <c r="E17" s="1004">
        <f>'数据-取费表'!B32</f>
        <v>0</v>
      </c>
      <c r="F17" s="2286"/>
      <c r="G17" s="2012" t="s">
        <v>1111</v>
      </c>
      <c r="H17" s="2287"/>
      <c r="I17" s="2127"/>
      <c r="J17" s="2127"/>
      <c r="K17" s="2128"/>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1112</v>
      </c>
      <c r="B18" s="2279" t="s">
        <v>1113</v>
      </c>
      <c r="C18" s="1004">
        <f ca="1">C19+C20-IF(C1="",'数据-取费表'!B29,IF(G18="已全部缴纳",C19+C20,H18))</f>
        <v>-9305</v>
      </c>
      <c r="D18" s="2283"/>
      <c r="E18" s="1004"/>
      <c r="F18" s="2284"/>
      <c r="G18" s="2288"/>
      <c r="H18" s="2289"/>
      <c r="I18" s="2335" t="s">
        <v>1114</v>
      </c>
      <c r="J18" s="2127"/>
      <c r="K18" s="2128"/>
    </row>
    <row r="19" spans="1:33" s="2249" customFormat="1" ht="13.5" customHeight="1">
      <c r="A19" s="2278" t="s">
        <v>997</v>
      </c>
      <c r="B19" s="2279" t="s">
        <v>442</v>
      </c>
      <c r="C19" s="1004">
        <f ca="1">ROUND(D19*E19/10000,0)</f>
        <v>0</v>
      </c>
      <c r="D19" s="2283">
        <f ca="1">IF(C1="",'数据-汇总表'!E5,IF(INDIRECT("'数据-取费表'!c"&amp;$K$1)="住宅",INDIRECT("'数据-取费表'!k"&amp;$K$1),0))</f>
        <v>0</v>
      </c>
      <c r="E19" s="1004">
        <f>'数据-取费表'!B27</f>
        <v>0</v>
      </c>
      <c r="F19" s="2284"/>
      <c r="G19" s="2126"/>
      <c r="H19" s="2290"/>
      <c r="I19" s="2291"/>
      <c r="J19" s="2291"/>
      <c r="K19" s="2336"/>
    </row>
    <row r="20" spans="1:33" s="2249" customFormat="1" ht="13.5" customHeight="1">
      <c r="A20" s="2278" t="s">
        <v>1000</v>
      </c>
      <c r="B20" s="2279" t="s">
        <v>1115</v>
      </c>
      <c r="C20" s="1004">
        <f ca="1">ROUND(D20*E20/10000,0)</f>
        <v>1</v>
      </c>
      <c r="D20" s="2283">
        <f ca="1">IF(C1="",'数据-汇总表'!E6,IF(INDIRECT("'数据-取费表'!c"&amp;$K$1)="住宅",INDIRECT("'数据-取费表'!s"&amp;$K$1),INDIRECT("'数据-取费表'!k"&amp;$K$1)+INDIRECT("'数据-取费表'!s"&amp;$K$1)))</f>
        <v>46.53</v>
      </c>
      <c r="E20" s="1004">
        <f>'数据-取费表'!B28</f>
        <v>200</v>
      </c>
      <c r="F20" s="2284"/>
      <c r="G20" s="2126"/>
      <c r="H20" s="2291"/>
      <c r="I20" s="2291"/>
      <c r="J20" s="2291"/>
      <c r="K20" s="2336"/>
    </row>
    <row r="21" spans="1:33" s="2249" customFormat="1" ht="13.5" customHeight="1">
      <c r="A21" s="2267" t="s">
        <v>892</v>
      </c>
      <c r="B21" s="2292" t="s">
        <v>1116</v>
      </c>
      <c r="C21" s="2293">
        <f ca="1">C16+C17+C18</f>
        <v>-9305</v>
      </c>
      <c r="D21" s="2294"/>
      <c r="E21" s="2295"/>
      <c r="F21" s="2295"/>
      <c r="G21" s="2012" t="s">
        <v>1117</v>
      </c>
      <c r="H21" s="2127"/>
      <c r="I21" s="2127"/>
      <c r="J21" s="2127"/>
      <c r="K21" s="2128"/>
    </row>
    <row r="22" spans="1:33" s="2249" customFormat="1" ht="13.5" customHeight="1">
      <c r="A22" s="2267" t="s">
        <v>896</v>
      </c>
      <c r="B22" s="2292" t="s">
        <v>1118</v>
      </c>
      <c r="C22" s="2293">
        <f ca="1">ROUND(C21*F22,0)</f>
        <v>-186</v>
      </c>
      <c r="D22" s="2295"/>
      <c r="E22" s="2295"/>
      <c r="F22" s="2296">
        <f>'数据-取费表'!B37</f>
        <v>0.02</v>
      </c>
      <c r="G22" s="2274" t="s">
        <v>1119</v>
      </c>
      <c r="H22" s="2277"/>
      <c r="I22" s="2277"/>
      <c r="J22" s="2277"/>
      <c r="K22" s="2334"/>
    </row>
    <row r="23" spans="1:33" s="2249" customFormat="1" ht="13.5" customHeight="1">
      <c r="A23" s="2267" t="s">
        <v>941</v>
      </c>
      <c r="B23" s="2292" t="s">
        <v>1120</v>
      </c>
      <c r="C23" s="2293">
        <f ca="1">ROUND(C4*F23*F11,0)</f>
        <v>0</v>
      </c>
      <c r="D23" s="2295"/>
      <c r="E23" s="2295"/>
      <c r="F23" s="2296">
        <f>'数据-取费表'!B38</f>
        <v>0.02</v>
      </c>
      <c r="G23" s="2274" t="s">
        <v>1121</v>
      </c>
      <c r="H23" s="2277"/>
      <c r="I23" s="2277"/>
      <c r="J23" s="2277"/>
      <c r="K23" s="2334"/>
    </row>
    <row r="24" spans="1:33" s="2249" customFormat="1" ht="13.5" customHeight="1">
      <c r="A24" s="2267" t="s">
        <v>944</v>
      </c>
      <c r="B24" s="2292" t="s">
        <v>1122</v>
      </c>
      <c r="C24" s="2297">
        <f>ROUND(F24/(1+'数据-取费表'!C42),4)</f>
        <v>2.9000000000000001E-2</v>
      </c>
      <c r="D24" s="2295" t="s">
        <v>1123</v>
      </c>
      <c r="E24" s="2295"/>
      <c r="F24" s="2296">
        <f>IF(项目基本情况!B8="出让",0,'数据-取费表'!B48+'数据-取费表'!B49)</f>
        <v>3.0499999999999999E-2</v>
      </c>
      <c r="G24" s="2274" t="s">
        <v>1124</v>
      </c>
      <c r="H24" s="2298"/>
      <c r="I24" s="2298"/>
      <c r="J24" s="2298"/>
      <c r="K24" s="2337"/>
    </row>
    <row r="25" spans="1:33" s="2249" customFormat="1" ht="13.5" customHeight="1">
      <c r="A25" s="2267" t="s">
        <v>948</v>
      </c>
      <c r="B25" s="2294" t="s">
        <v>1125</v>
      </c>
      <c r="C25" s="2299">
        <f ca="1">C27</f>
        <v>0</v>
      </c>
      <c r="D25" s="2297">
        <f ca="1">C26</f>
        <v>0</v>
      </c>
      <c r="E25" s="2300" t="s">
        <v>1123</v>
      </c>
      <c r="F25" s="2301">
        <f ca="1">'数据-取费表'!B40</f>
        <v>3.4500000000000003E-2</v>
      </c>
      <c r="G25" s="2012"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915</v>
      </c>
      <c r="B26" s="2302" t="s">
        <v>1126</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2127"/>
      <c r="I26" s="2127"/>
      <c r="J26" s="2127"/>
      <c r="K26" s="2128"/>
    </row>
    <row r="27" spans="1:33" s="2251" customFormat="1" ht="13.5" customHeight="1">
      <c r="A27" s="2278" t="s">
        <v>919</v>
      </c>
      <c r="B27" s="2302" t="s">
        <v>1127</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2127"/>
      <c r="I27" s="2127"/>
      <c r="J27" s="2127"/>
      <c r="K27" s="2128"/>
    </row>
    <row r="28" spans="1:33" s="2252" customFormat="1" ht="13.5" customHeight="1">
      <c r="A28" s="2267" t="s">
        <v>949</v>
      </c>
      <c r="B28" s="2309" t="s">
        <v>1128</v>
      </c>
      <c r="C28" s="2310">
        <f ca="1">C30</f>
        <v>-1424</v>
      </c>
      <c r="D28" s="2297">
        <f ca="1">C29</f>
        <v>0</v>
      </c>
      <c r="E28" s="2300" t="s">
        <v>1123</v>
      </c>
      <c r="F28" s="1305">
        <f ca="1">IF(C1="",'数据-取费表'!Q16,INDIRECT("'数据-取费表'!q"&amp;$K$1))</f>
        <v>0.15</v>
      </c>
      <c r="G28" s="2311"/>
      <c r="H28" s="2298"/>
      <c r="I28" s="2298"/>
      <c r="J28" s="2298"/>
      <c r="K28" s="2337"/>
    </row>
    <row r="29" spans="1:33" s="2253" customFormat="1" ht="13.5" customHeight="1">
      <c r="A29" s="2278" t="s">
        <v>915</v>
      </c>
      <c r="B29" s="2312" t="s">
        <v>1129</v>
      </c>
      <c r="C29" s="2304">
        <f ca="1">ROUND((1+C24)*F28*'数据-取费表'!B24/'数据-取费表'!B20,4)</f>
        <v>0</v>
      </c>
      <c r="D29" s="2304"/>
      <c r="E29" s="2305"/>
      <c r="F29" s="2313"/>
      <c r="G29" s="2012" t="s">
        <v>1130</v>
      </c>
      <c r="H29" s="2127"/>
      <c r="I29" s="2127"/>
      <c r="J29" s="2127"/>
      <c r="K29" s="2128"/>
    </row>
    <row r="30" spans="1:33" s="2253" customFormat="1" ht="13.5" customHeight="1">
      <c r="A30" s="2278" t="s">
        <v>919</v>
      </c>
      <c r="B30" s="2312" t="s">
        <v>1131</v>
      </c>
      <c r="C30" s="2314">
        <f ca="1">ROUND((C21+C22+C23)*F28,0)</f>
        <v>-1424</v>
      </c>
      <c r="D30" s="2304"/>
      <c r="E30" s="2305"/>
      <c r="F30" s="2313"/>
      <c r="G30" s="2012"/>
      <c r="H30" s="2127"/>
      <c r="I30" s="2127"/>
      <c r="J30" s="2127"/>
      <c r="K30" s="2128"/>
    </row>
    <row r="31" spans="1:33" s="2249" customFormat="1" ht="13.5" customHeight="1">
      <c r="A31" s="2315" t="s">
        <v>1132</v>
      </c>
      <c r="B31" s="2316" t="s">
        <v>1133</v>
      </c>
      <c r="C31" s="2317">
        <f>ROUND(C4*F31/(1+'数据-取费表'!C42),0)</f>
        <v>0</v>
      </c>
      <c r="D31" s="2318"/>
      <c r="E31" s="2319"/>
      <c r="F31" s="2320">
        <f>'数据-取费表'!B41</f>
        <v>5.5000000000000007E-2</v>
      </c>
      <c r="G31" s="2321" t="s">
        <v>1134</v>
      </c>
      <c r="H31" s="2322"/>
      <c r="I31" s="2322"/>
      <c r="J31" s="2322"/>
      <c r="K31" s="2338"/>
    </row>
    <row r="32" spans="1:33" s="2248" customFormat="1" ht="13.5" customHeight="1">
      <c r="A32" s="2323" t="s">
        <v>1135</v>
      </c>
      <c r="B32" s="2324"/>
      <c r="C32" s="2325">
        <f ca="1">ROUND((C4-C21-C22-C23-C25-C28-C31)/(1+C24+D25+D28),0)</f>
        <v>10607</v>
      </c>
      <c r="D32" s="2324"/>
      <c r="E32" s="2324"/>
      <c r="F32" s="2324"/>
      <c r="G32" s="2326" t="s">
        <v>1136</v>
      </c>
      <c r="H32" s="2324"/>
      <c r="I32" s="2324"/>
      <c r="J32" s="2324"/>
      <c r="K32" s="2339"/>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1137</v>
      </c>
      <c r="B1" s="1295"/>
      <c r="C1" s="1943"/>
      <c r="D1" s="1944" t="s">
        <v>124</v>
      </c>
      <c r="E1" s="1945" t="s">
        <v>1138</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1139</v>
      </c>
      <c r="B2" s="2236" t="e">
        <f ca="1">C40+J29+L46</f>
        <v>#DIV/0!</v>
      </c>
      <c r="C2" s="1950" t="s">
        <v>1140</v>
      </c>
      <c r="D2" s="1950"/>
      <c r="E2" s="1952"/>
      <c r="F2" s="1953"/>
      <c r="G2" s="1954"/>
      <c r="H2" s="1955"/>
      <c r="I2" s="1955"/>
      <c r="J2" s="1955"/>
      <c r="K2" s="2114"/>
      <c r="L2" s="1955"/>
      <c r="M2" s="1955"/>
    </row>
    <row r="3" spans="1:37" ht="18" customHeight="1">
      <c r="A3" s="1956" t="s">
        <v>1141</v>
      </c>
      <c r="B3" s="1957">
        <f ca="1">IF(ISERROR(B2*10000/F43),0,ROUND(B2*10000/F43,0))</f>
        <v>0</v>
      </c>
      <c r="C3" s="1950" t="s">
        <v>1142</v>
      </c>
      <c r="D3" s="1950"/>
      <c r="E3" s="1952"/>
      <c r="F3" s="1953"/>
      <c r="G3" s="1954"/>
      <c r="H3" s="1958" t="s">
        <v>1143</v>
      </c>
      <c r="I3" s="2115"/>
      <c r="J3" s="2115"/>
      <c r="K3" s="2116"/>
      <c r="L3" s="2115"/>
      <c r="M3" s="2115"/>
    </row>
    <row r="4" spans="1:37" ht="18" customHeight="1">
      <c r="A4" s="1959" t="s">
        <v>1144</v>
      </c>
      <c r="B4" s="1960" t="s">
        <v>1145</v>
      </c>
      <c r="C4" s="1960" t="s">
        <v>1146</v>
      </c>
      <c r="D4" s="1960" t="s">
        <v>1147</v>
      </c>
      <c r="E4" s="1961" t="s">
        <v>1148</v>
      </c>
      <c r="F4" s="1962"/>
      <c r="G4" s="761"/>
      <c r="H4" s="1959" t="s">
        <v>1144</v>
      </c>
      <c r="I4" s="1960" t="s">
        <v>1145</v>
      </c>
      <c r="J4" s="1960" t="s">
        <v>1146</v>
      </c>
      <c r="K4" s="1960" t="s">
        <v>1147</v>
      </c>
      <c r="L4" s="1961" t="s">
        <v>1148</v>
      </c>
      <c r="M4" s="1962"/>
    </row>
    <row r="5" spans="1:37" ht="18" customHeight="1">
      <c r="A5" s="1963">
        <v>1</v>
      </c>
      <c r="B5" s="1964" t="s">
        <v>1149</v>
      </c>
      <c r="C5" s="1965">
        <f ca="1">C6+C10+C12</f>
        <v>0</v>
      </c>
      <c r="D5" s="1966" t="s">
        <v>1150</v>
      </c>
      <c r="E5" s="1967"/>
      <c r="F5" s="1968"/>
      <c r="G5" s="761"/>
      <c r="H5" s="1963">
        <v>1</v>
      </c>
      <c r="I5" s="1964" t="s">
        <v>1149</v>
      </c>
      <c r="J5" s="1965">
        <f ca="1">J6+J10+J12</f>
        <v>0</v>
      </c>
      <c r="K5" s="1966" t="s">
        <v>1150</v>
      </c>
      <c r="L5" s="1967"/>
      <c r="M5" s="1968"/>
    </row>
    <row r="6" spans="1:37" ht="18" customHeight="1">
      <c r="A6" s="1969" t="s">
        <v>892</v>
      </c>
      <c r="B6" s="3623" t="s">
        <v>1151</v>
      </c>
      <c r="C6" s="1970">
        <f ca="1">ROUND(F6*F8*F7*(1-F9)/10000,0)</f>
        <v>0</v>
      </c>
      <c r="D6" s="1971" t="s">
        <v>1152</v>
      </c>
      <c r="E6" s="1972" t="s">
        <v>1153</v>
      </c>
      <c r="F6" s="1973">
        <f ca="1">INDIRECT("'数据-取费表'!u"&amp;$G$1)</f>
        <v>0</v>
      </c>
      <c r="G6" s="761"/>
      <c r="H6" s="1969" t="s">
        <v>892</v>
      </c>
      <c r="I6" s="3623" t="s">
        <v>1151</v>
      </c>
      <c r="J6" s="2044">
        <f ca="1">ROUND(M6*M8*M7*(1-M9)/10000,0)</f>
        <v>0</v>
      </c>
      <c r="K6" s="1971" t="s">
        <v>1154</v>
      </c>
      <c r="L6" s="1972" t="s">
        <v>1153</v>
      </c>
      <c r="M6" s="1973">
        <f ca="1">INDIRECT("'数据-取费表'!z"&amp;$G$1)</f>
        <v>0</v>
      </c>
    </row>
    <row r="7" spans="1:37" ht="18" customHeight="1">
      <c r="A7" s="1974"/>
      <c r="B7" s="3624"/>
      <c r="C7" s="1975"/>
      <c r="D7" s="1976"/>
      <c r="E7" s="1977" t="s">
        <v>1155</v>
      </c>
      <c r="F7" s="1973">
        <f ca="1">IF(INDIRECT("'数据-取费表'!ah"&amp;$G$1)="",INDIRECT("'数据-取费表'!k"&amp;$G$1),INDIRECT("'数据-取费表'!ah"&amp;$G$1))</f>
        <v>0</v>
      </c>
      <c r="G7" s="761"/>
      <c r="H7" s="1978"/>
      <c r="I7" s="3624"/>
      <c r="J7" s="1979"/>
      <c r="K7" s="1976"/>
      <c r="L7" s="1972" t="s">
        <v>1155</v>
      </c>
      <c r="M7" s="1973">
        <f ca="1">F7</f>
        <v>0</v>
      </c>
    </row>
    <row r="8" spans="1:37" ht="18" customHeight="1">
      <c r="A8" s="1978"/>
      <c r="B8" s="3624"/>
      <c r="C8" s="1979"/>
      <c r="D8" s="1976"/>
      <c r="E8" s="1972" t="s">
        <v>1156</v>
      </c>
      <c r="F8" s="1973">
        <f ca="1">INDIRECT("'数据-取费表'!ai"&amp;$G$1)</f>
        <v>0</v>
      </c>
      <c r="G8" s="761"/>
      <c r="H8" s="1978"/>
      <c r="I8" s="3624"/>
      <c r="J8" s="1979"/>
      <c r="K8" s="1976"/>
      <c r="L8" s="1972" t="s">
        <v>1156</v>
      </c>
      <c r="M8" s="1973">
        <f ca="1">INDIRECT("'数据-取费表'!ai"&amp;$G$1)</f>
        <v>0</v>
      </c>
    </row>
    <row r="9" spans="1:37" ht="18" customHeight="1">
      <c r="A9" s="1978"/>
      <c r="B9" s="3625"/>
      <c r="C9" s="1979"/>
      <c r="D9" s="1976"/>
      <c r="E9" s="1972" t="s">
        <v>1157</v>
      </c>
      <c r="F9" s="1980">
        <f ca="1">INDIRECT("'数据-取费表'!w"&amp;$G$1)</f>
        <v>0</v>
      </c>
      <c r="G9" s="761"/>
      <c r="H9" s="1978"/>
      <c r="I9" s="3625"/>
      <c r="J9" s="1979"/>
      <c r="K9" s="1976"/>
      <c r="L9" s="1983" t="s">
        <v>1157</v>
      </c>
      <c r="M9" s="1988">
        <f ca="1">INDIRECT("'数据-取费表'!ab"&amp;$G$1)</f>
        <v>0</v>
      </c>
    </row>
    <row r="10" spans="1:37" ht="18" customHeight="1">
      <c r="A10" s="1969" t="s">
        <v>896</v>
      </c>
      <c r="B10" s="1981" t="s">
        <v>1158</v>
      </c>
      <c r="C10" s="1003">
        <f ca="1">ROUND(IF(F10="押一",C6/12*F11,IF(F10="押二",C6/12*2*F11,IF(F10="押三",C6/12*3*F11,C11*F11))),0)</f>
        <v>0</v>
      </c>
      <c r="D10" s="1982" t="s">
        <v>1159</v>
      </c>
      <c r="E10" s="1983" t="s">
        <v>1160</v>
      </c>
      <c r="F10" s="1984"/>
      <c r="G10" s="761"/>
      <c r="H10" s="1969" t="s">
        <v>896</v>
      </c>
      <c r="I10" s="1981" t="s">
        <v>1158</v>
      </c>
      <c r="J10" s="2044">
        <f ca="1">ROUND(IF(M10="押一",J6/12*M11,IF(M10="押二",J6/12*2*M11,IF(M10="押三",J6/12*3*M11,J11*M11))),0)</f>
        <v>0</v>
      </c>
      <c r="K10" s="1982" t="s">
        <v>1159</v>
      </c>
      <c r="L10" s="1983" t="s">
        <v>1160</v>
      </c>
      <c r="M10" s="1984"/>
    </row>
    <row r="11" spans="1:37" ht="18" customHeight="1">
      <c r="A11" s="1985"/>
      <c r="B11" s="1986" t="s">
        <v>1161</v>
      </c>
      <c r="C11" s="1987"/>
      <c r="D11" s="2237"/>
      <c r="E11" s="1983" t="s">
        <v>1162</v>
      </c>
      <c r="F11" s="1988">
        <f ca="1">'数据-取费表'!B39</f>
        <v>1.4999999999999999E-2</v>
      </c>
      <c r="G11" s="761"/>
      <c r="H11" s="1989"/>
      <c r="I11" s="1986" t="s">
        <v>1161</v>
      </c>
      <c r="J11" s="1987"/>
      <c r="K11" s="2119"/>
      <c r="L11" s="1983" t="s">
        <v>1162</v>
      </c>
      <c r="M11" s="2120">
        <f ca="1">'数据-取费表'!B39</f>
        <v>1.4999999999999999E-2</v>
      </c>
    </row>
    <row r="12" spans="1:37" ht="18" customHeight="1">
      <c r="A12" s="1990" t="s">
        <v>941</v>
      </c>
      <c r="B12" s="1991" t="s">
        <v>1163</v>
      </c>
      <c r="C12" s="1992"/>
      <c r="D12" s="1993"/>
      <c r="E12" s="1994"/>
      <c r="F12" s="1995"/>
      <c r="G12" s="761"/>
      <c r="H12" s="1990" t="s">
        <v>941</v>
      </c>
      <c r="I12" s="1991" t="s">
        <v>1163</v>
      </c>
      <c r="J12" s="1992"/>
      <c r="K12" s="2121"/>
      <c r="L12" s="1994"/>
      <c r="M12" s="2122"/>
    </row>
    <row r="13" spans="1:37" ht="18" customHeight="1">
      <c r="A13" s="1996">
        <v>2</v>
      </c>
      <c r="B13" s="1997" t="s">
        <v>1164</v>
      </c>
      <c r="C13" s="1998">
        <f ca="1">ROUND(C29*F13,0)</f>
        <v>0</v>
      </c>
      <c r="D13" s="1999" t="s">
        <v>1165</v>
      </c>
      <c r="E13" s="1999" t="s">
        <v>1166</v>
      </c>
      <c r="F13" s="2000">
        <f ca="1">INDIRECT("'数据-取费表'!y"&amp;$G$1)</f>
        <v>0</v>
      </c>
      <c r="G13" s="761"/>
      <c r="H13" s="1996">
        <v>2</v>
      </c>
      <c r="I13" s="1997" t="s">
        <v>1164</v>
      </c>
      <c r="J13" s="2123">
        <f ca="1">ROUND(J14*J15,0)</f>
        <v>0</v>
      </c>
      <c r="K13" s="2022" t="s">
        <v>1165</v>
      </c>
      <c r="L13" s="2124"/>
      <c r="M13" s="2125"/>
    </row>
    <row r="14" spans="1:37" ht="18" customHeight="1">
      <c r="A14" s="2001" t="s">
        <v>915</v>
      </c>
      <c r="B14" s="1972" t="s">
        <v>1167</v>
      </c>
      <c r="C14" s="2002">
        <f ca="1">INDIRECT("'数据-取费表'!m"&amp;$G$1)+INDIRECT("'数据-取费表'!t"&amp;$G$1)</f>
        <v>0</v>
      </c>
      <c r="D14" s="2003" t="s">
        <v>1168</v>
      </c>
      <c r="E14" s="2004"/>
      <c r="F14" s="2005"/>
      <c r="G14" s="761"/>
      <c r="H14" s="2001" t="s">
        <v>892</v>
      </c>
      <c r="I14" s="1972" t="s">
        <v>1169</v>
      </c>
      <c r="J14" s="1004">
        <f ca="1">C29</f>
        <v>0</v>
      </c>
      <c r="K14" s="2126"/>
      <c r="L14" s="2127"/>
      <c r="M14" s="2128"/>
    </row>
    <row r="15" spans="1:37" s="1940" customFormat="1" ht="18" customHeight="1">
      <c r="A15" s="2001" t="s">
        <v>919</v>
      </c>
      <c r="B15" s="1972" t="s">
        <v>1098</v>
      </c>
      <c r="C15" s="1004">
        <f ca="1">ROUND(C14*F15,0)</f>
        <v>0</v>
      </c>
      <c r="D15" s="2006" t="s">
        <v>1170</v>
      </c>
      <c r="E15" s="2006" t="s">
        <v>1171</v>
      </c>
      <c r="F15" s="2007">
        <f>'数据-取费表'!B33</f>
        <v>0.03</v>
      </c>
      <c r="G15" s="2008"/>
      <c r="H15" s="2009" t="s">
        <v>896</v>
      </c>
      <c r="I15" s="1994" t="s">
        <v>1166</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922</v>
      </c>
      <c r="B16" s="1972" t="s">
        <v>1101</v>
      </c>
      <c r="C16" s="1004">
        <f ca="1">ROUND(INDIRECT("'数据-取费表'!m"&amp;$G$1)*F16,0)</f>
        <v>0</v>
      </c>
      <c r="D16" s="1972" t="s">
        <v>1170</v>
      </c>
      <c r="E16" s="1972" t="s">
        <v>1171</v>
      </c>
      <c r="F16" s="2010">
        <f ca="1">IF(INDIRECT("'数据-取费表'!c"&amp;$G$1)="住宅",'数据-取费表'!B34,0)</f>
        <v>0</v>
      </c>
      <c r="G16" s="761"/>
      <c r="H16" s="1996" t="s">
        <v>1172</v>
      </c>
      <c r="I16" s="1997" t="s">
        <v>1173</v>
      </c>
      <c r="J16" s="1998">
        <f ca="1">ROUND(J17+J22+J23+J24,0)</f>
        <v>0</v>
      </c>
      <c r="K16" s="2022" t="s">
        <v>1174</v>
      </c>
      <c r="L16" s="2023"/>
      <c r="M16" s="1968"/>
    </row>
    <row r="17" spans="1:37" s="1940" customFormat="1" ht="18" customHeight="1">
      <c r="A17" s="2001" t="s">
        <v>1175</v>
      </c>
      <c r="B17" s="1972" t="s">
        <v>1176</v>
      </c>
      <c r="C17" s="1004">
        <f ca="1">ROUND(F17*(F43+INDIRECT("'数据-取费表'!S"&amp;$G$1))/10000,0)</f>
        <v>0</v>
      </c>
      <c r="D17" s="1972" t="s">
        <v>1177</v>
      </c>
      <c r="E17" s="1972" t="s">
        <v>1178</v>
      </c>
      <c r="F17" s="2011">
        <f>'数据-取费表'!B35</f>
        <v>200</v>
      </c>
      <c r="G17" s="2008"/>
      <c r="H17" s="2001" t="s">
        <v>892</v>
      </c>
      <c r="I17" s="1972" t="s">
        <v>1179</v>
      </c>
      <c r="J17" s="2025">
        <f ca="1">ROUND(IF(AND(项目基本情况!B11="自然人",项目基本情况!B10="北京市"),J6*M17/(1+'数据-取费表'!C42),J18+J19+J20),2)</f>
        <v>0</v>
      </c>
      <c r="K17" s="2003" t="s">
        <v>1180</v>
      </c>
      <c r="L17" s="2026" t="s">
        <v>1181</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1182</v>
      </c>
      <c r="B18" s="1972" t="s">
        <v>1107</v>
      </c>
      <c r="C18" s="1004">
        <f ca="1">ROUND(C14*F18,0)</f>
        <v>0</v>
      </c>
      <c r="D18" s="1972" t="s">
        <v>1170</v>
      </c>
      <c r="E18" s="1972" t="s">
        <v>1171</v>
      </c>
      <c r="F18" s="2010">
        <f>'数据-取费表'!B36</f>
        <v>1.4999999999999999E-2</v>
      </c>
      <c r="G18" s="2008"/>
      <c r="H18" s="2001" t="s">
        <v>915</v>
      </c>
      <c r="I18" s="1972" t="s">
        <v>1183</v>
      </c>
      <c r="J18" s="1004">
        <f ca="1">ROUND(J6*M18/(1+'数据-取费表'!C42),2)</f>
        <v>0</v>
      </c>
      <c r="K18" s="2026" t="s">
        <v>1184</v>
      </c>
      <c r="L18" s="1972" t="s">
        <v>1171</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892</v>
      </c>
      <c r="B19" s="1972" t="s">
        <v>1185</v>
      </c>
      <c r="C19" s="1004">
        <f ca="1">SUM(C14:C18)</f>
        <v>0</v>
      </c>
      <c r="D19" s="2012" t="s">
        <v>1186</v>
      </c>
      <c r="E19" s="1006"/>
      <c r="F19" s="2011"/>
      <c r="G19" s="761"/>
      <c r="H19" s="2001" t="s">
        <v>919</v>
      </c>
      <c r="I19" s="1972" t="s">
        <v>1187</v>
      </c>
      <c r="J19" s="1004">
        <f ca="1">IF(K19="按租金收入计税",ROUND(J6*M19/(1+'数据-取费表'!C42),2),ROUND(C29*M19*0.7,2))</f>
        <v>0</v>
      </c>
      <c r="K19" s="2029" t="s">
        <v>1188</v>
      </c>
      <c r="L19" s="1972" t="s">
        <v>1171</v>
      </c>
      <c r="M19" s="2010">
        <f>IF(K19="按租金收入计税",'数据-取费表'!B51,'数据-取费表'!B50)</f>
        <v>0.12</v>
      </c>
    </row>
    <row r="20" spans="1:37" s="1940" customFormat="1" ht="18" customHeight="1">
      <c r="A20" s="2001" t="s">
        <v>896</v>
      </c>
      <c r="B20" s="1972" t="s">
        <v>1189</v>
      </c>
      <c r="C20" s="1004">
        <f ca="1">ROUND(C19*F20,0)</f>
        <v>0</v>
      </c>
      <c r="D20" s="2013" t="s">
        <v>1190</v>
      </c>
      <c r="E20" s="1972" t="s">
        <v>1171</v>
      </c>
      <c r="F20" s="2010">
        <f>'数据-取费表'!B37</f>
        <v>0.02</v>
      </c>
      <c r="G20" s="2008"/>
      <c r="H20" s="2001" t="s">
        <v>922</v>
      </c>
      <c r="I20" s="1971" t="s">
        <v>1191</v>
      </c>
      <c r="J20" s="2031">
        <f ca="1">ROUND(M20*M21/10000,2)</f>
        <v>0</v>
      </c>
      <c r="K20" s="2032" t="s">
        <v>1192</v>
      </c>
      <c r="L20" s="1972" t="s">
        <v>1193</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941</v>
      </c>
      <c r="B21" s="1972" t="s">
        <v>1194</v>
      </c>
      <c r="C21" s="1004" t="s">
        <v>124</v>
      </c>
      <c r="D21" s="2013" t="s">
        <v>1195</v>
      </c>
      <c r="E21" s="1972" t="s">
        <v>1196</v>
      </c>
      <c r="F21" s="2010">
        <f>'数据-取费表'!B38</f>
        <v>0.02</v>
      </c>
      <c r="G21" s="2008"/>
      <c r="H21" s="2014"/>
      <c r="I21" s="2132"/>
      <c r="J21" s="2035"/>
      <c r="K21" s="2036"/>
      <c r="L21" s="1972" t="s">
        <v>1197</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944</v>
      </c>
      <c r="B22" s="1972" t="s">
        <v>1198</v>
      </c>
      <c r="C22" s="1004"/>
      <c r="D22" s="2012" t="str">
        <f>IF(F23&lt;=1,"单利计息。","复利计息。")&amp;"建造成本、管理费用、销售费用产生的利息。"</f>
        <v>复利计息。建造成本、管理费用、销售费用产生的利息。</v>
      </c>
      <c r="E22" s="1006"/>
      <c r="F22" s="2011"/>
      <c r="G22" s="761"/>
      <c r="H22" s="2001" t="s">
        <v>896</v>
      </c>
      <c r="I22" s="1972" t="s">
        <v>1199</v>
      </c>
      <c r="J22" s="1004">
        <f ca="1">ROUND(J14*M22,2)</f>
        <v>0</v>
      </c>
      <c r="K22" s="2026" t="s">
        <v>1200</v>
      </c>
      <c r="L22" s="1972" t="s">
        <v>1171</v>
      </c>
      <c r="M22" s="2038">
        <f ca="1">INDIRECT("'数据-取费表'!Ak"&amp;$G$1)</f>
        <v>0</v>
      </c>
    </row>
    <row r="23" spans="1:37" s="1940" customFormat="1" ht="18" customHeight="1">
      <c r="A23" s="2001" t="s">
        <v>915</v>
      </c>
      <c r="B23" s="1972" t="s">
        <v>1201</v>
      </c>
      <c r="C23" s="1004">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1202</v>
      </c>
      <c r="F23" s="2016">
        <f>'数据-取费表'!B20</f>
        <v>2</v>
      </c>
      <c r="G23" s="2008"/>
      <c r="H23" s="2001" t="s">
        <v>941</v>
      </c>
      <c r="I23" s="1972" t="s">
        <v>1203</v>
      </c>
      <c r="J23" s="1004">
        <f ca="1">ROUND(J13*M23,2)</f>
        <v>0</v>
      </c>
      <c r="K23" s="2026" t="s">
        <v>1204</v>
      </c>
      <c r="L23" s="1972" t="s">
        <v>1171</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919</v>
      </c>
      <c r="B24" s="1972" t="s">
        <v>1205</v>
      </c>
      <c r="C24" s="1004">
        <f ca="1">ROUND(IF('数据-取费表'!B22&lt;=1,F21*F24*F23/2,F21*(POWER((1+F24),F23/2)-1)),4)</f>
        <v>6.9999999999999999E-4</v>
      </c>
      <c r="D24" s="2015" t="str">
        <f>IF(F23&lt;=1,"销售费用×利率×(建设周期÷2)","销售费用×((1+利率)^(建设周期÷2)-1)")</f>
        <v>销售费用×((1+利率)^(建设周期÷2)-1)</v>
      </c>
      <c r="E24" s="1972" t="s">
        <v>1206</v>
      </c>
      <c r="F24" s="2017">
        <f ca="1">'数据-取费表'!B40</f>
        <v>3.4500000000000003E-2</v>
      </c>
      <c r="G24" s="2008"/>
      <c r="H24" s="2009" t="s">
        <v>944</v>
      </c>
      <c r="I24" s="1994" t="s">
        <v>1189</v>
      </c>
      <c r="J24" s="2018">
        <f ca="1">ROUND(J5*M24,2)</f>
        <v>0</v>
      </c>
      <c r="K24" s="2019" t="s">
        <v>1207</v>
      </c>
      <c r="L24" s="1994" t="s">
        <v>1171</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948</v>
      </c>
      <c r="B25" s="1972" t="s">
        <v>1208</v>
      </c>
      <c r="C25" s="1004"/>
      <c r="D25" s="2012" t="s">
        <v>1209</v>
      </c>
      <c r="E25" s="1006"/>
      <c r="F25" s="2011"/>
      <c r="G25" s="761"/>
      <c r="H25" s="1996" t="s">
        <v>1210</v>
      </c>
      <c r="I25" s="2040" t="s">
        <v>1211</v>
      </c>
      <c r="J25" s="1998">
        <f ca="1">J5-J16</f>
        <v>0</v>
      </c>
      <c r="K25" s="2041" t="s">
        <v>1212</v>
      </c>
      <c r="L25" s="2042"/>
      <c r="M25" s="2043"/>
    </row>
    <row r="26" spans="1:37">
      <c r="A26" s="2001" t="s">
        <v>915</v>
      </c>
      <c r="B26" s="1972" t="s">
        <v>1213</v>
      </c>
      <c r="C26" s="1004">
        <f ca="1">ROUND((C19+C20)*F26,0)</f>
        <v>0</v>
      </c>
      <c r="D26" s="2013" t="s">
        <v>1214</v>
      </c>
      <c r="E26" s="1983" t="s">
        <v>1215</v>
      </c>
      <c r="F26" s="1980">
        <f ca="1">INDIRECT("'数据-取费表'!q"&amp;$G$1)</f>
        <v>0</v>
      </c>
      <c r="G26" s="761"/>
      <c r="H26" s="1963" t="s">
        <v>1216</v>
      </c>
      <c r="I26" s="1964" t="s">
        <v>1217</v>
      </c>
      <c r="J26" s="2044">
        <f ca="1">IF(J5&lt;&gt;0,ROUND(J25*(1-((1+M28)/(1+M26))^M27)/(M26-M28),0),0)</f>
        <v>0</v>
      </c>
      <c r="K26" s="2032" t="s">
        <v>1218</v>
      </c>
      <c r="L26" s="1972" t="s">
        <v>1219</v>
      </c>
      <c r="M26" s="1980">
        <f ca="1">INDIRECT("'数据-取费表'!I"&amp;$G$1)</f>
        <v>0</v>
      </c>
    </row>
    <row r="27" spans="1:37" ht="18" customHeight="1">
      <c r="A27" s="2001" t="s">
        <v>919</v>
      </c>
      <c r="B27" s="1972" t="s">
        <v>1220</v>
      </c>
      <c r="C27" s="1004">
        <f ca="1">ROUND(F21*F26,4)</f>
        <v>0</v>
      </c>
      <c r="D27" s="2013" t="s">
        <v>1221</v>
      </c>
      <c r="E27" s="2006"/>
      <c r="F27" s="2007"/>
      <c r="G27" s="761"/>
      <c r="H27" s="1978"/>
      <c r="I27" s="2046"/>
      <c r="J27" s="1979"/>
      <c r="K27" s="2047" t="s">
        <v>1222</v>
      </c>
      <c r="L27" s="1972" t="s">
        <v>1223</v>
      </c>
      <c r="M27" s="2048">
        <f ca="1">INDIRECT("'数据-取费表'!ag"&amp;$G$1)</f>
        <v>0</v>
      </c>
    </row>
    <row r="28" spans="1:37" s="1940" customFormat="1" ht="18" customHeight="1">
      <c r="A28" s="2001" t="s">
        <v>949</v>
      </c>
      <c r="B28" s="1972" t="s">
        <v>1224</v>
      </c>
      <c r="C28" s="1004">
        <f>ROUND(F28/(1+'数据-取费表'!C42),4)</f>
        <v>5.2400000000000002E-2</v>
      </c>
      <c r="D28" s="2013" t="s">
        <v>1225</v>
      </c>
      <c r="E28" s="1972" t="s">
        <v>1171</v>
      </c>
      <c r="F28" s="2010">
        <f>'数据-取费表'!B41</f>
        <v>5.5000000000000007E-2</v>
      </c>
      <c r="G28" s="2008"/>
      <c r="H28" s="1985"/>
      <c r="I28" s="2050"/>
      <c r="J28" s="1998"/>
      <c r="K28" s="2036"/>
      <c r="L28" s="1972" t="s">
        <v>1226</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1132</v>
      </c>
      <c r="B29" s="1994" t="s">
        <v>1227</v>
      </c>
      <c r="C29" s="2018">
        <f ca="1">ROUND((C19+C20+C23+C26)/(1-F21-C24-C27-C28),0)</f>
        <v>0</v>
      </c>
      <c r="D29" s="2019"/>
      <c r="E29" s="1994"/>
      <c r="F29" s="2020"/>
      <c r="G29" s="2008"/>
      <c r="H29" s="2021" t="s">
        <v>1228</v>
      </c>
      <c r="I29" s="2051" t="s">
        <v>1229</v>
      </c>
      <c r="J29" s="2052">
        <f ca="1">ROUND(J26/(1+F40)^F41,0)</f>
        <v>0</v>
      </c>
      <c r="K29" s="2053" t="s">
        <v>1230</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1172</v>
      </c>
      <c r="B30" s="1997" t="s">
        <v>1173</v>
      </c>
      <c r="C30" s="1998">
        <f ca="1">ROUND(C31+C36+C37+C38,0)</f>
        <v>0</v>
      </c>
      <c r="D30" s="2022" t="s">
        <v>1174</v>
      </c>
      <c r="E30" s="2023"/>
      <c r="F30" s="1968"/>
      <c r="G30" s="761"/>
      <c r="H30" s="2024"/>
      <c r="I30" s="2133"/>
      <c r="J30" s="2134"/>
      <c r="K30" s="2135"/>
      <c r="L30" s="2136"/>
      <c r="M30" s="2137"/>
    </row>
    <row r="31" spans="1:37" ht="18" customHeight="1">
      <c r="A31" s="2001" t="s">
        <v>892</v>
      </c>
      <c r="B31" s="1972" t="s">
        <v>1179</v>
      </c>
      <c r="C31" s="2025">
        <f ca="1">ROUND(IF(AND(项目基本情况!B11="自然人",项目基本情况!B10="北京市"),C6*F31/(1+'数据-取费表'!C42),C32+C33+C34),2)</f>
        <v>0</v>
      </c>
      <c r="D31" s="2003" t="s">
        <v>1180</v>
      </c>
      <c r="E31" s="2026" t="s">
        <v>1181</v>
      </c>
      <c r="F31" s="2027">
        <f ca="1">IF(项目基本情况!B11="企业","——",IF(M47="住宅",IF(F6*F7*F8/12/(1+'数据-取费表'!F30)&gt;100000,4%,2.5%),IF(F6*F7*F8/12/(1+'数据-取费表'!F30)&gt;100000,12%,7%)))</f>
        <v>7.0000000000000007E-2</v>
      </c>
      <c r="G31" s="761"/>
      <c r="H31" s="2028" t="s">
        <v>1231</v>
      </c>
      <c r="I31" s="2133"/>
      <c r="J31" s="2134"/>
      <c r="K31" s="2135"/>
      <c r="L31" s="2136"/>
      <c r="M31" s="2137"/>
    </row>
    <row r="32" spans="1:37" ht="18" customHeight="1">
      <c r="A32" s="2001" t="s">
        <v>915</v>
      </c>
      <c r="B32" s="1972" t="s">
        <v>1183</v>
      </c>
      <c r="C32" s="1004" t="str">
        <f>IF(项目基本情况!B11="自然人","——",ROUND(C6*F32/(1+'数据-取费表'!C42),2))</f>
        <v>——</v>
      </c>
      <c r="D32" s="2026" t="s">
        <v>1184</v>
      </c>
      <c r="E32" s="1972" t="s">
        <v>1171</v>
      </c>
      <c r="F32" s="2017">
        <f>'数据-取费表'!B41</f>
        <v>5.5000000000000007E-2</v>
      </c>
      <c r="G32" s="761"/>
      <c r="H32" s="2024"/>
      <c r="I32" s="2133"/>
      <c r="J32" s="2134"/>
      <c r="K32" s="2135"/>
      <c r="L32" s="2136"/>
      <c r="M32" s="2137"/>
    </row>
    <row r="33" spans="1:18" ht="18" customHeight="1">
      <c r="A33" s="2001" t="s">
        <v>919</v>
      </c>
      <c r="B33" s="1972" t="s">
        <v>1187</v>
      </c>
      <c r="C33" s="1004" t="str">
        <f ca="1">IF(项目基本情况!B11="自然人","——",IF(D33="按租金收入计税",ROUND(C6*F33/(1+'数据-取费表'!C42),2),IF(D33="按房产原值计税",ROUND(C29*F33*0.7,2),INDIRECT("'数据-取费表'!Aj"&amp;$G$1))))</f>
        <v>——</v>
      </c>
      <c r="D33" s="2029" t="s">
        <v>1188</v>
      </c>
      <c r="E33" s="1972" t="s">
        <v>1171</v>
      </c>
      <c r="F33" s="2010">
        <f>IF(D33="按票据","——",IF(D33="按租金收入计税",'数据-取费表'!B51,'数据-取费表'!B50))</f>
        <v>0.12</v>
      </c>
      <c r="G33" s="761"/>
      <c r="H33" s="2030"/>
      <c r="I33" s="2133"/>
      <c r="J33" s="2134"/>
      <c r="K33" s="2138"/>
      <c r="L33" s="2030"/>
      <c r="M33" s="2030"/>
    </row>
    <row r="34" spans="1:18" ht="18" customHeight="1">
      <c r="A34" s="1969" t="s">
        <v>922</v>
      </c>
      <c r="B34" s="1971" t="s">
        <v>1191</v>
      </c>
      <c r="C34" s="2031" t="str">
        <f>IF(项目基本情况!B11="自然人","——",ROUND(F34*F35/10000,2))</f>
        <v>——</v>
      </c>
      <c r="D34" s="2032" t="s">
        <v>1192</v>
      </c>
      <c r="E34" s="1972" t="s">
        <v>1193</v>
      </c>
      <c r="F34" s="2016">
        <f>'数据-取费表'!B52</f>
        <v>1.5</v>
      </c>
      <c r="G34" s="761"/>
      <c r="H34" s="2024"/>
      <c r="I34" s="2133"/>
      <c r="J34" s="2134"/>
      <c r="K34" s="2139"/>
      <c r="L34" s="2140"/>
      <c r="M34" s="2140"/>
    </row>
    <row r="35" spans="1:18" ht="18" customHeight="1">
      <c r="A35" s="2033"/>
      <c r="B35" s="2034"/>
      <c r="C35" s="2035"/>
      <c r="D35" s="2036"/>
      <c r="E35" s="1972" t="s">
        <v>1197</v>
      </c>
      <c r="F35" s="1973">
        <f ca="1">INDIRECT("'数据-取费表'!r"&amp;$G$1)</f>
        <v>0</v>
      </c>
      <c r="G35" s="761"/>
      <c r="H35" s="2024"/>
      <c r="I35" s="2133"/>
      <c r="J35" s="2134"/>
      <c r="K35" s="2138"/>
      <c r="L35" s="2030"/>
      <c r="M35" s="2030"/>
    </row>
    <row r="36" spans="1:18" ht="18" customHeight="1">
      <c r="A36" s="2037" t="s">
        <v>896</v>
      </c>
      <c r="B36" s="1972" t="s">
        <v>1199</v>
      </c>
      <c r="C36" s="1004">
        <f ca="1">ROUND(C29*F36,2)</f>
        <v>0</v>
      </c>
      <c r="D36" s="2026" t="s">
        <v>1232</v>
      </c>
      <c r="E36" s="1972" t="s">
        <v>1171</v>
      </c>
      <c r="F36" s="2038">
        <f ca="1">INDIRECT("'数据-取费表'!Ak"&amp;$G$1)</f>
        <v>0</v>
      </c>
      <c r="G36" s="761"/>
      <c r="H36" s="2030"/>
      <c r="I36" s="2133"/>
      <c r="J36" s="2134"/>
      <c r="K36" s="2141"/>
      <c r="L36" s="2030"/>
      <c r="M36" s="2030"/>
    </row>
    <row r="37" spans="1:18" ht="18" customHeight="1">
      <c r="A37" s="2001" t="s">
        <v>941</v>
      </c>
      <c r="B37" s="1972" t="s">
        <v>1203</v>
      </c>
      <c r="C37" s="1004">
        <f ca="1">ROUND(C13*F37,2)</f>
        <v>0</v>
      </c>
      <c r="D37" s="2026" t="s">
        <v>1204</v>
      </c>
      <c r="E37" s="1972" t="s">
        <v>1171</v>
      </c>
      <c r="F37" s="2039">
        <f ca="1">INDIRECT("'数据-取费表'!Al"&amp;$G$1)</f>
        <v>0</v>
      </c>
      <c r="G37" s="761"/>
      <c r="H37" s="2030"/>
      <c r="I37" s="2133"/>
      <c r="J37" s="2134"/>
      <c r="K37" s="2141"/>
      <c r="L37" s="2030"/>
      <c r="M37" s="2030"/>
    </row>
    <row r="38" spans="1:18" ht="18" customHeight="1">
      <c r="A38" s="2009" t="s">
        <v>944</v>
      </c>
      <c r="B38" s="1994" t="s">
        <v>1189</v>
      </c>
      <c r="C38" s="2018">
        <f ca="1">ROUND(C5*F38,2)</f>
        <v>0</v>
      </c>
      <c r="D38" s="2019" t="s">
        <v>1207</v>
      </c>
      <c r="E38" s="1994" t="s">
        <v>1171</v>
      </c>
      <c r="F38" s="1995">
        <f ca="1">INDIRECT("'数据-取费表'!Am"&amp;$G$1)</f>
        <v>0</v>
      </c>
      <c r="G38" s="761"/>
      <c r="H38" s="2030"/>
      <c r="I38" s="2133"/>
      <c r="J38" s="2134"/>
      <c r="K38" s="2142"/>
      <c r="L38" s="2030"/>
      <c r="M38" s="2030"/>
    </row>
    <row r="39" spans="1:18" ht="24.6" customHeight="1">
      <c r="A39" s="1996" t="s">
        <v>1210</v>
      </c>
      <c r="B39" s="2040" t="s">
        <v>1211</v>
      </c>
      <c r="C39" s="1998">
        <f ca="1">C5-C30</f>
        <v>0</v>
      </c>
      <c r="D39" s="2041" t="s">
        <v>1212</v>
      </c>
      <c r="E39" s="2042"/>
      <c r="F39" s="2043"/>
      <c r="G39" s="761"/>
      <c r="H39" s="2030"/>
      <c r="I39" s="2133"/>
      <c r="J39" s="2134"/>
      <c r="K39" s="2142"/>
      <c r="L39" s="2030"/>
      <c r="M39" s="2030"/>
    </row>
    <row r="40" spans="1:18" ht="18" customHeight="1">
      <c r="A40" s="1963" t="s">
        <v>1216</v>
      </c>
      <c r="B40" s="1964" t="s">
        <v>1233</v>
      </c>
      <c r="C40" s="2044" t="e">
        <f ca="1">ROUND(C39*(1-((1+F42)/(1+F40))^F41)/(F40-F42),0)</f>
        <v>#DIV/0!</v>
      </c>
      <c r="D40" s="2032" t="s">
        <v>1218</v>
      </c>
      <c r="E40" s="1972" t="s">
        <v>1219</v>
      </c>
      <c r="F40" s="1980">
        <f ca="1">INDIRECT("'数据-取费表'!I"&amp;$G$1)</f>
        <v>0</v>
      </c>
      <c r="G40" s="761"/>
      <c r="H40" s="2045"/>
      <c r="I40" s="2133"/>
      <c r="J40" s="2134"/>
      <c r="K40" s="2142"/>
      <c r="L40" s="2045"/>
      <c r="M40" s="2045"/>
    </row>
    <row r="41" spans="1:18" ht="18" customHeight="1">
      <c r="A41" s="1978"/>
      <c r="B41" s="2046"/>
      <c r="C41" s="1979"/>
      <c r="D41" s="2047" t="s">
        <v>1222</v>
      </c>
      <c r="E41" s="1972" t="s">
        <v>1223</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1226</v>
      </c>
      <c r="F42" s="1980">
        <f ca="1">INDIRECT("'数据-取费表'!v"&amp;$G$1)</f>
        <v>0</v>
      </c>
      <c r="G42" s="761"/>
      <c r="H42" s="2049"/>
      <c r="I42" s="2133"/>
      <c r="J42" s="2134"/>
      <c r="K42" s="2141"/>
      <c r="L42" s="2049"/>
      <c r="M42" s="2049"/>
    </row>
    <row r="43" spans="1:18" ht="18" customHeight="1">
      <c r="A43" s="2021" t="s">
        <v>1228</v>
      </c>
      <c r="B43" s="2051" t="s">
        <v>1234</v>
      </c>
      <c r="C43" s="2052" t="e">
        <f ca="1">ROUND(C40*10000/F43,0)</f>
        <v>#DIV/0!</v>
      </c>
      <c r="D43" s="2053" t="s">
        <v>1235</v>
      </c>
      <c r="E43" s="2054" t="s">
        <v>1236</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8"/>
      <c r="O45" s="2243" t="s">
        <v>1237</v>
      </c>
      <c r="P45" s="2045"/>
      <c r="Q45" s="2045"/>
      <c r="R45" s="2045"/>
    </row>
    <row r="46" spans="1:18" s="761" customFormat="1">
      <c r="A46" s="2061" t="s">
        <v>1238</v>
      </c>
      <c r="C46" s="2062" t="e">
        <f ca="1">C68-C40</f>
        <v>#DIV/0!</v>
      </c>
      <c r="D46" s="2063" t="str">
        <f>C2</f>
        <v>万元</v>
      </c>
      <c r="E46" s="2056"/>
      <c r="F46" s="2056"/>
      <c r="I46" s="2145" t="s">
        <v>1239</v>
      </c>
      <c r="J46" s="2146"/>
      <c r="K46" s="2147"/>
      <c r="L46" s="2148" t="e">
        <f ca="1">IF(M47="住宅",0,IF(L48&gt;J51,L60,J60))</f>
        <v>#DIV/0!</v>
      </c>
      <c r="O46" s="2149" t="s">
        <v>1240</v>
      </c>
      <c r="P46" s="2150" t="s">
        <v>1241</v>
      </c>
      <c r="Q46" s="2195" t="s">
        <v>1242</v>
      </c>
      <c r="R46" s="2195" t="s">
        <v>1243</v>
      </c>
    </row>
    <row r="47" spans="1:18" s="761" customFormat="1">
      <c r="A47" s="2064" t="s">
        <v>1144</v>
      </c>
      <c r="B47" s="2065" t="s">
        <v>1145</v>
      </c>
      <c r="C47" s="2238" t="s">
        <v>1146</v>
      </c>
      <c r="D47" s="2065" t="s">
        <v>1147</v>
      </c>
      <c r="E47" s="2066" t="s">
        <v>1148</v>
      </c>
      <c r="F47" s="997"/>
      <c r="G47" s="2067"/>
      <c r="I47" s="2151" t="s">
        <v>1244</v>
      </c>
      <c r="J47" s="2152"/>
      <c r="K47" s="2153" t="s">
        <v>1245</v>
      </c>
      <c r="L47" s="2154">
        <f ca="1">INDIRECT("'数据-取费表'!d"&amp;$G$1)</f>
        <v>0</v>
      </c>
      <c r="M47" s="2155" t="str">
        <f>IF(ISNUMBER(FIND("住宅",C1)),"住宅","非住宅")</f>
        <v>非住宅</v>
      </c>
      <c r="O47" s="2156" t="s">
        <v>997</v>
      </c>
      <c r="P47" s="2157" t="s">
        <v>1246</v>
      </c>
      <c r="Q47" s="2196" t="e">
        <f ca="1">C40+J29</f>
        <v>#DIV/0!</v>
      </c>
      <c r="R47" s="2196" t="s">
        <v>1247</v>
      </c>
    </row>
    <row r="48" spans="1:18" s="761" customFormat="1" ht="27.75">
      <c r="A48" s="2068" t="s">
        <v>1248</v>
      </c>
      <c r="B48" s="1964" t="s">
        <v>1149</v>
      </c>
      <c r="C48" s="1005">
        <f ca="1">C49+C53+C55</f>
        <v>0</v>
      </c>
      <c r="D48" s="2069"/>
      <c r="E48" s="2070"/>
      <c r="F48" s="2071"/>
      <c r="G48" s="2067"/>
      <c r="H48" s="2072"/>
      <c r="I48" s="2158" t="s">
        <v>1249</v>
      </c>
      <c r="J48" s="2159"/>
      <c r="K48" s="2160" t="s">
        <v>1250</v>
      </c>
      <c r="L48" s="2161">
        <f ca="1">INDIRECT("'数据-取费表'!f"&amp;$G$1)</f>
        <v>0</v>
      </c>
      <c r="O48" s="2156" t="s">
        <v>1000</v>
      </c>
      <c r="P48" s="2157" t="s">
        <v>1251</v>
      </c>
      <c r="Q48" s="2196" t="e">
        <f ca="1">J60</f>
        <v>#DIV/0!</v>
      </c>
      <c r="R48" s="2196" t="s">
        <v>1252</v>
      </c>
    </row>
    <row r="49" spans="1:18" s="761" customFormat="1">
      <c r="A49" s="2073" t="s">
        <v>1253</v>
      </c>
      <c r="B49" s="2074" t="s">
        <v>1254</v>
      </c>
      <c r="C49" s="2075">
        <f ca="1">ROUND(F49*F51*F50*(1-F52)/10000,0)</f>
        <v>0</v>
      </c>
      <c r="D49" s="2076" t="s">
        <v>1154</v>
      </c>
      <c r="E49" s="2077" t="s">
        <v>1255</v>
      </c>
      <c r="F49" s="2078"/>
      <c r="G49" s="2079"/>
      <c r="H49" s="2072"/>
      <c r="I49" s="2158" t="s">
        <v>1256</v>
      </c>
      <c r="J49" s="2162"/>
      <c r="K49" s="2160" t="s">
        <v>1257</v>
      </c>
      <c r="L49" s="2163"/>
      <c r="O49" s="2164" t="s">
        <v>1258</v>
      </c>
      <c r="P49" s="2157" t="s">
        <v>1259</v>
      </c>
      <c r="Q49" s="2196">
        <f ca="1">C29</f>
        <v>0</v>
      </c>
      <c r="R49" s="2196" t="s">
        <v>1247</v>
      </c>
    </row>
    <row r="50" spans="1:18" s="761" customFormat="1">
      <c r="A50" s="2080"/>
      <c r="B50" s="2081"/>
      <c r="C50" s="2239"/>
      <c r="D50" s="2083"/>
      <c r="E50" s="2084" t="s">
        <v>1155</v>
      </c>
      <c r="F50" s="2085">
        <f ca="1">F7</f>
        <v>0</v>
      </c>
      <c r="H50" s="2072"/>
      <c r="I50" s="2158" t="s">
        <v>1260</v>
      </c>
      <c r="J50" s="2165">
        <f>SUMPRODUCT((I63:I65=J47)*(J62:L62=J48)*(J63:L65))</f>
        <v>0</v>
      </c>
      <c r="K50" s="2160" t="s">
        <v>1261</v>
      </c>
      <c r="L50" s="2163"/>
      <c r="M50" s="2166"/>
      <c r="O50" s="2164" t="s">
        <v>1262</v>
      </c>
      <c r="P50" s="2157" t="s">
        <v>1263</v>
      </c>
      <c r="Q50" s="2197" t="e">
        <f ca="1">J58</f>
        <v>#DIV/0!</v>
      </c>
      <c r="R50" s="2196"/>
    </row>
    <row r="51" spans="1:18" s="761" customFormat="1">
      <c r="A51" s="2086"/>
      <c r="B51" s="2081"/>
      <c r="C51" s="2082"/>
      <c r="D51" s="2083"/>
      <c r="E51" s="2087" t="s">
        <v>1156</v>
      </c>
      <c r="F51" s="1973">
        <f ca="1">F8</f>
        <v>0</v>
      </c>
      <c r="I51" s="2167" t="s">
        <v>1264</v>
      </c>
      <c r="J51" s="2168">
        <f>IF(J49="",J50,J49+J50-YEAR('数据-取费表'!B2))</f>
        <v>0</v>
      </c>
      <c r="K51" s="2169" t="s">
        <v>1265</v>
      </c>
      <c r="L51" s="2170">
        <f ca="1">ROUND(-PV(INDIRECT("'数据-取费表'!h"&amp;$G$1),J51,(C39-C13*C76),0),0)</f>
        <v>0</v>
      </c>
      <c r="M51" s="2171"/>
      <c r="O51" s="2164" t="s">
        <v>1266</v>
      </c>
      <c r="P51" s="2157" t="s">
        <v>1267</v>
      </c>
      <c r="Q51" s="2197">
        <f>J52</f>
        <v>0</v>
      </c>
      <c r="R51" s="2196"/>
    </row>
    <row r="52" spans="1:18" s="761" customFormat="1">
      <c r="A52" s="2086"/>
      <c r="B52" s="2081"/>
      <c r="C52" s="2082"/>
      <c r="D52" s="2083"/>
      <c r="E52" s="2087" t="s">
        <v>1157</v>
      </c>
      <c r="F52" s="2088"/>
      <c r="I52" s="2172" t="s">
        <v>1268</v>
      </c>
      <c r="J52" s="2173"/>
      <c r="K52" s="2172" t="s">
        <v>1269</v>
      </c>
      <c r="L52" s="2173"/>
      <c r="O52" s="2164" t="s">
        <v>1270</v>
      </c>
      <c r="P52" s="2157" t="s">
        <v>1271</v>
      </c>
      <c r="Q52" s="2196">
        <f ca="1">J53</f>
        <v>0</v>
      </c>
      <c r="R52" s="2196" t="s">
        <v>1272</v>
      </c>
    </row>
    <row r="53" spans="1:18" s="761" customFormat="1" ht="24">
      <c r="A53" s="2240" t="s">
        <v>1273</v>
      </c>
      <c r="B53" s="2241" t="s">
        <v>1158</v>
      </c>
      <c r="C53" s="1003">
        <f ca="1">ROUND(IF(F53="押一",C49/12*F11,IF(F53="押二",C49/12*2*F11,IF(F53="押三",C49/12*3*F11,C54*F11))),0)</f>
        <v>0</v>
      </c>
      <c r="D53" s="1982" t="s">
        <v>1159</v>
      </c>
      <c r="E53" s="1983" t="s">
        <v>1160</v>
      </c>
      <c r="F53" s="1984"/>
      <c r="I53" s="2174" t="s">
        <v>1274</v>
      </c>
      <c r="J53" s="2175">
        <f ca="1">IF(M47="住宅",IF(D1="——",MAX(J51,L48),MAX(J51,L48-'数据-取费表'!B24)),IF(D1="——",MIN(J51,L48),MIN(J51,L48-'数据-取费表'!B24)))</f>
        <v>0</v>
      </c>
      <c r="K53" s="3621" t="s">
        <v>1275</v>
      </c>
      <c r="L53" s="3622"/>
      <c r="O53" s="2156" t="s">
        <v>1100</v>
      </c>
      <c r="P53" s="2157" t="s">
        <v>1276</v>
      </c>
      <c r="Q53" s="2196" t="e">
        <f ca="1">Q47+Q48</f>
        <v>#DIV/0!</v>
      </c>
      <c r="R53" s="2196" t="s">
        <v>1277</v>
      </c>
    </row>
    <row r="54" spans="1:18" s="761" customFormat="1">
      <c r="A54" s="2242"/>
      <c r="B54" s="1986" t="s">
        <v>1161</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1278</v>
      </c>
      <c r="P54" s="2178"/>
      <c r="Q54" s="2178"/>
      <c r="R54" s="2178"/>
    </row>
    <row r="55" spans="1:18" s="761" customFormat="1">
      <c r="A55" s="1990" t="s">
        <v>941</v>
      </c>
      <c r="B55" s="1991" t="s">
        <v>1163</v>
      </c>
      <c r="C55" s="1992"/>
      <c r="D55" s="1982"/>
      <c r="E55" s="2091"/>
      <c r="F55" s="2092"/>
      <c r="I55" s="2179" t="s">
        <v>1279</v>
      </c>
      <c r="J55" s="2180" t="e">
        <f ca="1">ROUND(IF(J47="钢混",J57/J50,1-(1-2%)*(J50-J57)/J50),3)</f>
        <v>#DIV/0!</v>
      </c>
      <c r="K55" s="2181" t="s">
        <v>1280</v>
      </c>
      <c r="L55" s="2182"/>
      <c r="O55" s="2149" t="s">
        <v>1240</v>
      </c>
      <c r="P55" s="2150" t="s">
        <v>1241</v>
      </c>
      <c r="Q55" s="2195" t="s">
        <v>1242</v>
      </c>
      <c r="R55" s="2195" t="s">
        <v>1243</v>
      </c>
    </row>
    <row r="56" spans="1:18" s="761" customFormat="1" ht="24">
      <c r="A56" s="2093">
        <v>2</v>
      </c>
      <c r="B56" s="2094" t="s">
        <v>1164</v>
      </c>
      <c r="C56" s="414">
        <f ca="1">C13</f>
        <v>0</v>
      </c>
      <c r="D56" s="2095"/>
      <c r="E56" s="2096"/>
      <c r="F56" s="2092"/>
      <c r="I56" s="2183" t="s">
        <v>1281</v>
      </c>
      <c r="J56" s="2244"/>
      <c r="K56" s="2158" t="s">
        <v>1282</v>
      </c>
      <c r="L56" s="2161">
        <f ca="1">IF(L48&lt;J51,"——",L48-J53)</f>
        <v>0</v>
      </c>
      <c r="O56" s="2156" t="s">
        <v>997</v>
      </c>
      <c r="P56" s="2157" t="s">
        <v>1246</v>
      </c>
      <c r="Q56" s="2196" t="e">
        <f ca="1">C40+J29</f>
        <v>#DIV/0!</v>
      </c>
      <c r="R56" s="2196" t="s">
        <v>1247</v>
      </c>
    </row>
    <row r="57" spans="1:18" s="761" customFormat="1" ht="24">
      <c r="A57" s="2097"/>
      <c r="B57" s="2098" t="s">
        <v>1227</v>
      </c>
      <c r="C57" s="424">
        <f ca="1">C29</f>
        <v>0</v>
      </c>
      <c r="D57" s="2099"/>
      <c r="E57" s="2100"/>
      <c r="F57" s="2101"/>
      <c r="I57" s="2185" t="s">
        <v>1283</v>
      </c>
      <c r="J57" s="2186">
        <f ca="1">IF(OR(M47="住宅",J51&lt;L48,J56="是"),"——",J51-L48)</f>
        <v>0</v>
      </c>
      <c r="K57" s="2158" t="s">
        <v>1284</v>
      </c>
      <c r="L57" s="2161">
        <f ca="1">IF(L48&lt;J51,"——",IF(L55="比较法",L49,IF(L55="基准地价",L50,L51)))</f>
        <v>0</v>
      </c>
      <c r="O57" s="2156" t="s">
        <v>1000</v>
      </c>
      <c r="P57" s="2157" t="s">
        <v>1285</v>
      </c>
      <c r="Q57" s="2196" t="e">
        <f ca="1">L60</f>
        <v>#DIV/0!</v>
      </c>
      <c r="R57" s="2196" t="s">
        <v>1286</v>
      </c>
    </row>
    <row r="58" spans="1:18" s="761" customFormat="1" ht="24">
      <c r="A58" s="2102" t="s">
        <v>1172</v>
      </c>
      <c r="B58" s="2094" t="s">
        <v>1173</v>
      </c>
      <c r="C58" s="1003">
        <f ca="1">ROUND(C59+C64+C65+C66,0)</f>
        <v>0</v>
      </c>
      <c r="D58" s="2103" t="s">
        <v>1174</v>
      </c>
      <c r="E58" s="2104"/>
      <c r="F58" s="2071"/>
      <c r="I58" s="2185" t="s">
        <v>1287</v>
      </c>
      <c r="J58" s="2187" t="e">
        <f ca="1">IF(J55&lt;0.4,0.4,J55)</f>
        <v>#DIV/0!</v>
      </c>
      <c r="K58" s="2169" t="s">
        <v>1288</v>
      </c>
      <c r="L58" s="2161" t="e">
        <f ca="1">ROUND(POWER(1+L52,L47-L48)*(POWER(1+L52,L48)-1)/(POWER(1+L52,L47)-1),4)</f>
        <v>#DIV/0!</v>
      </c>
      <c r="O58" s="2164" t="s">
        <v>1258</v>
      </c>
      <c r="P58" s="2157" t="s">
        <v>1289</v>
      </c>
      <c r="Q58" s="2196">
        <f>IF(L55="比较法",L49,IF(L55="基准地价",L50,0))</f>
        <v>0</v>
      </c>
      <c r="R58" s="2196" t="s">
        <v>1247</v>
      </c>
    </row>
    <row r="59" spans="1:18" s="761" customFormat="1" ht="24">
      <c r="A59" s="2001" t="s">
        <v>892</v>
      </c>
      <c r="B59" s="2098" t="s">
        <v>1179</v>
      </c>
      <c r="C59" s="2025">
        <f ca="1">ROUND(IF(AND(项目基本情况!B11="自然人",项目基本情况!B10="北京市"),C49*F59/(1+'数据-取费表'!C42),C60+C61+C62),0)</f>
        <v>0</v>
      </c>
      <c r="D59" s="2105" t="s">
        <v>1180</v>
      </c>
      <c r="E59" s="2106" t="s">
        <v>1181</v>
      </c>
      <c r="F59" s="2027">
        <f ca="1">IF(项目基本情况!B11="企业","——",IF('数据-取费表'!B10="住宅",IF(F49*F50*F51/12/(1+'数据-取费表'!F30)&gt;100000,4%,2.5%),IF(F49*F50*F51/12/(1+'数据-取费表'!F30)&gt;100000,12%,7%)))</f>
        <v>7.0000000000000007E-2</v>
      </c>
      <c r="I59" s="2185" t="s">
        <v>1290</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1262</v>
      </c>
      <c r="P59" s="2157" t="s">
        <v>1291</v>
      </c>
      <c r="Q59" s="2197">
        <f>L52</f>
        <v>0</v>
      </c>
      <c r="R59" s="2196"/>
    </row>
    <row r="60" spans="1:18" s="761" customFormat="1" ht="15.75">
      <c r="A60" s="2001" t="s">
        <v>915</v>
      </c>
      <c r="B60" s="2098" t="s">
        <v>1183</v>
      </c>
      <c r="C60" s="1004" t="str">
        <f>IF(项目基本情况!B11="自然人","——",ROUND(C48*F60/(1+'数据-取费表'!C42),2))</f>
        <v>——</v>
      </c>
      <c r="D60" s="2106" t="s">
        <v>1184</v>
      </c>
      <c r="E60" s="2098" t="s">
        <v>1171</v>
      </c>
      <c r="F60" s="2017">
        <f t="shared" ref="F60:F66" si="0">F32</f>
        <v>5.5000000000000007E-2</v>
      </c>
      <c r="I60" s="2188" t="s">
        <v>1292</v>
      </c>
      <c r="J60" s="2189" t="e">
        <f ca="1">IF(OR(M47="住宅",J51&lt;L48,J56="是"),"0",ROUND(J59/(1+J52)^J53,0))</f>
        <v>#DIV/0!</v>
      </c>
      <c r="K60" s="2190" t="s">
        <v>1293</v>
      </c>
      <c r="L60" s="2189" t="e">
        <f ca="1">IF(OR(M47="住宅",L48&lt;J51),0,ROUND(L57*(L58/L59-1),0))</f>
        <v>#DIV/0!</v>
      </c>
      <c r="O60" s="2164" t="s">
        <v>1266</v>
      </c>
      <c r="P60" s="2157" t="s">
        <v>1294</v>
      </c>
      <c r="Q60" s="2196" t="e">
        <f ca="1">L58</f>
        <v>#DIV/0!</v>
      </c>
      <c r="R60" s="2196" t="s">
        <v>1295</v>
      </c>
    </row>
    <row r="61" spans="1:18" s="761" customFormat="1">
      <c r="A61" s="2001" t="s">
        <v>919</v>
      </c>
      <c r="B61" s="2098" t="s">
        <v>1187</v>
      </c>
      <c r="C61" s="1004" t="str">
        <f ca="1">IF(项目基本情况!B11="自然人","——",IF(D61="按租金收入计税",ROUND(C49*F61/(1+'数据-取费表'!C42),2),IF(D61="按房产原值计税",ROUND(C57*F61*0.7,2),INDIRECT("'数据-取费表'!Aj"&amp;$G$1))))</f>
        <v>——</v>
      </c>
      <c r="D61" s="2029" t="s">
        <v>1188</v>
      </c>
      <c r="E61" s="2098" t="s">
        <v>1171</v>
      </c>
      <c r="F61" s="2010">
        <f t="shared" si="0"/>
        <v>0.12</v>
      </c>
      <c r="I61" s="2045"/>
      <c r="J61" s="2045"/>
      <c r="K61" s="2045"/>
      <c r="L61" s="2045"/>
      <c r="O61" s="2164" t="s">
        <v>1270</v>
      </c>
      <c r="P61" s="2157" t="str">
        <f>K59</f>
        <v>建筑物剩余耐用年限下的土地年期修正系数Kn</v>
      </c>
      <c r="Q61" s="2196" t="e">
        <f ca="1">L59</f>
        <v>#DIV/0!</v>
      </c>
      <c r="R61" s="2196" t="s">
        <v>1296</v>
      </c>
    </row>
    <row r="62" spans="1:18" s="761" customFormat="1">
      <c r="A62" s="2001" t="s">
        <v>922</v>
      </c>
      <c r="B62" s="2107" t="s">
        <v>1191</v>
      </c>
      <c r="C62" s="2031" t="str">
        <f>IF(项目基本情况!B11="自然人","——",ROUND(F62*F63/10000,2))</f>
        <v>——</v>
      </c>
      <c r="D62" s="2108" t="s">
        <v>1192</v>
      </c>
      <c r="E62" s="2098" t="s">
        <v>1193</v>
      </c>
      <c r="F62" s="2016">
        <f t="shared" si="0"/>
        <v>1.5</v>
      </c>
      <c r="I62" s="2191" t="s">
        <v>1297</v>
      </c>
      <c r="J62" s="2192" t="s">
        <v>1298</v>
      </c>
      <c r="K62" s="2192" t="s">
        <v>1299</v>
      </c>
      <c r="L62" s="2192" t="s">
        <v>1300</v>
      </c>
      <c r="M62" s="2193" t="s">
        <v>1301</v>
      </c>
      <c r="O62" s="2156" t="s">
        <v>1100</v>
      </c>
      <c r="P62" s="2157" t="s">
        <v>1276</v>
      </c>
      <c r="Q62" s="2196" t="e">
        <f ca="1">Q56+Q57</f>
        <v>#DIV/0!</v>
      </c>
      <c r="R62" s="2196" t="s">
        <v>1277</v>
      </c>
    </row>
    <row r="63" spans="1:18" s="761" customFormat="1">
      <c r="A63" s="2014"/>
      <c r="B63" s="2109"/>
      <c r="C63" s="2035"/>
      <c r="D63" s="2110"/>
      <c r="E63" s="2098" t="s">
        <v>1197</v>
      </c>
      <c r="F63" s="1973">
        <f t="shared" ca="1" si="0"/>
        <v>0</v>
      </c>
      <c r="I63" s="2191" t="s">
        <v>1302</v>
      </c>
      <c r="J63" s="2192">
        <v>70</v>
      </c>
      <c r="K63" s="2192">
        <v>50</v>
      </c>
      <c r="L63" s="2192">
        <v>80</v>
      </c>
      <c r="M63" s="2194">
        <v>0.02</v>
      </c>
      <c r="O63" s="2144" t="s">
        <v>1303</v>
      </c>
      <c r="P63" s="2178"/>
      <c r="Q63" s="2178"/>
      <c r="R63" s="2178"/>
    </row>
    <row r="64" spans="1:18" s="761" customFormat="1">
      <c r="A64" s="2001" t="s">
        <v>896</v>
      </c>
      <c r="B64" s="2098" t="s">
        <v>1199</v>
      </c>
      <c r="C64" s="1004">
        <f ca="1">ROUND(C57*F64,2)</f>
        <v>0</v>
      </c>
      <c r="D64" s="2106" t="s">
        <v>1232</v>
      </c>
      <c r="E64" s="2098" t="s">
        <v>1171</v>
      </c>
      <c r="F64" s="2038">
        <f t="shared" ca="1" si="0"/>
        <v>0</v>
      </c>
      <c r="I64" s="2191" t="s">
        <v>1304</v>
      </c>
      <c r="J64" s="2192">
        <v>50</v>
      </c>
      <c r="K64" s="2192">
        <v>35</v>
      </c>
      <c r="L64" s="2192">
        <v>60</v>
      </c>
      <c r="M64" s="2193">
        <v>0</v>
      </c>
      <c r="O64" s="2149" t="s">
        <v>1240</v>
      </c>
      <c r="P64" s="2150" t="s">
        <v>1241</v>
      </c>
      <c r="Q64" s="2195" t="s">
        <v>1242</v>
      </c>
      <c r="R64" s="2195" t="s">
        <v>1243</v>
      </c>
    </row>
    <row r="65" spans="1:18" s="761" customFormat="1">
      <c r="A65" s="2001" t="s">
        <v>941</v>
      </c>
      <c r="B65" s="2098" t="s">
        <v>1203</v>
      </c>
      <c r="C65" s="1004">
        <f ca="1">ROUND(C56*F65,2)</f>
        <v>0</v>
      </c>
      <c r="D65" s="2106" t="s">
        <v>1204</v>
      </c>
      <c r="E65" s="2098" t="s">
        <v>1171</v>
      </c>
      <c r="F65" s="2039">
        <f t="shared" ca="1" si="0"/>
        <v>0</v>
      </c>
      <c r="I65" s="2191" t="s">
        <v>1305</v>
      </c>
      <c r="J65" s="2192">
        <v>40</v>
      </c>
      <c r="K65" s="2192">
        <v>30</v>
      </c>
      <c r="L65" s="2192">
        <v>50</v>
      </c>
      <c r="M65" s="2194">
        <v>0.02</v>
      </c>
      <c r="O65" s="2156" t="s">
        <v>997</v>
      </c>
      <c r="P65" s="2157" t="s">
        <v>1246</v>
      </c>
      <c r="Q65" s="2196" t="e">
        <f ca="1">C40+J29</f>
        <v>#DIV/0!</v>
      </c>
      <c r="R65" s="2196" t="s">
        <v>1247</v>
      </c>
    </row>
    <row r="66" spans="1:18" s="761" customFormat="1" ht="15.75">
      <c r="A66" s="2001" t="s">
        <v>944</v>
      </c>
      <c r="B66" s="2098" t="s">
        <v>1189</v>
      </c>
      <c r="C66" s="1004">
        <f ca="1">ROUND(C48*F66,2)</f>
        <v>0</v>
      </c>
      <c r="D66" s="2106" t="s">
        <v>1207</v>
      </c>
      <c r="E66" s="2098" t="s">
        <v>1171</v>
      </c>
      <c r="F66" s="1980">
        <f t="shared" ca="1" si="0"/>
        <v>0</v>
      </c>
      <c r="O66" s="2156" t="s">
        <v>1000</v>
      </c>
      <c r="P66" s="2157" t="s">
        <v>1285</v>
      </c>
      <c r="Q66" s="2196" t="e">
        <f ca="1">L60</f>
        <v>#DIV/0!</v>
      </c>
      <c r="R66" s="2196" t="s">
        <v>1286</v>
      </c>
    </row>
    <row r="67" spans="1:18" s="761" customFormat="1" ht="15.75">
      <c r="A67" s="2093" t="s">
        <v>1210</v>
      </c>
      <c r="B67" s="2198" t="s">
        <v>1211</v>
      </c>
      <c r="C67" s="1003">
        <f ca="1">C48-C58</f>
        <v>0</v>
      </c>
      <c r="D67" s="2105" t="s">
        <v>1212</v>
      </c>
      <c r="E67" s="2199"/>
      <c r="F67" s="2200"/>
      <c r="O67" s="2164" t="s">
        <v>1258</v>
      </c>
      <c r="P67" s="2157" t="s">
        <v>1289</v>
      </c>
      <c r="Q67" s="2220">
        <f ca="1">L51</f>
        <v>0</v>
      </c>
      <c r="R67" s="2196" t="s">
        <v>1306</v>
      </c>
    </row>
    <row r="68" spans="1:18" s="761" customFormat="1" ht="15.75">
      <c r="A68" s="2201" t="s">
        <v>1216</v>
      </c>
      <c r="B68" s="2202" t="s">
        <v>1233</v>
      </c>
      <c r="C68" s="2044" t="e">
        <f ca="1">ROUND(C67*(1-((1+F70)/(1+F68))^F69)/(F68-F70),0)</f>
        <v>#DIV/0!</v>
      </c>
      <c r="D68" s="2108" t="s">
        <v>1218</v>
      </c>
      <c r="E68" s="2098" t="s">
        <v>1219</v>
      </c>
      <c r="F68" s="1980">
        <f ca="1">F40</f>
        <v>0</v>
      </c>
      <c r="O68" s="2164" t="s">
        <v>1262</v>
      </c>
      <c r="P68" s="2219" t="s">
        <v>1307</v>
      </c>
      <c r="Q68" s="2196">
        <f ca="1">ROUND(Q69-Q70*Q71,0)</f>
        <v>0</v>
      </c>
      <c r="R68" s="2196" t="s">
        <v>1308</v>
      </c>
    </row>
    <row r="69" spans="1:18" s="761" customFormat="1">
      <c r="A69" s="2203"/>
      <c r="B69" s="2204"/>
      <c r="C69" s="1979"/>
      <c r="D69" s="2205" t="s">
        <v>1222</v>
      </c>
      <c r="E69" s="2098" t="s">
        <v>1223</v>
      </c>
      <c r="F69" s="2048">
        <f ca="1">F41</f>
        <v>0</v>
      </c>
      <c r="O69" s="2164" t="s">
        <v>1309</v>
      </c>
      <c r="P69" s="2219" t="s">
        <v>1310</v>
      </c>
      <c r="Q69" s="2196">
        <f ca="1">C39</f>
        <v>0</v>
      </c>
      <c r="R69" s="2196" t="s">
        <v>1247</v>
      </c>
    </row>
    <row r="70" spans="1:18" s="761" customFormat="1">
      <c r="A70" s="2206"/>
      <c r="B70" s="2207"/>
      <c r="C70" s="1998"/>
      <c r="D70" s="2110"/>
      <c r="E70" s="2098" t="s">
        <v>1226</v>
      </c>
      <c r="F70" s="2088"/>
      <c r="O70" s="2164" t="s">
        <v>1311</v>
      </c>
      <c r="P70" s="2219" t="s">
        <v>1312</v>
      </c>
      <c r="Q70" s="2196">
        <f ca="1">C13</f>
        <v>0</v>
      </c>
      <c r="R70" s="2196" t="s">
        <v>1247</v>
      </c>
    </row>
    <row r="71" spans="1:18" s="761" customFormat="1">
      <c r="A71" s="2208" t="s">
        <v>1228</v>
      </c>
      <c r="B71" s="2209" t="s">
        <v>1234</v>
      </c>
      <c r="C71" s="2052" t="e">
        <f ca="1">ROUND(C68*10000/F71,0)</f>
        <v>#DIV/0!</v>
      </c>
      <c r="D71" s="2210" t="s">
        <v>1235</v>
      </c>
      <c r="E71" s="2211" t="s">
        <v>1236</v>
      </c>
      <c r="F71" s="2055">
        <f ca="1">F43</f>
        <v>0</v>
      </c>
      <c r="O71" s="2164" t="s">
        <v>1313</v>
      </c>
      <c r="P71" s="2219" t="s">
        <v>1314</v>
      </c>
      <c r="Q71" s="2197">
        <f ca="1">C76</f>
        <v>0</v>
      </c>
      <c r="R71" s="2196"/>
    </row>
    <row r="72" spans="1:18" s="761" customFormat="1">
      <c r="B72" s="1038"/>
      <c r="C72" s="1038"/>
      <c r="O72" s="2164" t="s">
        <v>1266</v>
      </c>
      <c r="P72" s="2157" t="s">
        <v>1291</v>
      </c>
      <c r="Q72" s="2197">
        <f>L52</f>
        <v>0</v>
      </c>
      <c r="R72" s="2196"/>
    </row>
    <row r="73" spans="1:18" ht="15.75">
      <c r="A73" s="761"/>
      <c r="B73" s="1038"/>
      <c r="C73" s="1038"/>
      <c r="D73" s="761"/>
      <c r="E73" s="761"/>
      <c r="F73" s="761"/>
      <c r="O73" s="2164" t="s">
        <v>1270</v>
      </c>
      <c r="P73" s="2157" t="s">
        <v>1294</v>
      </c>
      <c r="Q73" s="2196" t="e">
        <f ca="1">L58</f>
        <v>#DIV/0!</v>
      </c>
      <c r="R73" s="2196" t="s">
        <v>1295</v>
      </c>
    </row>
    <row r="74" spans="1:18">
      <c r="A74" s="761"/>
      <c r="B74" s="456" t="s">
        <v>1315</v>
      </c>
      <c r="C74" s="2212"/>
      <c r="D74" s="761"/>
      <c r="E74" s="761"/>
      <c r="F74" s="761"/>
      <c r="O74" s="2164" t="s">
        <v>1316</v>
      </c>
      <c r="P74" s="2157" t="str">
        <f>K59</f>
        <v>建筑物剩余耐用年限下的土地年期修正系数Kn</v>
      </c>
      <c r="Q74" s="2196" t="e">
        <f ca="1">L59</f>
        <v>#DIV/0!</v>
      </c>
      <c r="R74" s="2196" t="s">
        <v>1296</v>
      </c>
    </row>
    <row r="75" spans="1:18">
      <c r="A75" s="761"/>
      <c r="B75" s="2213" t="s">
        <v>1317</v>
      </c>
      <c r="C75" s="2214">
        <f ca="1">ROUND(C13*C76,0)</f>
        <v>0</v>
      </c>
      <c r="D75" s="761"/>
      <c r="E75" s="761"/>
      <c r="F75" s="761"/>
      <c r="K75" s="2143"/>
      <c r="L75" s="761"/>
      <c r="O75" s="2156" t="s">
        <v>1100</v>
      </c>
      <c r="P75" s="2157" t="s">
        <v>1276</v>
      </c>
      <c r="Q75" s="2196" t="e">
        <f ca="1">Q65+Q66</f>
        <v>#DIV/0!</v>
      </c>
      <c r="R75" s="2196" t="s">
        <v>1277</v>
      </c>
    </row>
    <row r="76" spans="1:18">
      <c r="B76" s="546" t="s">
        <v>1318</v>
      </c>
      <c r="C76" s="2215">
        <f ca="1">INDIRECT("'数据-取费表'!j"&amp;$G$1)</f>
        <v>0</v>
      </c>
      <c r="I76" s="761"/>
      <c r="J76" s="761"/>
      <c r="K76" s="2143"/>
      <c r="L76" s="761"/>
    </row>
    <row r="77" spans="1:18">
      <c r="B77" s="2216" t="s">
        <v>1319</v>
      </c>
      <c r="C77" s="2217"/>
      <c r="I77" s="761"/>
      <c r="J77" s="761"/>
      <c r="K77" s="2143"/>
      <c r="L77" s="761"/>
    </row>
    <row r="78" spans="1:18">
      <c r="B78" s="454" t="s">
        <v>1320</v>
      </c>
      <c r="C78" s="2218"/>
    </row>
    <row r="79" spans="1:18">
      <c r="B79" s="2213" t="s">
        <v>1321</v>
      </c>
      <c r="C79" s="457" t="e">
        <f ca="1">1-C80</f>
        <v>#DIV/0!</v>
      </c>
    </row>
    <row r="80" spans="1:18">
      <c r="B80" s="2213" t="s">
        <v>1322</v>
      </c>
      <c r="C80" s="457" t="e">
        <f ca="1">ROUND(C75/C39,3)</f>
        <v>#DIV/0!</v>
      </c>
    </row>
    <row r="81" spans="2:3">
      <c r="B81" s="454" t="s">
        <v>1323</v>
      </c>
      <c r="C81" s="424"/>
    </row>
    <row r="82" spans="2:3">
      <c r="B82" s="456" t="s">
        <v>1076</v>
      </c>
      <c r="C82" s="458" t="e">
        <f ca="1">1-C83</f>
        <v>#DIV/0!</v>
      </c>
    </row>
    <row r="83" spans="2:3">
      <c r="B83" s="456" t="s">
        <v>1077</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8" zoomScale="85" zoomScaleNormal="70" zoomScaleSheetLayoutView="85" workbookViewId="0">
      <selection activeCell="H63" sqref="H63"/>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583" t="s">
        <v>1325</v>
      </c>
      <c r="C1" s="1449" t="s">
        <v>1326</v>
      </c>
      <c r="D1" s="1450" t="s">
        <v>549</v>
      </c>
      <c r="E1" s="1451" t="s">
        <v>1327</v>
      </c>
      <c r="F1" s="1452" t="s">
        <v>1328</v>
      </c>
      <c r="G1" s="1453" t="s">
        <v>1329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982</v>
      </c>
      <c r="B2" s="1456">
        <f>IF(E1="项目模式",IF(C2="——",ROUND(C50*D3/10000,0),ROUND(C50*D3/10000,0)-D2),IF(E1="单套模式",IF(C2="——",ROUND(C50*D3/10000,4),ROUND(C50*D3/10000,4)-D2)))</f>
        <v>116.3297</v>
      </c>
      <c r="C2" s="1457" t="s">
        <v>124</v>
      </c>
      <c r="D2" s="1628" t="e">
        <f ca="1">IF(E1="项目模式",SUMIF(INDIRECT("'"&amp;F2&amp;"'"&amp;"!A:A"),"承租人权益价值",INDIRECT("'"&amp;F2&amp;"'"&amp;"!c:c")),SUMIF(INDIRECT("'"&amp;F2&amp;"'"&amp;"!A:A"),"承租人权益价值（单套）",INDIRECT("'"&amp;F2&amp;"'"&amp;"!c:c")))</f>
        <v>#REF!</v>
      </c>
      <c r="E2" s="1458" t="s">
        <v>983</v>
      </c>
      <c r="F2" s="1459"/>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984</v>
      </c>
      <c r="B3" s="1088">
        <f>IF(C2="——",C50,ROUND(B2*10000/D3,0))</f>
        <v>25001</v>
      </c>
      <c r="C3" s="1460" t="s">
        <v>1330</v>
      </c>
      <c r="D3" s="1461">
        <f>IF(D1="",'数据-汇总表'!E3,SUMIF('数据-汇总表'!$C19:$C33,D1,'数据-汇总表'!$E19:$E33))</f>
        <v>46.53</v>
      </c>
      <c r="E3" s="1629"/>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1331</v>
      </c>
      <c r="B4" s="1091"/>
      <c r="C4" s="3626" t="s">
        <v>1332</v>
      </c>
      <c r="D4" s="3627"/>
      <c r="E4" s="3628" t="s">
        <v>1333</v>
      </c>
      <c r="F4" s="3629"/>
      <c r="G4" s="3626" t="s">
        <v>1334</v>
      </c>
      <c r="H4" s="3627"/>
      <c r="I4" s="3626" t="s">
        <v>1335</v>
      </c>
      <c r="J4" s="3627"/>
      <c r="K4" s="1237" t="s">
        <v>1336</v>
      </c>
      <c r="L4" s="1238"/>
      <c r="M4" s="1239"/>
      <c r="N4" s="1239"/>
      <c r="O4" s="1239"/>
      <c r="P4" s="3663" t="s">
        <v>1337</v>
      </c>
      <c r="Q4" s="3664"/>
      <c r="R4" s="3669" t="s">
        <v>1333</v>
      </c>
      <c r="S4" s="3670"/>
      <c r="T4" s="3669" t="s">
        <v>1334</v>
      </c>
      <c r="U4" s="3670"/>
      <c r="V4" s="3675" t="s">
        <v>1335</v>
      </c>
      <c r="W4" s="3675"/>
      <c r="X4" s="2228"/>
      <c r="Y4" s="3669" t="s">
        <v>1337</v>
      </c>
      <c r="Z4" s="3670"/>
      <c r="AA4" s="3657" t="s">
        <v>1333</v>
      </c>
      <c r="AB4" s="3657" t="s">
        <v>1334</v>
      </c>
      <c r="AC4" s="3660" t="s">
        <v>1335</v>
      </c>
    </row>
    <row r="5" spans="1:29" ht="15">
      <c r="A5" s="1092"/>
      <c r="B5" s="1093"/>
      <c r="C5" s="3630" t="s">
        <v>1338</v>
      </c>
      <c r="D5" s="3631"/>
      <c r="E5" s="3632" t="s">
        <v>2758</v>
      </c>
      <c r="F5" s="3633"/>
      <c r="G5" s="3632" t="s">
        <v>2759</v>
      </c>
      <c r="H5" s="3633"/>
      <c r="I5" s="3632" t="s">
        <v>2757</v>
      </c>
      <c r="J5" s="3633"/>
      <c r="K5" s="1237"/>
      <c r="L5" s="1238"/>
      <c r="M5" s="1239"/>
      <c r="N5" s="1239"/>
      <c r="O5" s="1239"/>
      <c r="P5" s="3665"/>
      <c r="Q5" s="3666"/>
      <c r="R5" s="3671"/>
      <c r="S5" s="3672"/>
      <c r="T5" s="3671"/>
      <c r="U5" s="3672"/>
      <c r="V5" s="3676"/>
      <c r="W5" s="3676"/>
      <c r="X5" s="1281"/>
      <c r="Y5" s="3671"/>
      <c r="Z5" s="3672"/>
      <c r="AA5" s="3658"/>
      <c r="AB5" s="3658"/>
      <c r="AC5" s="3661"/>
    </row>
    <row r="6" spans="1:29" ht="15">
      <c r="A6" s="1094"/>
      <c r="B6" s="1095"/>
      <c r="C6" s="3634" t="s">
        <v>1339</v>
      </c>
      <c r="D6" s="3635"/>
      <c r="E6" s="3636" t="s">
        <v>2755</v>
      </c>
      <c r="F6" s="3637"/>
      <c r="G6" s="3634" t="s">
        <v>1339</v>
      </c>
      <c r="H6" s="3635"/>
      <c r="I6" s="3634" t="s">
        <v>1339</v>
      </c>
      <c r="J6" s="3635"/>
      <c r="K6" s="1237" t="s">
        <v>1340</v>
      </c>
      <c r="L6" s="1238"/>
      <c r="M6" s="1239"/>
      <c r="N6" s="1239"/>
      <c r="O6" s="1239"/>
      <c r="P6" s="3667"/>
      <c r="Q6" s="3668"/>
      <c r="R6" s="3671"/>
      <c r="S6" s="3672"/>
      <c r="T6" s="3673"/>
      <c r="U6" s="3674"/>
      <c r="V6" s="3676"/>
      <c r="W6" s="3676"/>
      <c r="X6" s="1281"/>
      <c r="Y6" s="3673"/>
      <c r="Z6" s="3674"/>
      <c r="AA6" s="3659"/>
      <c r="AB6" s="3659"/>
      <c r="AC6" s="3662"/>
    </row>
    <row r="7" spans="1:29" s="1071" customFormat="1" ht="15">
      <c r="A7" s="1096" t="s">
        <v>1341</v>
      </c>
      <c r="B7" s="1097"/>
      <c r="C7" s="1098">
        <f>'数据-取费表'!B2</f>
        <v>45218</v>
      </c>
      <c r="D7" s="1099">
        <v>100</v>
      </c>
      <c r="E7" s="1100">
        <v>45200</v>
      </c>
      <c r="F7" s="1101">
        <f>SUMIF(59:59,YEAR(E7)&amp;"-"&amp;MONTH(E7),60:60)</f>
        <v>100</v>
      </c>
      <c r="G7" s="1100">
        <v>45200</v>
      </c>
      <c r="H7" s="1099">
        <f>SUMIF(59:59,YEAR(G7)&amp;"-"&amp;MONTH(G7),60:60)</f>
        <v>100</v>
      </c>
      <c r="I7" s="1100">
        <v>45200</v>
      </c>
      <c r="J7" s="1099">
        <f>SUMIF(59:59,YEAR(I7)&amp;"-"&amp;MONTH(I7),60:60)</f>
        <v>100</v>
      </c>
      <c r="K7" s="1240"/>
      <c r="L7" s="1241"/>
      <c r="M7" s="1242"/>
      <c r="N7" s="1242"/>
      <c r="O7" s="1242"/>
      <c r="P7" s="3638" t="s">
        <v>1342</v>
      </c>
      <c r="Q7" s="3639"/>
      <c r="R7" s="1282" t="s">
        <v>1343</v>
      </c>
      <c r="S7" s="1283">
        <f t="shared" ref="S7:S15" si="0">F7</f>
        <v>100</v>
      </c>
      <c r="T7" s="1282" t="s">
        <v>1343</v>
      </c>
      <c r="U7" s="1283">
        <f t="shared" ref="U7:U15" si="1">H7</f>
        <v>100</v>
      </c>
      <c r="V7" s="1282" t="s">
        <v>1343</v>
      </c>
      <c r="W7" s="1283">
        <f t="shared" ref="W7:W15" si="2">J7</f>
        <v>100</v>
      </c>
      <c r="X7" s="1284"/>
      <c r="Y7" s="3640" t="s">
        <v>1342</v>
      </c>
      <c r="Z7" s="3641"/>
      <c r="AA7" s="1296">
        <f>D7/F7</f>
        <v>1</v>
      </c>
      <c r="AB7" s="1296">
        <f>D7/H7</f>
        <v>1</v>
      </c>
      <c r="AC7" s="2229">
        <f>D7/J7</f>
        <v>1</v>
      </c>
    </row>
    <row r="8" spans="1:29" s="1071" customFormat="1" ht="15">
      <c r="A8" s="1096" t="s">
        <v>1344</v>
      </c>
      <c r="B8" s="1097"/>
      <c r="C8" s="1103" t="s">
        <v>1345</v>
      </c>
      <c r="D8" s="1099">
        <v>100</v>
      </c>
      <c r="E8" s="1103" t="s">
        <v>1346</v>
      </c>
      <c r="F8" s="1101">
        <f>SUMIF(62:62,E8,63:63)-SUMIF(62:62,C8,63:63)+100</f>
        <v>105</v>
      </c>
      <c r="G8" s="1103" t="s">
        <v>1346</v>
      </c>
      <c r="H8" s="1099">
        <f>SUMIF(62:62,G8,63:63)-SUMIF(62:62,C8,63:63)+100</f>
        <v>105</v>
      </c>
      <c r="I8" s="1103" t="s">
        <v>1346</v>
      </c>
      <c r="J8" s="1099">
        <f>SUMIF(62:62,I8,63:63)-SUMIF(62:62,C8,63:63)+100</f>
        <v>105</v>
      </c>
      <c r="K8" s="1240"/>
      <c r="L8" s="1241"/>
      <c r="M8" s="1242"/>
      <c r="N8" s="1242"/>
      <c r="O8" s="1242"/>
      <c r="P8" s="3638" t="s">
        <v>1347</v>
      </c>
      <c r="Q8" s="3641"/>
      <c r="R8" s="1282" t="s">
        <v>1343</v>
      </c>
      <c r="S8" s="1283">
        <f t="shared" si="0"/>
        <v>105</v>
      </c>
      <c r="T8" s="1282" t="s">
        <v>1343</v>
      </c>
      <c r="U8" s="1283">
        <f t="shared" si="1"/>
        <v>105</v>
      </c>
      <c r="V8" s="1282" t="s">
        <v>1343</v>
      </c>
      <c r="W8" s="1283">
        <f t="shared" si="2"/>
        <v>105</v>
      </c>
      <c r="X8" s="1284"/>
      <c r="Y8" s="3640" t="s">
        <v>1347</v>
      </c>
      <c r="Z8" s="3641"/>
      <c r="AA8" s="1296">
        <f t="shared" ref="AA8:AA47" si="3">D8/F8</f>
        <v>0.95238095238095233</v>
      </c>
      <c r="AB8" s="1296">
        <f t="shared" ref="AB8:AB47" si="4">D8/H8</f>
        <v>0.95238095238095233</v>
      </c>
      <c r="AC8" s="2229">
        <f t="shared" ref="AC8:AC47" si="5">D8/J8</f>
        <v>0.95238095238095233</v>
      </c>
    </row>
    <row r="9" spans="1:29" s="1071" customFormat="1">
      <c r="A9" s="1104" t="s">
        <v>1348</v>
      </c>
      <c r="B9" s="1105" t="s">
        <v>1349</v>
      </c>
      <c r="C9" s="2221" t="s">
        <v>549</v>
      </c>
      <c r="D9" s="1107">
        <v>100</v>
      </c>
      <c r="E9" s="1463" t="s">
        <v>549</v>
      </c>
      <c r="F9" s="1107">
        <f>SUMIF(64:64,E9,65:65)-SUMIF(64:64,C9,65:65)+100</f>
        <v>100</v>
      </c>
      <c r="G9" s="1463" t="s">
        <v>549</v>
      </c>
      <c r="H9" s="1107">
        <f>SUMIF(64:64,G9,65:65)-SUMIF(64:64,C9,65:65)+100</f>
        <v>100</v>
      </c>
      <c r="I9" s="1463" t="s">
        <v>549</v>
      </c>
      <c r="J9" s="1107">
        <f>SUMIF(64:64,I9,65:65)-SUMIF(64:64,C9,65:65)+100</f>
        <v>100</v>
      </c>
      <c r="K9" s="1240"/>
      <c r="L9" s="1241"/>
      <c r="M9" s="1242"/>
      <c r="N9" s="1242"/>
      <c r="O9" s="1242"/>
      <c r="P9" s="3642" t="s">
        <v>1350</v>
      </c>
      <c r="Q9" s="1286" t="str">
        <f t="shared" ref="Q9:Q15" si="6">B9</f>
        <v>用途</v>
      </c>
      <c r="R9" s="1282" t="s">
        <v>1343</v>
      </c>
      <c r="S9" s="1283">
        <f t="shared" si="0"/>
        <v>100</v>
      </c>
      <c r="T9" s="1282" t="s">
        <v>1343</v>
      </c>
      <c r="U9" s="1283">
        <f t="shared" si="1"/>
        <v>100</v>
      </c>
      <c r="V9" s="1282" t="s">
        <v>1343</v>
      </c>
      <c r="W9" s="1283">
        <f t="shared" si="2"/>
        <v>100</v>
      </c>
      <c r="X9" s="1284"/>
      <c r="Y9" s="3612" t="s">
        <v>1351</v>
      </c>
      <c r="Z9" s="1297" t="str">
        <f t="shared" ref="Z9:Z15" si="7">Q9</f>
        <v>用途</v>
      </c>
      <c r="AA9" s="1296">
        <f t="shared" si="3"/>
        <v>1</v>
      </c>
      <c r="AB9" s="1296">
        <f t="shared" si="4"/>
        <v>1</v>
      </c>
      <c r="AC9" s="2229">
        <f t="shared" si="5"/>
        <v>1</v>
      </c>
    </row>
    <row r="10" spans="1:29" s="1072" customFormat="1" ht="27" hidden="1">
      <c r="A10" s="1108"/>
      <c r="B10" s="1109" t="s">
        <v>1352</v>
      </c>
      <c r="C10" s="1465"/>
      <c r="D10" s="1111">
        <v>100</v>
      </c>
      <c r="E10" s="1465"/>
      <c r="F10" s="1111">
        <f>SUMIF(66:66,E10,67:67)-SUMIF(66:66,C10,67:67)+100</f>
        <v>100</v>
      </c>
      <c r="G10" s="1534"/>
      <c r="H10" s="1111">
        <f>SUMIF(66:66,G10,67:67)-SUMIF(66:66,C10,67:67)+100</f>
        <v>100</v>
      </c>
      <c r="I10" s="1465"/>
      <c r="J10" s="1111">
        <f>SUMIF(66:66,I10,67:67)-SUMIF(66:66,C10,67:67)+100</f>
        <v>100</v>
      </c>
      <c r="K10" s="1240"/>
      <c r="L10" s="1245"/>
      <c r="M10" s="1246"/>
      <c r="N10" s="1246"/>
      <c r="O10" s="1246"/>
      <c r="P10" s="3642"/>
      <c r="Q10" s="1286" t="str">
        <f t="shared" si="6"/>
        <v>土地使用年限（年）</v>
      </c>
      <c r="R10" s="1282" t="s">
        <v>1343</v>
      </c>
      <c r="S10" s="1283">
        <f t="shared" si="0"/>
        <v>100</v>
      </c>
      <c r="T10" s="1282" t="s">
        <v>1343</v>
      </c>
      <c r="U10" s="1283">
        <f t="shared" si="1"/>
        <v>100</v>
      </c>
      <c r="V10" s="1282" t="s">
        <v>1343</v>
      </c>
      <c r="W10" s="1283">
        <f t="shared" si="2"/>
        <v>100</v>
      </c>
      <c r="X10" s="1284"/>
      <c r="Y10" s="3612"/>
      <c r="Z10" s="1297" t="str">
        <f t="shared" si="7"/>
        <v>土地使用年限（年）</v>
      </c>
      <c r="AA10" s="1296">
        <f t="shared" si="3"/>
        <v>1</v>
      </c>
      <c r="AB10" s="1296">
        <f t="shared" si="4"/>
        <v>1</v>
      </c>
      <c r="AC10" s="2229">
        <f t="shared" si="5"/>
        <v>1</v>
      </c>
    </row>
    <row r="11" spans="1:29" ht="15" hidden="1">
      <c r="A11" s="1112"/>
      <c r="B11" s="1109" t="s">
        <v>1353</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42"/>
      <c r="Q11" s="1286" t="str">
        <f t="shared" si="6"/>
        <v>容积率</v>
      </c>
      <c r="R11" s="1282" t="s">
        <v>1343</v>
      </c>
      <c r="S11" s="1283">
        <f t="shared" si="0"/>
        <v>100</v>
      </c>
      <c r="T11" s="1282" t="s">
        <v>1343</v>
      </c>
      <c r="U11" s="1283">
        <f t="shared" si="1"/>
        <v>100</v>
      </c>
      <c r="V11" s="1282" t="s">
        <v>1343</v>
      </c>
      <c r="W11" s="1283">
        <f t="shared" si="2"/>
        <v>100</v>
      </c>
      <c r="X11" s="1284"/>
      <c r="Y11" s="3612"/>
      <c r="Z11" s="1297" t="str">
        <f t="shared" si="7"/>
        <v>容积率</v>
      </c>
      <c r="AA11" s="1296">
        <f t="shared" si="3"/>
        <v>1</v>
      </c>
      <c r="AB11" s="1296">
        <f t="shared" si="4"/>
        <v>1</v>
      </c>
      <c r="AC11" s="2229">
        <f t="shared" si="5"/>
        <v>1</v>
      </c>
    </row>
    <row r="12" spans="1:29" s="1071" customFormat="1" ht="15" hidden="1">
      <c r="A12" s="1115"/>
      <c r="B12" s="1116">
        <v>111</v>
      </c>
      <c r="C12" s="1110"/>
      <c r="D12" s="1117">
        <v>100</v>
      </c>
      <c r="E12" s="1110"/>
      <c r="F12" s="1111">
        <f>SUMIF(71:71,E12,72:72)-SUMIF(71:71,C12,72:72)+100</f>
        <v>100</v>
      </c>
      <c r="G12" s="2222"/>
      <c r="H12" s="1111">
        <f>SUMIF(71:71,G12,72:72)-SUMIF(71:71,C12,72:72)+100</f>
        <v>100</v>
      </c>
      <c r="I12" s="1110"/>
      <c r="J12" s="1111">
        <f>SUMIF(71:71,I12,72:72)-SUMIF(71:71,C12,72:72)+100</f>
        <v>100</v>
      </c>
      <c r="K12" s="1256"/>
      <c r="L12" s="1241"/>
      <c r="M12" s="1242"/>
      <c r="N12" s="1242"/>
      <c r="O12" s="1242"/>
      <c r="P12" s="3642"/>
      <c r="Q12" s="1286">
        <f t="shared" si="6"/>
        <v>111</v>
      </c>
      <c r="R12" s="1282" t="s">
        <v>1343</v>
      </c>
      <c r="S12" s="1283">
        <f t="shared" si="0"/>
        <v>100</v>
      </c>
      <c r="T12" s="1282" t="s">
        <v>1343</v>
      </c>
      <c r="U12" s="1283">
        <f t="shared" si="1"/>
        <v>100</v>
      </c>
      <c r="V12" s="1282" t="s">
        <v>1343</v>
      </c>
      <c r="W12" s="1283">
        <f t="shared" si="2"/>
        <v>100</v>
      </c>
      <c r="X12" s="1284"/>
      <c r="Y12" s="3612"/>
      <c r="Z12" s="1297">
        <f t="shared" si="7"/>
        <v>111</v>
      </c>
      <c r="AA12" s="1296">
        <f t="shared" si="3"/>
        <v>1</v>
      </c>
      <c r="AB12" s="1296">
        <f t="shared" si="4"/>
        <v>1</v>
      </c>
      <c r="AC12" s="2229">
        <f t="shared" si="5"/>
        <v>1</v>
      </c>
    </row>
    <row r="13" spans="1:29" ht="15" hidden="1">
      <c r="A13" s="1112"/>
      <c r="B13" s="1116">
        <v>111</v>
      </c>
      <c r="C13" s="1120"/>
      <c r="D13" s="1121">
        <v>100</v>
      </c>
      <c r="E13" s="1110"/>
      <c r="F13" s="1111">
        <f>SUMIF(73:73,E13,74:74)-SUMIF(73:73,C13,74:74)+100</f>
        <v>100</v>
      </c>
      <c r="G13" s="2222"/>
      <c r="H13" s="1121">
        <f>SUMIF(73:73,G13,74:74)-SUMIF(73:73,C13,74:74)+100</f>
        <v>100</v>
      </c>
      <c r="I13" s="1110"/>
      <c r="J13" s="1121">
        <f>SUMIF(73:73,I13,74:74)-SUMIF(73:73,C13,74:74)+100</f>
        <v>100</v>
      </c>
      <c r="K13" s="1256"/>
      <c r="L13" s="1251"/>
      <c r="M13" s="1239"/>
      <c r="N13" s="1239"/>
      <c r="O13" s="1239"/>
      <c r="P13" s="3642"/>
      <c r="Q13" s="1286">
        <f t="shared" si="6"/>
        <v>111</v>
      </c>
      <c r="R13" s="1282" t="s">
        <v>1343</v>
      </c>
      <c r="S13" s="1283">
        <f t="shared" si="0"/>
        <v>100</v>
      </c>
      <c r="T13" s="1282" t="s">
        <v>1343</v>
      </c>
      <c r="U13" s="1283">
        <f t="shared" si="1"/>
        <v>100</v>
      </c>
      <c r="V13" s="1282" t="s">
        <v>1343</v>
      </c>
      <c r="W13" s="1283">
        <f t="shared" si="2"/>
        <v>100</v>
      </c>
      <c r="X13" s="1284"/>
      <c r="Y13" s="3612"/>
      <c r="Z13" s="1297">
        <f t="shared" si="7"/>
        <v>111</v>
      </c>
      <c r="AA13" s="1296">
        <f t="shared" si="3"/>
        <v>1</v>
      </c>
      <c r="AB13" s="1296">
        <f t="shared" si="4"/>
        <v>1</v>
      </c>
      <c r="AC13" s="2229">
        <f t="shared" si="5"/>
        <v>1</v>
      </c>
    </row>
    <row r="14" spans="1:29" ht="15" hidden="1">
      <c r="A14" s="1122"/>
      <c r="B14" s="1123">
        <v>111</v>
      </c>
      <c r="C14" s="1124"/>
      <c r="D14" s="1125">
        <v>100</v>
      </c>
      <c r="E14" s="1543"/>
      <c r="F14" s="1125">
        <f>SUMIF(75:75,E14,76:76)-SUMIF(75:75,C14,76:76)+100</f>
        <v>100</v>
      </c>
      <c r="G14" s="2222"/>
      <c r="H14" s="1125">
        <f>SUMIF(75:75,G14,76:76)-SUMIF(75:75,C14,76:76)+100</f>
        <v>100</v>
      </c>
      <c r="I14" s="1110"/>
      <c r="J14" s="1125">
        <f>SUMIF(75:75,I14,76:76)-SUMIF(75:75,C14,76:76)+100</f>
        <v>100</v>
      </c>
      <c r="K14" s="1256"/>
      <c r="L14" s="1251"/>
      <c r="M14" s="1239"/>
      <c r="N14" s="1239"/>
      <c r="O14" s="1239"/>
      <c r="P14" s="3642"/>
      <c r="Q14" s="1286">
        <f t="shared" si="6"/>
        <v>111</v>
      </c>
      <c r="R14" s="1282" t="s">
        <v>1343</v>
      </c>
      <c r="S14" s="1283">
        <f t="shared" si="0"/>
        <v>100</v>
      </c>
      <c r="T14" s="1282" t="s">
        <v>1343</v>
      </c>
      <c r="U14" s="1283">
        <f t="shared" si="1"/>
        <v>100</v>
      </c>
      <c r="V14" s="1282" t="s">
        <v>1343</v>
      </c>
      <c r="W14" s="1283">
        <f t="shared" si="2"/>
        <v>100</v>
      </c>
      <c r="X14" s="1284"/>
      <c r="Y14" s="3612"/>
      <c r="Z14" s="1297">
        <f t="shared" si="7"/>
        <v>111</v>
      </c>
      <c r="AA14" s="1296">
        <f t="shared" si="3"/>
        <v>1</v>
      </c>
      <c r="AB14" s="1296">
        <f t="shared" si="4"/>
        <v>1</v>
      </c>
      <c r="AC14" s="2229">
        <f t="shared" si="5"/>
        <v>1</v>
      </c>
    </row>
    <row r="15" spans="1:29" ht="15">
      <c r="A15" s="1126" t="s">
        <v>1354</v>
      </c>
      <c r="B15" s="1127" t="s">
        <v>1355</v>
      </c>
      <c r="C15" s="2223">
        <f>估价对象房地状况!C5</f>
        <v>0</v>
      </c>
      <c r="D15" s="1129">
        <v>100</v>
      </c>
      <c r="E15" s="1252"/>
      <c r="F15" s="1129">
        <f>SUMIF(77:77,E16,78:78)-SUMIF(77:77,C16,78:78)+100</f>
        <v>100</v>
      </c>
      <c r="G15" s="1130"/>
      <c r="H15" s="1129">
        <f>SUMIF(77:77,G16,78:78)-SUMIF(77:77,C16,78:78)+100</f>
        <v>100</v>
      </c>
      <c r="I15" s="1130"/>
      <c r="J15" s="1129">
        <f>SUMIF(77:77,I16,78:78)-SUMIF(77:77,C16,78:78)+100</f>
        <v>100</v>
      </c>
      <c r="K15" s="1508"/>
      <c r="L15" s="1251"/>
      <c r="M15" s="1239"/>
      <c r="N15" s="1239"/>
      <c r="O15" s="1239"/>
      <c r="P15" s="3645" t="s">
        <v>1356</v>
      </c>
      <c r="Q15" s="664" t="str">
        <f t="shared" si="6"/>
        <v>办公集聚程度</v>
      </c>
      <c r="R15" s="1287" t="s">
        <v>1343</v>
      </c>
      <c r="S15" s="1288">
        <f t="shared" si="0"/>
        <v>100</v>
      </c>
      <c r="T15" s="1287" t="s">
        <v>1343</v>
      </c>
      <c r="U15" s="1288">
        <f t="shared" si="1"/>
        <v>100</v>
      </c>
      <c r="V15" s="1287" t="s">
        <v>1343</v>
      </c>
      <c r="W15" s="1288">
        <f t="shared" si="2"/>
        <v>100</v>
      </c>
      <c r="X15" s="1281"/>
      <c r="Y15" s="3650" t="s">
        <v>1356</v>
      </c>
      <c r="Z15" s="1271" t="str">
        <f t="shared" si="7"/>
        <v>办公集聚程度</v>
      </c>
      <c r="AA15" s="1298">
        <f t="shared" si="3"/>
        <v>1</v>
      </c>
      <c r="AB15" s="1298">
        <f t="shared" si="4"/>
        <v>1</v>
      </c>
      <c r="AC15" s="2230">
        <f t="shared" si="5"/>
        <v>1</v>
      </c>
    </row>
    <row r="16" spans="1:29" ht="15">
      <c r="A16" s="1112"/>
      <c r="B16" s="1131"/>
      <c r="C16" s="1134" t="s">
        <v>1357</v>
      </c>
      <c r="D16" s="1133"/>
      <c r="E16" s="1134" t="s">
        <v>1357</v>
      </c>
      <c r="F16" s="1133"/>
      <c r="G16" s="1134" t="s">
        <v>1357</v>
      </c>
      <c r="H16" s="1135"/>
      <c r="I16" s="1134" t="s">
        <v>1357</v>
      </c>
      <c r="J16" s="1133"/>
      <c r="K16" s="1509"/>
      <c r="L16" s="1251"/>
      <c r="M16" s="1239"/>
      <c r="N16" s="1239"/>
      <c r="O16" s="1239"/>
      <c r="P16" s="3646"/>
      <c r="Q16" s="664"/>
      <c r="R16" s="1287"/>
      <c r="S16" s="1288"/>
      <c r="T16" s="1287"/>
      <c r="U16" s="1288"/>
      <c r="V16" s="1287"/>
      <c r="W16" s="1288"/>
      <c r="X16" s="1281"/>
      <c r="Y16" s="3651"/>
      <c r="Z16" s="1271"/>
      <c r="AA16" s="1298">
        <v>1</v>
      </c>
      <c r="AB16" s="1298">
        <v>1</v>
      </c>
      <c r="AC16" s="2230">
        <v>1</v>
      </c>
    </row>
    <row r="17" spans="1:29" ht="15">
      <c r="A17" s="1112"/>
      <c r="B17" s="1136" t="s">
        <v>1358</v>
      </c>
      <c r="C17" s="2224">
        <f>估价对象房地状况!C6</f>
        <v>0</v>
      </c>
      <c r="D17" s="1135">
        <v>100</v>
      </c>
      <c r="E17" s="1253"/>
      <c r="F17" s="1135">
        <f>SUMIF(79:79,E18,80:80)-SUMIF(79:79,C18,80:80)+100</f>
        <v>100</v>
      </c>
      <c r="G17" s="1138"/>
      <c r="H17" s="1139">
        <f>SUMIF(79:79,G18,80:80)-SUMIF(79:79,C18,80:80)+100</f>
        <v>100</v>
      </c>
      <c r="I17" s="1138"/>
      <c r="J17" s="1139">
        <f>SUMIF(79:79,I18,80:80)-SUMIF(79:79,C18,80:80)+100</f>
        <v>100</v>
      </c>
      <c r="K17" s="1508"/>
      <c r="L17" s="1251"/>
      <c r="M17" s="1239"/>
      <c r="N17" s="1239"/>
      <c r="O17" s="1239"/>
      <c r="P17" s="3646"/>
      <c r="Q17" s="664" t="str">
        <f>B17</f>
        <v>交通便捷度</v>
      </c>
      <c r="R17" s="1287" t="s">
        <v>1343</v>
      </c>
      <c r="S17" s="1288">
        <f>F17</f>
        <v>100</v>
      </c>
      <c r="T17" s="1287" t="s">
        <v>1343</v>
      </c>
      <c r="U17" s="1288">
        <f>H17</f>
        <v>100</v>
      </c>
      <c r="V17" s="1287" t="s">
        <v>1343</v>
      </c>
      <c r="W17" s="1288">
        <f>J17</f>
        <v>100</v>
      </c>
      <c r="X17" s="1281"/>
      <c r="Y17" s="3651"/>
      <c r="Z17" s="1271" t="str">
        <f>Q17</f>
        <v>交通便捷度</v>
      </c>
      <c r="AA17" s="1298">
        <f t="shared" si="3"/>
        <v>1</v>
      </c>
      <c r="AB17" s="1298">
        <f t="shared" si="4"/>
        <v>1</v>
      </c>
      <c r="AC17" s="2230">
        <f t="shared" si="5"/>
        <v>1</v>
      </c>
    </row>
    <row r="18" spans="1:29" ht="15">
      <c r="A18" s="1112"/>
      <c r="B18" s="1140"/>
      <c r="C18" s="1134" t="s">
        <v>1357</v>
      </c>
      <c r="D18" s="1135"/>
      <c r="E18" s="1134" t="s">
        <v>1357</v>
      </c>
      <c r="F18" s="1135"/>
      <c r="G18" s="1134" t="s">
        <v>1357</v>
      </c>
      <c r="H18" s="1133"/>
      <c r="I18" s="1134" t="s">
        <v>1357</v>
      </c>
      <c r="J18" s="1133"/>
      <c r="K18" s="1509"/>
      <c r="L18" s="1251"/>
      <c r="M18" s="1239"/>
      <c r="N18" s="1239"/>
      <c r="O18" s="1239"/>
      <c r="P18" s="3646"/>
      <c r="Q18" s="664"/>
      <c r="R18" s="1287"/>
      <c r="S18" s="1288"/>
      <c r="T18" s="1287"/>
      <c r="U18" s="1288"/>
      <c r="V18" s="1287"/>
      <c r="W18" s="1288"/>
      <c r="X18" s="1281"/>
      <c r="Y18" s="3651"/>
      <c r="Z18" s="1271"/>
      <c r="AA18" s="1298">
        <v>1</v>
      </c>
      <c r="AB18" s="1298">
        <v>1</v>
      </c>
      <c r="AC18" s="2230">
        <v>1</v>
      </c>
    </row>
    <row r="19" spans="1:29" ht="15">
      <c r="A19" s="1112"/>
      <c r="B19" s="1136" t="s">
        <v>1359</v>
      </c>
      <c r="C19" s="2224">
        <f>估价对象房地状况!C7</f>
        <v>0</v>
      </c>
      <c r="D19" s="1139">
        <v>100</v>
      </c>
      <c r="E19" s="1430"/>
      <c r="F19" s="1139">
        <f>SUMIF(81:81,E20,82:82)-SUMIF(81:81,C20,82:82)+100</f>
        <v>100</v>
      </c>
      <c r="G19" s="1422"/>
      <c r="H19" s="1135">
        <f>SUMIF(81:81,G20,82:82)-SUMIF(81:81,C20,82:82)+100</f>
        <v>100</v>
      </c>
      <c r="I19" s="1422"/>
      <c r="J19" s="1135">
        <f>SUMIF(81:81,I20,82:82)-SUMIF(81:81,C20,82:82)+100</f>
        <v>100</v>
      </c>
      <c r="K19" s="1508"/>
      <c r="L19" s="1251"/>
      <c r="M19" s="1239"/>
      <c r="N19" s="1239"/>
      <c r="O19" s="1239"/>
      <c r="P19" s="3646"/>
      <c r="Q19" s="664" t="str">
        <f>B19</f>
        <v>公共配套设施</v>
      </c>
      <c r="R19" s="1287" t="s">
        <v>1343</v>
      </c>
      <c r="S19" s="1288">
        <f>F19</f>
        <v>100</v>
      </c>
      <c r="T19" s="1287" t="s">
        <v>1343</v>
      </c>
      <c r="U19" s="1288">
        <f>H19</f>
        <v>100</v>
      </c>
      <c r="V19" s="1287" t="s">
        <v>1343</v>
      </c>
      <c r="W19" s="1288">
        <f>J19</f>
        <v>100</v>
      </c>
      <c r="X19" s="1281"/>
      <c r="Y19" s="3651"/>
      <c r="Z19" s="1271" t="str">
        <f>Q19</f>
        <v>公共配套设施</v>
      </c>
      <c r="AA19" s="1298">
        <f t="shared" si="3"/>
        <v>1</v>
      </c>
      <c r="AB19" s="1298">
        <f t="shared" si="4"/>
        <v>1</v>
      </c>
      <c r="AC19" s="2230">
        <f t="shared" si="5"/>
        <v>1</v>
      </c>
    </row>
    <row r="20" spans="1:29" ht="15">
      <c r="A20" s="1112"/>
      <c r="B20" s="1140"/>
      <c r="C20" s="1134" t="s">
        <v>1357</v>
      </c>
      <c r="D20" s="1133"/>
      <c r="E20" s="1134" t="s">
        <v>1357</v>
      </c>
      <c r="F20" s="1133"/>
      <c r="G20" s="1134" t="s">
        <v>1357</v>
      </c>
      <c r="H20" s="1133"/>
      <c r="I20" s="1134" t="s">
        <v>1357</v>
      </c>
      <c r="J20" s="1133"/>
      <c r="K20" s="1509"/>
      <c r="L20" s="1251"/>
      <c r="M20" s="1239"/>
      <c r="N20" s="1239"/>
      <c r="O20" s="1239"/>
      <c r="P20" s="3646"/>
      <c r="Q20" s="664"/>
      <c r="R20" s="1287"/>
      <c r="S20" s="1288"/>
      <c r="T20" s="1287"/>
      <c r="U20" s="1288"/>
      <c r="V20" s="1287"/>
      <c r="W20" s="1288"/>
      <c r="X20" s="1281"/>
      <c r="Y20" s="3651"/>
      <c r="Z20" s="1271"/>
      <c r="AA20" s="1298">
        <v>1</v>
      </c>
      <c r="AB20" s="1298">
        <v>1</v>
      </c>
      <c r="AC20" s="2230">
        <v>1</v>
      </c>
    </row>
    <row r="21" spans="1:29" ht="15">
      <c r="A21" s="1112"/>
      <c r="B21" s="1143" t="s">
        <v>1360</v>
      </c>
      <c r="C21" s="2224">
        <f>估价对象房地状况!C8</f>
        <v>0</v>
      </c>
      <c r="D21" s="1135">
        <v>100</v>
      </c>
      <c r="E21" s="1430"/>
      <c r="F21" s="1139">
        <f>SUMIF(83:83,E22,84:84)-SUMIF(83:83,C22,84:84)+100</f>
        <v>100</v>
      </c>
      <c r="G21" s="1422"/>
      <c r="H21" s="1135">
        <f>SUMIF(83:83,G22,84:84)-SUMIF(83:83,C22,84:84)+100</f>
        <v>100</v>
      </c>
      <c r="I21" s="1422"/>
      <c r="J21" s="1135">
        <f>SUMIF(83:83,I22,84:84)-SUMIF(83:83,C22,84:84)+100</f>
        <v>100</v>
      </c>
      <c r="K21" s="1508"/>
      <c r="L21" s="1251"/>
      <c r="M21" s="1239"/>
      <c r="N21" s="1239"/>
      <c r="O21" s="1239"/>
      <c r="P21" s="3646"/>
      <c r="Q21" s="664" t="str">
        <f>B21</f>
        <v>基础设施水平</v>
      </c>
      <c r="R21" s="1287" t="s">
        <v>1343</v>
      </c>
      <c r="S21" s="1288">
        <f>F21</f>
        <v>100</v>
      </c>
      <c r="T21" s="1287" t="s">
        <v>1343</v>
      </c>
      <c r="U21" s="1288">
        <f>H21</f>
        <v>100</v>
      </c>
      <c r="V21" s="1287" t="s">
        <v>1343</v>
      </c>
      <c r="W21" s="1288">
        <f>J21</f>
        <v>100</v>
      </c>
      <c r="X21" s="1281"/>
      <c r="Y21" s="3651"/>
      <c r="Z21" s="1271" t="str">
        <f>Q21</f>
        <v>基础设施水平</v>
      </c>
      <c r="AA21" s="1298">
        <f t="shared" ref="AA21" si="8">D21/F21</f>
        <v>1</v>
      </c>
      <c r="AB21" s="1298">
        <f t="shared" ref="AB21" si="9">D21/H21</f>
        <v>1</v>
      </c>
      <c r="AC21" s="2230">
        <f t="shared" ref="AC21" si="10">D21/J21</f>
        <v>1</v>
      </c>
    </row>
    <row r="22" spans="1:29" ht="15">
      <c r="A22" s="1112"/>
      <c r="B22" s="1143"/>
      <c r="C22" s="2225" t="s">
        <v>236</v>
      </c>
      <c r="D22" s="1133"/>
      <c r="E22" s="2225" t="s">
        <v>236</v>
      </c>
      <c r="F22" s="1133"/>
      <c r="G22" s="2225" t="s">
        <v>236</v>
      </c>
      <c r="H22" s="1133"/>
      <c r="I22" s="2225" t="s">
        <v>236</v>
      </c>
      <c r="J22" s="1133"/>
      <c r="K22" s="1510"/>
      <c r="L22" s="1251"/>
      <c r="M22" s="1239"/>
      <c r="N22" s="1239"/>
      <c r="O22" s="1239"/>
      <c r="P22" s="3646"/>
      <c r="Q22" s="664"/>
      <c r="R22" s="1287"/>
      <c r="S22" s="1288"/>
      <c r="T22" s="1287"/>
      <c r="U22" s="1288"/>
      <c r="V22" s="1287"/>
      <c r="W22" s="1288"/>
      <c r="X22" s="1281"/>
      <c r="Y22" s="3651"/>
      <c r="Z22" s="1271"/>
      <c r="AA22" s="1298">
        <v>1</v>
      </c>
      <c r="AB22" s="1298">
        <v>1</v>
      </c>
      <c r="AC22" s="2230">
        <v>1</v>
      </c>
    </row>
    <row r="23" spans="1:29" ht="15">
      <c r="A23" s="1112"/>
      <c r="B23" s="1136" t="s">
        <v>1361</v>
      </c>
      <c r="C23" s="2224">
        <f>估价对象房地状况!C9</f>
        <v>0</v>
      </c>
      <c r="D23" s="1135">
        <v>100</v>
      </c>
      <c r="E23" s="1253"/>
      <c r="F23" s="1135">
        <f>SUMIF(85:85,E24,86:86)-SUMIF(85:85,C24,86:86)+100</f>
        <v>100</v>
      </c>
      <c r="G23" s="1138"/>
      <c r="H23" s="1135">
        <f>SUMIF(85:85,G24,86:86)-SUMIF(85:85,C24,86:86)+100</f>
        <v>100</v>
      </c>
      <c r="I23" s="1138"/>
      <c r="J23" s="1135">
        <f>SUMIF(85:85,I24,86:86)-SUMIF(85:85,C24,86:86)+100</f>
        <v>100</v>
      </c>
      <c r="K23" s="1508"/>
      <c r="L23" s="1251"/>
      <c r="M23" s="1239"/>
      <c r="N23" s="1239"/>
      <c r="O23" s="1239"/>
      <c r="P23" s="3646"/>
      <c r="Q23" s="664" t="str">
        <f>B23</f>
        <v>环境质量</v>
      </c>
      <c r="R23" s="1287" t="s">
        <v>1343</v>
      </c>
      <c r="S23" s="1288">
        <f>F23</f>
        <v>100</v>
      </c>
      <c r="T23" s="1287" t="s">
        <v>1343</v>
      </c>
      <c r="U23" s="1288">
        <f>H23</f>
        <v>100</v>
      </c>
      <c r="V23" s="1287" t="s">
        <v>1343</v>
      </c>
      <c r="W23" s="1288">
        <f>J23</f>
        <v>100</v>
      </c>
      <c r="X23" s="1281"/>
      <c r="Y23" s="3651"/>
      <c r="Z23" s="1271" t="str">
        <f>Q23</f>
        <v>环境质量</v>
      </c>
      <c r="AA23" s="1298">
        <f t="shared" si="3"/>
        <v>1</v>
      </c>
      <c r="AB23" s="1298">
        <f t="shared" si="4"/>
        <v>1</v>
      </c>
      <c r="AC23" s="2230">
        <f t="shared" si="5"/>
        <v>1</v>
      </c>
    </row>
    <row r="24" spans="1:29" ht="15">
      <c r="A24" s="1112"/>
      <c r="B24" s="1143"/>
      <c r="C24" s="1134" t="s">
        <v>1357</v>
      </c>
      <c r="D24" s="1133"/>
      <c r="E24" s="1134" t="s">
        <v>1357</v>
      </c>
      <c r="F24" s="1133"/>
      <c r="G24" s="1134" t="s">
        <v>1357</v>
      </c>
      <c r="H24" s="1133"/>
      <c r="I24" s="1134" t="s">
        <v>1357</v>
      </c>
      <c r="J24" s="1133"/>
      <c r="K24" s="1509"/>
      <c r="L24" s="1251"/>
      <c r="M24" s="1239"/>
      <c r="N24" s="1239"/>
      <c r="O24" s="1239"/>
      <c r="P24" s="3646"/>
      <c r="Q24" s="664"/>
      <c r="R24" s="1287"/>
      <c r="S24" s="1288"/>
      <c r="T24" s="1287"/>
      <c r="U24" s="1288"/>
      <c r="V24" s="1287"/>
      <c r="W24" s="1288"/>
      <c r="X24" s="1281"/>
      <c r="Y24" s="3651"/>
      <c r="Z24" s="1271"/>
      <c r="AA24" s="1298">
        <v>1</v>
      </c>
      <c r="AB24" s="1298">
        <v>1</v>
      </c>
      <c r="AC24" s="2230">
        <v>1</v>
      </c>
    </row>
    <row r="25" spans="1:29" ht="27">
      <c r="A25" s="1092"/>
      <c r="B25" s="1136" t="s">
        <v>1362</v>
      </c>
      <c r="C25" s="1659"/>
      <c r="D25" s="1121">
        <v>100</v>
      </c>
      <c r="E25" s="1120"/>
      <c r="F25" s="1121">
        <f>SUMIF(87:87,E26,88:88)-SUMIF(87:87,C26,88:88)+100</f>
        <v>100</v>
      </c>
      <c r="G25" s="1659"/>
      <c r="H25" s="1121">
        <f>SUMIF(87:87,G26,88:88)-SUMIF(87:87,C26,88:88)+100</f>
        <v>100</v>
      </c>
      <c r="I25" s="1120"/>
      <c r="J25" s="1121">
        <f>SUMIF(87:87,I26,88:88)-SUMIF(87:87,C26,88:88)+100</f>
        <v>100</v>
      </c>
      <c r="K25" s="1508"/>
      <c r="L25" s="1251"/>
      <c r="M25" s="1239"/>
      <c r="N25" s="1239"/>
      <c r="O25" s="1239"/>
      <c r="P25" s="3646"/>
      <c r="Q25" s="664" t="str">
        <f>B25</f>
        <v>毗邻道路的类型与等级</v>
      </c>
      <c r="R25" s="1287" t="s">
        <v>1343</v>
      </c>
      <c r="S25" s="1288">
        <f>F25</f>
        <v>100</v>
      </c>
      <c r="T25" s="1287" t="s">
        <v>1343</v>
      </c>
      <c r="U25" s="1288">
        <f>H25</f>
        <v>100</v>
      </c>
      <c r="V25" s="1287" t="s">
        <v>1343</v>
      </c>
      <c r="W25" s="1288">
        <f>J25</f>
        <v>100</v>
      </c>
      <c r="X25" s="1281"/>
      <c r="Y25" s="3651"/>
      <c r="Z25" s="1271" t="str">
        <f>Q25</f>
        <v>毗邻道路的类型与等级</v>
      </c>
      <c r="AA25" s="1298">
        <f t="shared" si="3"/>
        <v>1</v>
      </c>
      <c r="AB25" s="1298">
        <f t="shared" si="4"/>
        <v>1</v>
      </c>
      <c r="AC25" s="2230">
        <f t="shared" si="5"/>
        <v>1</v>
      </c>
    </row>
    <row r="26" spans="1:29" ht="15">
      <c r="A26" s="1092"/>
      <c r="B26" s="1140"/>
      <c r="C26" s="1147"/>
      <c r="D26" s="1121"/>
      <c r="E26" s="1146"/>
      <c r="F26" s="1121"/>
      <c r="G26" s="1147"/>
      <c r="H26" s="1121"/>
      <c r="I26" s="1146"/>
      <c r="J26" s="1121"/>
      <c r="K26" s="1509"/>
      <c r="L26" s="1251"/>
      <c r="M26" s="1239"/>
      <c r="N26" s="1239"/>
      <c r="O26" s="1239"/>
      <c r="P26" s="3646"/>
      <c r="Q26" s="664"/>
      <c r="R26" s="1287"/>
      <c r="S26" s="1288"/>
      <c r="T26" s="1287"/>
      <c r="U26" s="1288"/>
      <c r="V26" s="1287"/>
      <c r="W26" s="1288"/>
      <c r="X26" s="1281"/>
      <c r="Y26" s="3651"/>
      <c r="Z26" s="1271"/>
      <c r="AA26" s="1298">
        <v>1</v>
      </c>
      <c r="AB26" s="1298">
        <v>1</v>
      </c>
      <c r="AC26" s="2230">
        <v>1</v>
      </c>
    </row>
    <row r="27" spans="1:29" ht="15">
      <c r="A27" s="1112"/>
      <c r="B27" s="1140" t="s">
        <v>1363</v>
      </c>
      <c r="C27" s="1147" t="s">
        <v>1411</v>
      </c>
      <c r="D27" s="1121">
        <v>100</v>
      </c>
      <c r="E27" s="1147" t="s">
        <v>1364</v>
      </c>
      <c r="F27" s="1121">
        <f>SUMIF(89:89,E27,90:90)-SUMIF(89:89,C27,90:90)+100</f>
        <v>97</v>
      </c>
      <c r="G27" s="1147" t="s">
        <v>1365</v>
      </c>
      <c r="H27" s="1121">
        <f>SUMIF(89:89,G27,90:90)-SUMIF(89:89,C27,90:90)+100</f>
        <v>94</v>
      </c>
      <c r="I27" s="1147" t="s">
        <v>1365</v>
      </c>
      <c r="J27" s="1121">
        <f>SUMIF(89:89,I27,90:90)-SUMIF(89:89,C27,90:90)+100</f>
        <v>94</v>
      </c>
      <c r="K27" s="1257">
        <v>3</v>
      </c>
      <c r="L27" s="1251"/>
      <c r="M27" s="1239"/>
      <c r="N27" s="1239"/>
      <c r="O27" s="1239"/>
      <c r="P27" s="3646"/>
      <c r="Q27" s="664" t="str">
        <f t="shared" ref="Q27:Q47" si="11">B27</f>
        <v>楼层</v>
      </c>
      <c r="R27" s="1287" t="s">
        <v>1343</v>
      </c>
      <c r="S27" s="1288">
        <f>F27</f>
        <v>97</v>
      </c>
      <c r="T27" s="1287" t="s">
        <v>1343</v>
      </c>
      <c r="U27" s="1288">
        <f>H27</f>
        <v>94</v>
      </c>
      <c r="V27" s="1287" t="s">
        <v>1343</v>
      </c>
      <c r="W27" s="1288">
        <f>J27</f>
        <v>94</v>
      </c>
      <c r="X27" s="1281"/>
      <c r="Y27" s="3651"/>
      <c r="Z27" s="1271" t="str">
        <f>Q27</f>
        <v>楼层</v>
      </c>
      <c r="AA27" s="1298">
        <f t="shared" si="3"/>
        <v>1.0309278350515463</v>
      </c>
      <c r="AB27" s="1298">
        <f t="shared" si="4"/>
        <v>1.0638297872340425</v>
      </c>
      <c r="AC27" s="2230">
        <f t="shared" si="5"/>
        <v>1.0638297872340425</v>
      </c>
    </row>
    <row r="28" spans="1:29" s="1071" customFormat="1" ht="15">
      <c r="A28" s="1115"/>
      <c r="B28" s="1136" t="s">
        <v>1366</v>
      </c>
      <c r="C28" s="2226"/>
      <c r="D28" s="1585">
        <v>100</v>
      </c>
      <c r="E28" s="1630"/>
      <c r="F28" s="1585">
        <f>SUMIF(91:91,E28,92:92)-SUMIF(91:91,C28,92:92)+100</f>
        <v>100</v>
      </c>
      <c r="G28" s="2226"/>
      <c r="H28" s="1585">
        <f>SUMIF(91:91,G28,92:92)-SUMIF(91:91,C28,92:92)+100</f>
        <v>100</v>
      </c>
      <c r="I28" s="1630"/>
      <c r="J28" s="1585">
        <f>SUMIF(91:91,I28,92:92)-SUMIF(91:91,C28,92:92)+100</f>
        <v>100</v>
      </c>
      <c r="K28" s="1257"/>
      <c r="L28" s="1241"/>
      <c r="M28" s="1242"/>
      <c r="N28" s="1242"/>
      <c r="O28" s="1242"/>
      <c r="P28" s="3646"/>
      <c r="Q28" s="1286" t="str">
        <f t="shared" si="11"/>
        <v>朝向</v>
      </c>
      <c r="R28" s="1282" t="s">
        <v>1343</v>
      </c>
      <c r="S28" s="1283">
        <f>F28</f>
        <v>100</v>
      </c>
      <c r="T28" s="1282" t="s">
        <v>1343</v>
      </c>
      <c r="U28" s="1283">
        <f>H28</f>
        <v>100</v>
      </c>
      <c r="V28" s="1282" t="s">
        <v>1343</v>
      </c>
      <c r="W28" s="1283">
        <f>J28</f>
        <v>100</v>
      </c>
      <c r="X28" s="1284"/>
      <c r="Y28" s="3651"/>
      <c r="Z28" s="1297" t="str">
        <f>Q28</f>
        <v>朝向</v>
      </c>
      <c r="AA28" s="1298">
        <f t="shared" si="3"/>
        <v>1</v>
      </c>
      <c r="AB28" s="1298">
        <f t="shared" si="4"/>
        <v>1</v>
      </c>
      <c r="AC28" s="2230">
        <f t="shared" si="5"/>
        <v>1</v>
      </c>
    </row>
    <row r="29" spans="1:29" ht="15" hidden="1">
      <c r="A29" s="1112"/>
      <c r="B29" s="1151">
        <v>111</v>
      </c>
      <c r="C29" s="1659"/>
      <c r="D29" s="1121">
        <v>100</v>
      </c>
      <c r="E29" s="1110"/>
      <c r="F29" s="1121">
        <f>SUMIF(93:93,E29,94:94)-SUMIF(93:93,C29,94:94)+100</f>
        <v>100</v>
      </c>
      <c r="G29" s="2222"/>
      <c r="H29" s="1121">
        <f>SUMIF(93:93,G29,94:94)-SUMIF(93:93,C29,94:94)+100</f>
        <v>100</v>
      </c>
      <c r="I29" s="1110"/>
      <c r="J29" s="1121">
        <f>SUMIF(93:93,I29,94:94)-SUMIF(93:93,C29,94:94)+100</f>
        <v>100</v>
      </c>
      <c r="K29" s="1256"/>
      <c r="L29" s="1251"/>
      <c r="M29" s="1239"/>
      <c r="N29" s="1239"/>
      <c r="O29" s="1239"/>
      <c r="P29" s="3646"/>
      <c r="Q29" s="664">
        <f t="shared" si="11"/>
        <v>111</v>
      </c>
      <c r="R29" s="1287" t="s">
        <v>1343</v>
      </c>
      <c r="S29" s="1288">
        <f t="shared" ref="S29:S47" si="12">F29</f>
        <v>100</v>
      </c>
      <c r="T29" s="1287" t="s">
        <v>1343</v>
      </c>
      <c r="U29" s="1288">
        <f t="shared" ref="U29:U47" si="13">H29</f>
        <v>100</v>
      </c>
      <c r="V29" s="1287" t="s">
        <v>1343</v>
      </c>
      <c r="W29" s="1288">
        <f t="shared" ref="W29:W47" si="14">J29</f>
        <v>100</v>
      </c>
      <c r="X29" s="1281"/>
      <c r="Y29" s="3651"/>
      <c r="Z29" s="1271">
        <f t="shared" ref="Z29:Z47" si="15">Q29</f>
        <v>111</v>
      </c>
      <c r="AA29" s="1298">
        <f t="shared" si="3"/>
        <v>1</v>
      </c>
      <c r="AB29" s="1298">
        <f t="shared" si="4"/>
        <v>1</v>
      </c>
      <c r="AC29" s="2230">
        <f t="shared" si="5"/>
        <v>1</v>
      </c>
    </row>
    <row r="30" spans="1:29" ht="15" hidden="1">
      <c r="A30" s="1112"/>
      <c r="B30" s="1151">
        <v>111</v>
      </c>
      <c r="C30" s="1659"/>
      <c r="D30" s="1121">
        <v>100</v>
      </c>
      <c r="E30" s="1110"/>
      <c r="F30" s="1121">
        <f>SUMIF(95:95,E30,96:96)-SUMIF(95:95,C30,96:96)+100</f>
        <v>100</v>
      </c>
      <c r="G30" s="2222"/>
      <c r="H30" s="1121">
        <f>SUMIF(95:95,G30,96:96)-SUMIF(95:95,C30,96:96)+100</f>
        <v>100</v>
      </c>
      <c r="I30" s="1110"/>
      <c r="J30" s="1121">
        <f>SUMIF(95:95,I30,96:96)-SUMIF(95:95,C30,96:96)+100</f>
        <v>100</v>
      </c>
      <c r="K30" s="1256"/>
      <c r="L30" s="1251"/>
      <c r="M30" s="1239"/>
      <c r="N30" s="1239"/>
      <c r="O30" s="1239"/>
      <c r="P30" s="3646"/>
      <c r="Q30" s="664">
        <f t="shared" si="11"/>
        <v>111</v>
      </c>
      <c r="R30" s="1287" t="s">
        <v>1343</v>
      </c>
      <c r="S30" s="1288">
        <f t="shared" si="12"/>
        <v>100</v>
      </c>
      <c r="T30" s="1287" t="s">
        <v>1343</v>
      </c>
      <c r="U30" s="1288">
        <f t="shared" si="13"/>
        <v>100</v>
      </c>
      <c r="V30" s="1287" t="s">
        <v>1343</v>
      </c>
      <c r="W30" s="1288">
        <f t="shared" si="14"/>
        <v>100</v>
      </c>
      <c r="X30" s="1281"/>
      <c r="Y30" s="3651"/>
      <c r="Z30" s="1271">
        <f t="shared" si="15"/>
        <v>111</v>
      </c>
      <c r="AA30" s="1298">
        <f t="shared" si="3"/>
        <v>1</v>
      </c>
      <c r="AB30" s="1298">
        <f t="shared" si="4"/>
        <v>1</v>
      </c>
      <c r="AC30" s="2230">
        <f t="shared" si="5"/>
        <v>1</v>
      </c>
    </row>
    <row r="31" spans="1:29" ht="15" hidden="1">
      <c r="A31" s="1112"/>
      <c r="B31" s="1151">
        <v>111</v>
      </c>
      <c r="C31" s="1659"/>
      <c r="D31" s="1121">
        <v>100</v>
      </c>
      <c r="E31" s="1110"/>
      <c r="F31" s="1121">
        <f>SUMIF(97:97,E31,98:98)-SUMIF(97:97,C31,98:98)+100</f>
        <v>100</v>
      </c>
      <c r="G31" s="2222"/>
      <c r="H31" s="1121">
        <f>SUMIF(97:97,G31,98:98)-SUMIF(97:97,C31,98:98)+100</f>
        <v>100</v>
      </c>
      <c r="I31" s="1110"/>
      <c r="J31" s="1121">
        <f>SUMIF(97:97,I31,98:98)-SUMIF(97:97,C31,98:98)+100</f>
        <v>100</v>
      </c>
      <c r="K31" s="1256"/>
      <c r="L31" s="1251"/>
      <c r="M31" s="1239"/>
      <c r="N31" s="1239"/>
      <c r="O31" s="1239"/>
      <c r="P31" s="3646"/>
      <c r="Q31" s="664">
        <f t="shared" si="11"/>
        <v>111</v>
      </c>
      <c r="R31" s="1287" t="s">
        <v>1343</v>
      </c>
      <c r="S31" s="1288">
        <f t="shared" si="12"/>
        <v>100</v>
      </c>
      <c r="T31" s="1287" t="s">
        <v>1343</v>
      </c>
      <c r="U31" s="1288">
        <f t="shared" si="13"/>
        <v>100</v>
      </c>
      <c r="V31" s="1287" t="s">
        <v>1343</v>
      </c>
      <c r="W31" s="1288">
        <f t="shared" si="14"/>
        <v>100</v>
      </c>
      <c r="X31" s="1281"/>
      <c r="Y31" s="3651"/>
      <c r="Z31" s="1271">
        <f t="shared" si="15"/>
        <v>111</v>
      </c>
      <c r="AA31" s="1298">
        <f t="shared" si="3"/>
        <v>1</v>
      </c>
      <c r="AB31" s="1298">
        <f t="shared" si="4"/>
        <v>1</v>
      </c>
      <c r="AC31" s="2230">
        <f t="shared" si="5"/>
        <v>1</v>
      </c>
    </row>
    <row r="32" spans="1:29" ht="15" hidden="1">
      <c r="A32" s="1122"/>
      <c r="B32" s="1541">
        <v>111</v>
      </c>
      <c r="C32" s="1660"/>
      <c r="D32" s="1125">
        <v>100</v>
      </c>
      <c r="E32" s="1543"/>
      <c r="F32" s="1125">
        <f>SUMIF(99:99,E32,100:100)-SUMIF(99:99,C32,100:100)+100</f>
        <v>100</v>
      </c>
      <c r="G32" s="2222"/>
      <c r="H32" s="1125">
        <f>SUMIF(99:99,G32,100:100)-SUMIF(99:99,C32,100:100)+100</f>
        <v>100</v>
      </c>
      <c r="I32" s="1110"/>
      <c r="J32" s="1125">
        <f>SUMIF(99:99,I32,100:100)-SUMIF(99:99,C32,100:100)+100</f>
        <v>100</v>
      </c>
      <c r="K32" s="1256"/>
      <c r="L32" s="1251"/>
      <c r="M32" s="1239"/>
      <c r="N32" s="1239"/>
      <c r="O32" s="1239"/>
      <c r="P32" s="3646"/>
      <c r="Q32" s="664">
        <f t="shared" si="11"/>
        <v>111</v>
      </c>
      <c r="R32" s="1287" t="s">
        <v>1343</v>
      </c>
      <c r="S32" s="1288">
        <f t="shared" si="12"/>
        <v>100</v>
      </c>
      <c r="T32" s="1287" t="s">
        <v>1343</v>
      </c>
      <c r="U32" s="1288">
        <f t="shared" si="13"/>
        <v>100</v>
      </c>
      <c r="V32" s="1287" t="s">
        <v>1343</v>
      </c>
      <c r="W32" s="1288">
        <f t="shared" si="14"/>
        <v>100</v>
      </c>
      <c r="X32" s="1281"/>
      <c r="Y32" s="3651"/>
      <c r="Z32" s="1271">
        <f t="shared" si="15"/>
        <v>111</v>
      </c>
      <c r="AA32" s="1298">
        <f t="shared" si="3"/>
        <v>1</v>
      </c>
      <c r="AB32" s="1298">
        <f t="shared" si="4"/>
        <v>1</v>
      </c>
      <c r="AC32" s="2230">
        <f t="shared" si="5"/>
        <v>1</v>
      </c>
    </row>
    <row r="33" spans="1:29" ht="15">
      <c r="A33" s="1126" t="s">
        <v>1367</v>
      </c>
      <c r="B33" s="1105" t="s">
        <v>1368</v>
      </c>
      <c r="C33" s="1483" t="s">
        <v>2753</v>
      </c>
      <c r="D33" s="1162">
        <v>100</v>
      </c>
      <c r="E33" s="1483" t="s">
        <v>2753</v>
      </c>
      <c r="F33" s="1473">
        <f>SUMIF(101:101,E33,102:102)-SUMIF(101:101,C33,102:102)+100</f>
        <v>100</v>
      </c>
      <c r="G33" s="1483" t="s">
        <v>2753</v>
      </c>
      <c r="H33" s="1121">
        <f>SUMIF(101:101,G33,102:102)-SUMIF(101:101,C33,102:102)+100</f>
        <v>100</v>
      </c>
      <c r="I33" s="1483" t="s">
        <v>2753</v>
      </c>
      <c r="J33" s="1162">
        <f>SUMIF(101:101,I33,102:102)-SUMIF(101:101,C33,102:102)+100</f>
        <v>100</v>
      </c>
      <c r="K33" s="1257">
        <v>1</v>
      </c>
      <c r="L33" s="1251"/>
      <c r="M33" s="1239"/>
      <c r="N33" s="1239"/>
      <c r="O33" s="1239"/>
      <c r="P33" s="3647" t="s">
        <v>1369</v>
      </c>
      <c r="Q33" s="664" t="str">
        <f t="shared" si="11"/>
        <v>建筑类型</v>
      </c>
      <c r="R33" s="1287" t="s">
        <v>1343</v>
      </c>
      <c r="S33" s="1288">
        <f t="shared" si="12"/>
        <v>100</v>
      </c>
      <c r="T33" s="1287" t="s">
        <v>1343</v>
      </c>
      <c r="U33" s="1288">
        <f t="shared" si="13"/>
        <v>100</v>
      </c>
      <c r="V33" s="1287" t="s">
        <v>1343</v>
      </c>
      <c r="W33" s="1288">
        <f t="shared" si="14"/>
        <v>100</v>
      </c>
      <c r="X33" s="1281"/>
      <c r="Y33" s="3652" t="s">
        <v>1369</v>
      </c>
      <c r="Z33" s="1271" t="str">
        <f t="shared" si="15"/>
        <v>建筑类型</v>
      </c>
      <c r="AA33" s="1298">
        <f t="shared" si="3"/>
        <v>1</v>
      </c>
      <c r="AB33" s="1298">
        <f t="shared" si="4"/>
        <v>1</v>
      </c>
      <c r="AC33" s="2230">
        <f t="shared" si="5"/>
        <v>1</v>
      </c>
    </row>
    <row r="34" spans="1:29" s="1073" customFormat="1" ht="15">
      <c r="A34" s="1168"/>
      <c r="B34" s="1109" t="s">
        <v>1370</v>
      </c>
      <c r="C34" s="1467">
        <f>项目基本情况!C17</f>
        <v>46.53</v>
      </c>
      <c r="D34" s="1111">
        <v>100</v>
      </c>
      <c r="E34" s="1114">
        <v>46.53</v>
      </c>
      <c r="F34" s="1466">
        <f>LOOKUP(E34,104:104,105:105)-LOOKUP(C34,104:104,105:105)+100</f>
        <v>100</v>
      </c>
      <c r="G34" s="1113">
        <v>46.53</v>
      </c>
      <c r="H34" s="1111">
        <f>LOOKUP(G34,104:104,105:105)-LOOKUP(C34,104:104,105:105)+100</f>
        <v>100</v>
      </c>
      <c r="I34" s="1113">
        <v>46.53</v>
      </c>
      <c r="J34" s="1111">
        <f>LOOKUP(I34,104:104,105:105)-LOOKUP(C34,104:104,105:105)+100</f>
        <v>100</v>
      </c>
      <c r="K34" s="1256"/>
      <c r="L34" s="1249"/>
      <c r="M34" s="1258"/>
      <c r="N34" s="1258"/>
      <c r="O34" s="1258"/>
      <c r="P34" s="3648"/>
      <c r="Q34" s="1512" t="str">
        <f t="shared" si="11"/>
        <v>项目建筑规模</v>
      </c>
      <c r="R34" s="1289" t="s">
        <v>1343</v>
      </c>
      <c r="S34" s="1290">
        <f t="shared" si="12"/>
        <v>100</v>
      </c>
      <c r="T34" s="1289" t="s">
        <v>1343</v>
      </c>
      <c r="U34" s="1290">
        <f t="shared" si="13"/>
        <v>100</v>
      </c>
      <c r="V34" s="1289" t="s">
        <v>1343</v>
      </c>
      <c r="W34" s="1290">
        <f t="shared" si="14"/>
        <v>100</v>
      </c>
      <c r="X34" s="1291"/>
      <c r="Y34" s="3652"/>
      <c r="Z34" s="1299" t="str">
        <f t="shared" si="15"/>
        <v>项目建筑规模</v>
      </c>
      <c r="AA34" s="1298">
        <f t="shared" si="3"/>
        <v>1</v>
      </c>
      <c r="AB34" s="1298">
        <f t="shared" si="4"/>
        <v>1</v>
      </c>
      <c r="AC34" s="2230">
        <f t="shared" si="5"/>
        <v>1</v>
      </c>
    </row>
    <row r="35" spans="1:29" ht="15">
      <c r="A35" s="1163"/>
      <c r="B35" s="1109" t="s">
        <v>1371</v>
      </c>
      <c r="C35" s="1483" t="s">
        <v>1372</v>
      </c>
      <c r="D35" s="1121">
        <v>100</v>
      </c>
      <c r="E35" s="1483" t="s">
        <v>1372</v>
      </c>
      <c r="F35" s="1473">
        <f>SUMIF(106:106,E35,107:107)-SUMIF(106:106,C35,107:107)+100</f>
        <v>100</v>
      </c>
      <c r="G35" s="1483" t="s">
        <v>1372</v>
      </c>
      <c r="H35" s="1121">
        <f>SUMIF(106:106,G35,107:107)-SUMIF(106:106,C35,107:107)+100</f>
        <v>100</v>
      </c>
      <c r="I35" s="1483" t="s">
        <v>1372</v>
      </c>
      <c r="J35" s="1121">
        <f>SUMIF(106:106,I35,107:107)-SUMIF(106:106,C35,107:107)+100</f>
        <v>100</v>
      </c>
      <c r="K35" s="1257">
        <v>1</v>
      </c>
      <c r="L35" s="1251"/>
      <c r="M35" s="1239"/>
      <c r="N35" s="1239"/>
      <c r="O35" s="1239"/>
      <c r="P35" s="3648"/>
      <c r="Q35" s="664" t="str">
        <f t="shared" si="11"/>
        <v>建筑结构</v>
      </c>
      <c r="R35" s="1287" t="s">
        <v>1343</v>
      </c>
      <c r="S35" s="1288">
        <f t="shared" si="12"/>
        <v>100</v>
      </c>
      <c r="T35" s="1287" t="s">
        <v>1343</v>
      </c>
      <c r="U35" s="1288">
        <f t="shared" si="13"/>
        <v>100</v>
      </c>
      <c r="V35" s="1287" t="s">
        <v>1343</v>
      </c>
      <c r="W35" s="1288">
        <f t="shared" si="14"/>
        <v>100</v>
      </c>
      <c r="X35" s="1281"/>
      <c r="Y35" s="3652"/>
      <c r="Z35" s="1271" t="str">
        <f t="shared" si="15"/>
        <v>建筑结构</v>
      </c>
      <c r="AA35" s="1298">
        <f t="shared" si="3"/>
        <v>1</v>
      </c>
      <c r="AB35" s="1298">
        <f t="shared" si="4"/>
        <v>1</v>
      </c>
      <c r="AC35" s="2230">
        <f t="shared" si="5"/>
        <v>1</v>
      </c>
    </row>
    <row r="36" spans="1:29" ht="15">
      <c r="A36" s="1163"/>
      <c r="B36" s="1109" t="s">
        <v>1373</v>
      </c>
      <c r="C36" s="1483" t="s">
        <v>1374</v>
      </c>
      <c r="D36" s="1121">
        <v>100</v>
      </c>
      <c r="E36" s="1483" t="s">
        <v>1374</v>
      </c>
      <c r="F36" s="1473">
        <f>SUMIF(108:108,E36,109:109)-SUMIF(108:108,C36,109:109)+100</f>
        <v>100</v>
      </c>
      <c r="G36" s="1483" t="s">
        <v>1374</v>
      </c>
      <c r="H36" s="1121">
        <f>SUMIF(108:108,G36,109:109)-SUMIF(108:108,C36,109:109)+100</f>
        <v>100</v>
      </c>
      <c r="I36" s="1483" t="s">
        <v>1374</v>
      </c>
      <c r="J36" s="1121">
        <f>SUMIF(108:108,I36,109:109)-SUMIF(108:108,C36,109:109)+100</f>
        <v>100</v>
      </c>
      <c r="K36" s="1257">
        <v>1</v>
      </c>
      <c r="L36" s="1251"/>
      <c r="M36" s="1239"/>
      <c r="N36" s="1239"/>
      <c r="O36" s="1239"/>
      <c r="P36" s="3648"/>
      <c r="Q36" s="664" t="str">
        <f t="shared" si="11"/>
        <v>公共部分装修</v>
      </c>
      <c r="R36" s="1287" t="s">
        <v>1343</v>
      </c>
      <c r="S36" s="1288">
        <f t="shared" si="12"/>
        <v>100</v>
      </c>
      <c r="T36" s="1287" t="s">
        <v>1343</v>
      </c>
      <c r="U36" s="1288">
        <f t="shared" si="13"/>
        <v>100</v>
      </c>
      <c r="V36" s="1287" t="s">
        <v>1343</v>
      </c>
      <c r="W36" s="1288">
        <f t="shared" si="14"/>
        <v>100</v>
      </c>
      <c r="X36" s="1281"/>
      <c r="Y36" s="3652"/>
      <c r="Z36" s="1271" t="str">
        <f t="shared" si="15"/>
        <v>公共部分装修</v>
      </c>
      <c r="AA36" s="1298">
        <f t="shared" si="3"/>
        <v>1</v>
      </c>
      <c r="AB36" s="1298">
        <f t="shared" si="4"/>
        <v>1</v>
      </c>
      <c r="AC36" s="2230">
        <f t="shared" si="5"/>
        <v>1</v>
      </c>
    </row>
    <row r="37" spans="1:29" ht="15">
      <c r="A37" s="1163"/>
      <c r="B37" s="1109" t="s">
        <v>636</v>
      </c>
      <c r="C37" s="1480">
        <f>'数据-取费表'!N6</f>
        <v>0.77</v>
      </c>
      <c r="D37" s="1121">
        <v>100</v>
      </c>
      <c r="E37" s="1480">
        <f>C37</f>
        <v>0.77</v>
      </c>
      <c r="F37" s="1473">
        <f>LOOKUP(E37,111:111,112:112)-LOOKUP(C37,111:111,112:112)+100</f>
        <v>100</v>
      </c>
      <c r="G37" s="1480">
        <f>E37</f>
        <v>0.77</v>
      </c>
      <c r="H37" s="1473">
        <f>LOOKUP(G37,111:111,112:112)-LOOKUP(C37,111:111,112:112)+100</f>
        <v>100</v>
      </c>
      <c r="I37" s="1480">
        <f>G37</f>
        <v>0.77</v>
      </c>
      <c r="J37" s="1121">
        <f>LOOKUP(I37,111:111,112:112)-LOOKUP(C37,111:111,112:112)+100</f>
        <v>100</v>
      </c>
      <c r="K37" s="1257">
        <v>1</v>
      </c>
      <c r="L37" s="1251"/>
      <c r="M37" s="1239"/>
      <c r="N37" s="1239"/>
      <c r="O37" s="1239"/>
      <c r="P37" s="3648"/>
      <c r="Q37" s="664" t="str">
        <f t="shared" si="11"/>
        <v>成新度</v>
      </c>
      <c r="R37" s="1287" t="s">
        <v>1343</v>
      </c>
      <c r="S37" s="1288">
        <f t="shared" si="12"/>
        <v>100</v>
      </c>
      <c r="T37" s="1287" t="s">
        <v>1343</v>
      </c>
      <c r="U37" s="1288">
        <f t="shared" si="13"/>
        <v>100</v>
      </c>
      <c r="V37" s="1287" t="s">
        <v>1343</v>
      </c>
      <c r="W37" s="1288">
        <f t="shared" si="14"/>
        <v>100</v>
      </c>
      <c r="X37" s="1281"/>
      <c r="Y37" s="3652"/>
      <c r="Z37" s="1271" t="str">
        <f t="shared" si="15"/>
        <v>成新度</v>
      </c>
      <c r="AA37" s="1298">
        <f t="shared" si="3"/>
        <v>1</v>
      </c>
      <c r="AB37" s="1298">
        <f t="shared" si="4"/>
        <v>1</v>
      </c>
      <c r="AC37" s="2230">
        <f t="shared" si="5"/>
        <v>1</v>
      </c>
    </row>
    <row r="38" spans="1:29" s="1071" customFormat="1" ht="15">
      <c r="A38" s="1165"/>
      <c r="B38" s="1109" t="s">
        <v>1375</v>
      </c>
      <c r="C38" s="1483" t="s">
        <v>1376</v>
      </c>
      <c r="D38" s="1111">
        <v>100</v>
      </c>
      <c r="E38" s="1483" t="s">
        <v>1376</v>
      </c>
      <c r="F38" s="1473">
        <f>SUMIF(113:113,E38,114:114)-SUMIF(113:113,C38,114:114)+100</f>
        <v>100</v>
      </c>
      <c r="G38" s="1483" t="s">
        <v>1376</v>
      </c>
      <c r="H38" s="1121">
        <f>SUMIF(113:113,G38,114:114)-SUMIF(113:113,C38,114:114)+100</f>
        <v>100</v>
      </c>
      <c r="I38" s="1483" t="s">
        <v>1376</v>
      </c>
      <c r="J38" s="1121">
        <f>SUMIF(113:113,I38,114:114)-SUMIF(113:113,C38,114:114)+100</f>
        <v>100</v>
      </c>
      <c r="K38" s="1257">
        <v>1</v>
      </c>
      <c r="L38" s="1241"/>
      <c r="M38" s="1242"/>
      <c r="N38" s="1242"/>
      <c r="O38" s="1242"/>
      <c r="P38" s="3648"/>
      <c r="Q38" s="1286" t="str">
        <f t="shared" si="11"/>
        <v>写字楼等级</v>
      </c>
      <c r="R38" s="1282" t="s">
        <v>1343</v>
      </c>
      <c r="S38" s="1283">
        <f t="shared" si="12"/>
        <v>100</v>
      </c>
      <c r="T38" s="1282" t="s">
        <v>1343</v>
      </c>
      <c r="U38" s="1283">
        <f t="shared" si="13"/>
        <v>100</v>
      </c>
      <c r="V38" s="1282" t="s">
        <v>1343</v>
      </c>
      <c r="W38" s="1283">
        <f t="shared" si="14"/>
        <v>100</v>
      </c>
      <c r="X38" s="1284"/>
      <c r="Y38" s="3652"/>
      <c r="Z38" s="1297" t="str">
        <f t="shared" si="15"/>
        <v>写字楼等级</v>
      </c>
      <c r="AA38" s="1296">
        <f t="shared" si="3"/>
        <v>1</v>
      </c>
      <c r="AB38" s="1296">
        <f t="shared" si="4"/>
        <v>1</v>
      </c>
      <c r="AC38" s="2229">
        <f t="shared" si="5"/>
        <v>1</v>
      </c>
    </row>
    <row r="39" spans="1:29" ht="15">
      <c r="A39" s="1163"/>
      <c r="B39" s="1109" t="s">
        <v>1377</v>
      </c>
      <c r="C39" s="1483" t="s">
        <v>1378</v>
      </c>
      <c r="D39" s="1121">
        <v>100</v>
      </c>
      <c r="E39" s="1483" t="s">
        <v>1378</v>
      </c>
      <c r="F39" s="1473">
        <f>SUMIF(115:115,E39,116:116)-SUMIF(115:115,C39,116:116)+100</f>
        <v>100</v>
      </c>
      <c r="G39" s="1483" t="s">
        <v>1378</v>
      </c>
      <c r="H39" s="1121">
        <f>SUMIF(115:115,G39,116:116)-SUMIF(115:115,C39,116:116)+100</f>
        <v>100</v>
      </c>
      <c r="I39" s="1483" t="s">
        <v>1378</v>
      </c>
      <c r="J39" s="1121">
        <f>SUMIF(115:115,I39,116:116)-SUMIF(115:115,C39,116:116)+100</f>
        <v>100</v>
      </c>
      <c r="K39" s="1257">
        <v>1</v>
      </c>
      <c r="L39" s="1251"/>
      <c r="M39" s="1239"/>
      <c r="N39" s="1239"/>
      <c r="O39" s="1239"/>
      <c r="P39" s="3648" t="s">
        <v>1369</v>
      </c>
      <c r="Q39" s="664" t="str">
        <f t="shared" si="11"/>
        <v>物业管理</v>
      </c>
      <c r="R39" s="1287" t="s">
        <v>1343</v>
      </c>
      <c r="S39" s="1288">
        <f t="shared" si="12"/>
        <v>100</v>
      </c>
      <c r="T39" s="1287" t="s">
        <v>1343</v>
      </c>
      <c r="U39" s="1288">
        <f t="shared" si="13"/>
        <v>100</v>
      </c>
      <c r="V39" s="1287" t="s">
        <v>1343</v>
      </c>
      <c r="W39" s="1288">
        <f t="shared" si="14"/>
        <v>100</v>
      </c>
      <c r="X39" s="1281"/>
      <c r="Y39" s="3652" t="s">
        <v>1369</v>
      </c>
      <c r="Z39" s="1271" t="str">
        <f t="shared" si="15"/>
        <v>物业管理</v>
      </c>
      <c r="AA39" s="1298">
        <f t="shared" si="3"/>
        <v>1</v>
      </c>
      <c r="AB39" s="1298">
        <f t="shared" si="4"/>
        <v>1</v>
      </c>
      <c r="AC39" s="2230">
        <f t="shared" si="5"/>
        <v>1</v>
      </c>
    </row>
    <row r="40" spans="1:29" ht="15">
      <c r="A40" s="1163"/>
      <c r="B40" s="1109" t="s">
        <v>1379</v>
      </c>
      <c r="C40" s="1483" t="s">
        <v>255</v>
      </c>
      <c r="D40" s="1121">
        <v>100</v>
      </c>
      <c r="E40" s="1483" t="s">
        <v>255</v>
      </c>
      <c r="F40" s="1473">
        <f>SUMIF(117:117,E40,118:118)-SUMIF(117:117,C40,118:118)+100</f>
        <v>100</v>
      </c>
      <c r="G40" s="1483" t="s">
        <v>255</v>
      </c>
      <c r="H40" s="1121">
        <f>SUMIF(117:117,G40,118:118)-SUMIF(117:117,C40,118:118)+100</f>
        <v>100</v>
      </c>
      <c r="I40" s="1483" t="s">
        <v>255</v>
      </c>
      <c r="J40" s="1121">
        <f>SUMIF(117:117,I40,118:118)-SUMIF(117:117,C40,118:118)+100</f>
        <v>100</v>
      </c>
      <c r="K40" s="1257"/>
      <c r="L40" s="1251"/>
      <c r="M40" s="1239"/>
      <c r="N40" s="1239"/>
      <c r="O40" s="1239"/>
      <c r="P40" s="3648"/>
      <c r="Q40" s="664" t="str">
        <f t="shared" si="11"/>
        <v>市政基础设施</v>
      </c>
      <c r="R40" s="1287" t="s">
        <v>1343</v>
      </c>
      <c r="S40" s="1288">
        <f t="shared" si="12"/>
        <v>100</v>
      </c>
      <c r="T40" s="1287" t="s">
        <v>1343</v>
      </c>
      <c r="U40" s="1288">
        <f t="shared" si="13"/>
        <v>100</v>
      </c>
      <c r="V40" s="1287" t="s">
        <v>1343</v>
      </c>
      <c r="W40" s="1288">
        <f t="shared" si="14"/>
        <v>100</v>
      </c>
      <c r="X40" s="1281"/>
      <c r="Y40" s="3652"/>
      <c r="Z40" s="1271" t="str">
        <f t="shared" si="15"/>
        <v>市政基础设施</v>
      </c>
      <c r="AA40" s="1298">
        <f t="shared" si="3"/>
        <v>1</v>
      </c>
      <c r="AB40" s="1298">
        <f t="shared" si="4"/>
        <v>1</v>
      </c>
      <c r="AC40" s="2230">
        <f t="shared" si="5"/>
        <v>1</v>
      </c>
    </row>
    <row r="41" spans="1:29" ht="15">
      <c r="A41" s="1163"/>
      <c r="B41" s="1109" t="s">
        <v>1380</v>
      </c>
      <c r="C41" s="1146"/>
      <c r="D41" s="1121">
        <v>100</v>
      </c>
      <c r="E41" s="1146"/>
      <c r="F41" s="1473">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48"/>
      <c r="Q41" s="664" t="str">
        <f t="shared" si="11"/>
        <v>层高</v>
      </c>
      <c r="R41" s="1287" t="s">
        <v>1343</v>
      </c>
      <c r="S41" s="1288">
        <f t="shared" si="12"/>
        <v>100</v>
      </c>
      <c r="T41" s="1287" t="s">
        <v>1343</v>
      </c>
      <c r="U41" s="1288">
        <f t="shared" si="13"/>
        <v>100</v>
      </c>
      <c r="V41" s="1287" t="s">
        <v>1343</v>
      </c>
      <c r="W41" s="1288">
        <f t="shared" si="14"/>
        <v>100</v>
      </c>
      <c r="X41" s="1281"/>
      <c r="Y41" s="3652"/>
      <c r="Z41" s="1271" t="str">
        <f t="shared" si="15"/>
        <v>层高</v>
      </c>
      <c r="AA41" s="1298">
        <f t="shared" si="3"/>
        <v>1</v>
      </c>
      <c r="AB41" s="1298">
        <f t="shared" si="4"/>
        <v>1</v>
      </c>
      <c r="AC41" s="2230">
        <f t="shared" si="5"/>
        <v>1</v>
      </c>
    </row>
    <row r="42" spans="1:29" s="1073" customFormat="1" ht="15">
      <c r="A42" s="1168"/>
      <c r="B42" s="1266" t="s">
        <v>1381</v>
      </c>
      <c r="C42" s="1120"/>
      <c r="D42" s="1121">
        <v>100</v>
      </c>
      <c r="E42" s="1120"/>
      <c r="F42" s="1473">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48"/>
      <c r="Q42" s="1512" t="str">
        <f t="shared" si="11"/>
        <v>单套建筑面积</v>
      </c>
      <c r="R42" s="1289" t="s">
        <v>1343</v>
      </c>
      <c r="S42" s="1290">
        <f t="shared" si="12"/>
        <v>100</v>
      </c>
      <c r="T42" s="1289" t="s">
        <v>1343</v>
      </c>
      <c r="U42" s="1290">
        <f t="shared" si="13"/>
        <v>100</v>
      </c>
      <c r="V42" s="1289" t="s">
        <v>1343</v>
      </c>
      <c r="W42" s="1290">
        <f t="shared" si="14"/>
        <v>100</v>
      </c>
      <c r="X42" s="1291"/>
      <c r="Y42" s="3652"/>
      <c r="Z42" s="1299" t="str">
        <f t="shared" si="15"/>
        <v>单套建筑面积</v>
      </c>
      <c r="AA42" s="1298">
        <f t="shared" si="3"/>
        <v>1</v>
      </c>
      <c r="AB42" s="1298">
        <f t="shared" si="4"/>
        <v>1</v>
      </c>
      <c r="AC42" s="2230">
        <f t="shared" si="5"/>
        <v>1</v>
      </c>
    </row>
    <row r="43" spans="1:29" ht="15">
      <c r="A43" s="1163"/>
      <c r="B43" s="1109" t="s">
        <v>1382</v>
      </c>
      <c r="C43" s="1483" t="s">
        <v>1383</v>
      </c>
      <c r="D43" s="1121">
        <v>100</v>
      </c>
      <c r="E43" s="1483" t="s">
        <v>1383</v>
      </c>
      <c r="F43" s="1473">
        <f>SUMIF(123:123,E43,124:124)-SUMIF(123:123,C43,124:124)+100</f>
        <v>100</v>
      </c>
      <c r="G43" s="1483" t="s">
        <v>1383</v>
      </c>
      <c r="H43" s="1121">
        <f>SUMIF(123:123,G43,124:124)-SUMIF(123:123,C43,124:124)+100</f>
        <v>100</v>
      </c>
      <c r="I43" s="1483" t="s">
        <v>1383</v>
      </c>
      <c r="J43" s="1121">
        <f>SUMIF(123:123,I43,124:124)-SUMIF(123:123,C43,124:124)+100</f>
        <v>100</v>
      </c>
      <c r="K43" s="1257">
        <v>3</v>
      </c>
      <c r="L43" s="1251"/>
      <c r="M43" s="1239"/>
      <c r="N43" s="1239"/>
      <c r="O43" s="1239"/>
      <c r="P43" s="3648"/>
      <c r="Q43" s="664" t="str">
        <f t="shared" si="11"/>
        <v>内部装修</v>
      </c>
      <c r="R43" s="1287" t="s">
        <v>1343</v>
      </c>
      <c r="S43" s="1288">
        <f t="shared" si="12"/>
        <v>100</v>
      </c>
      <c r="T43" s="1287" t="s">
        <v>1343</v>
      </c>
      <c r="U43" s="1288">
        <f t="shared" si="13"/>
        <v>100</v>
      </c>
      <c r="V43" s="1287" t="s">
        <v>1343</v>
      </c>
      <c r="W43" s="1288">
        <f t="shared" si="14"/>
        <v>100</v>
      </c>
      <c r="X43" s="1281"/>
      <c r="Y43" s="3652"/>
      <c r="Z43" s="1271" t="str">
        <f t="shared" si="15"/>
        <v>内部装修</v>
      </c>
      <c r="AA43" s="1298">
        <f t="shared" si="3"/>
        <v>1</v>
      </c>
      <c r="AB43" s="1298">
        <f t="shared" si="4"/>
        <v>1</v>
      </c>
      <c r="AC43" s="2230">
        <f t="shared" si="5"/>
        <v>1</v>
      </c>
    </row>
    <row r="44" spans="1:29" ht="15">
      <c r="A44" s="1163"/>
      <c r="B44" s="1109" t="s">
        <v>1384</v>
      </c>
      <c r="C44" s="1483" t="s">
        <v>1357</v>
      </c>
      <c r="D44" s="1121">
        <v>100</v>
      </c>
      <c r="E44" s="1483" t="s">
        <v>1357</v>
      </c>
      <c r="F44" s="1473">
        <f>SUMIF(125:125,E44,126:126)-SUMIF(125:125,C44,126:126)+100</f>
        <v>100</v>
      </c>
      <c r="G44" s="1483" t="s">
        <v>1357</v>
      </c>
      <c r="H44" s="1121">
        <f>SUMIF(125:125,G44,126:126)-SUMIF(125:125,C44,126:126)+100</f>
        <v>100</v>
      </c>
      <c r="I44" s="1483" t="s">
        <v>1357</v>
      </c>
      <c r="J44" s="1121">
        <f>SUMIF(125:125,I44,126:126)-SUMIF(125:125,C44,126:126)+100</f>
        <v>100</v>
      </c>
      <c r="K44" s="1257">
        <v>1</v>
      </c>
      <c r="L44" s="1251"/>
      <c r="M44" s="1239"/>
      <c r="N44" s="1239"/>
      <c r="O44" s="1239"/>
      <c r="P44" s="3648"/>
      <c r="Q44" s="664" t="str">
        <f t="shared" si="11"/>
        <v>内部装修维护情况</v>
      </c>
      <c r="R44" s="1287" t="s">
        <v>1343</v>
      </c>
      <c r="S44" s="1288">
        <f t="shared" si="12"/>
        <v>100</v>
      </c>
      <c r="T44" s="1287" t="s">
        <v>1343</v>
      </c>
      <c r="U44" s="1288">
        <f t="shared" si="13"/>
        <v>100</v>
      </c>
      <c r="V44" s="1287" t="s">
        <v>1343</v>
      </c>
      <c r="W44" s="1288">
        <f t="shared" si="14"/>
        <v>100</v>
      </c>
      <c r="X44" s="1281"/>
      <c r="Y44" s="3652"/>
      <c r="Z44" s="1271" t="str">
        <f t="shared" si="15"/>
        <v>内部装修维护情况</v>
      </c>
      <c r="AA44" s="1298">
        <f t="shared" si="3"/>
        <v>1</v>
      </c>
      <c r="AB44" s="1298">
        <f t="shared" si="4"/>
        <v>1</v>
      </c>
      <c r="AC44" s="2230">
        <f t="shared" si="5"/>
        <v>1</v>
      </c>
    </row>
    <row r="45" spans="1:29" s="1071" customFormat="1" ht="15" hidden="1">
      <c r="A45" s="1165"/>
      <c r="B45" s="1424">
        <v>111</v>
      </c>
      <c r="C45" s="1467"/>
      <c r="D45" s="1111">
        <v>100</v>
      </c>
      <c r="E45" s="1110"/>
      <c r="F45" s="1466">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48"/>
      <c r="Q45" s="1286">
        <f t="shared" si="11"/>
        <v>111</v>
      </c>
      <c r="R45" s="1282" t="s">
        <v>1343</v>
      </c>
      <c r="S45" s="1283">
        <f t="shared" si="12"/>
        <v>100</v>
      </c>
      <c r="T45" s="1282" t="s">
        <v>1343</v>
      </c>
      <c r="U45" s="1283">
        <f t="shared" si="13"/>
        <v>100</v>
      </c>
      <c r="V45" s="1282" t="s">
        <v>1343</v>
      </c>
      <c r="W45" s="1283">
        <f t="shared" si="14"/>
        <v>100</v>
      </c>
      <c r="X45" s="1284"/>
      <c r="Y45" s="3652"/>
      <c r="Z45" s="1297">
        <f t="shared" si="15"/>
        <v>111</v>
      </c>
      <c r="AA45" s="1296">
        <f t="shared" si="3"/>
        <v>1</v>
      </c>
      <c r="AB45" s="1296">
        <f t="shared" si="4"/>
        <v>1</v>
      </c>
      <c r="AC45" s="2229">
        <f t="shared" si="5"/>
        <v>1</v>
      </c>
    </row>
    <row r="46" spans="1:29" ht="15" hidden="1">
      <c r="A46" s="1163"/>
      <c r="B46" s="1424">
        <v>111</v>
      </c>
      <c r="C46" s="1120"/>
      <c r="D46" s="1121">
        <v>100</v>
      </c>
      <c r="E46" s="1110"/>
      <c r="F46" s="1473">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48"/>
      <c r="Q46" s="664">
        <f t="shared" si="11"/>
        <v>111</v>
      </c>
      <c r="R46" s="1287" t="s">
        <v>1343</v>
      </c>
      <c r="S46" s="1288">
        <f t="shared" si="12"/>
        <v>100</v>
      </c>
      <c r="T46" s="1287" t="s">
        <v>1343</v>
      </c>
      <c r="U46" s="1288">
        <f t="shared" si="13"/>
        <v>100</v>
      </c>
      <c r="V46" s="1287" t="s">
        <v>1343</v>
      </c>
      <c r="W46" s="1288">
        <f t="shared" si="14"/>
        <v>100</v>
      </c>
      <c r="X46" s="1281"/>
      <c r="Y46" s="3652"/>
      <c r="Z46" s="1271">
        <f t="shared" si="15"/>
        <v>111</v>
      </c>
      <c r="AA46" s="1298">
        <f t="shared" si="3"/>
        <v>1</v>
      </c>
      <c r="AB46" s="1298">
        <f t="shared" si="4"/>
        <v>1</v>
      </c>
      <c r="AC46" s="2230">
        <f t="shared" si="5"/>
        <v>1</v>
      </c>
    </row>
    <row r="47" spans="1:29" ht="15" hidden="1">
      <c r="A47" s="1485"/>
      <c r="B47" s="1123">
        <v>111</v>
      </c>
      <c r="C47" s="1124"/>
      <c r="D47" s="1125">
        <v>100</v>
      </c>
      <c r="E47" s="1110"/>
      <c r="F47" s="1486">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49"/>
      <c r="Q47" s="664">
        <f t="shared" si="11"/>
        <v>111</v>
      </c>
      <c r="R47" s="1287" t="s">
        <v>1343</v>
      </c>
      <c r="S47" s="1288">
        <f t="shared" si="12"/>
        <v>100</v>
      </c>
      <c r="T47" s="1287" t="s">
        <v>1343</v>
      </c>
      <c r="U47" s="1288">
        <f t="shared" si="13"/>
        <v>100</v>
      </c>
      <c r="V47" s="1287" t="s">
        <v>1343</v>
      </c>
      <c r="W47" s="1288">
        <f t="shared" si="14"/>
        <v>100</v>
      </c>
      <c r="X47" s="1281"/>
      <c r="Y47" s="3653"/>
      <c r="Z47" s="1271">
        <f t="shared" si="15"/>
        <v>111</v>
      </c>
      <c r="AA47" s="1298">
        <f t="shared" si="3"/>
        <v>1</v>
      </c>
      <c r="AB47" s="1298">
        <f t="shared" si="4"/>
        <v>1</v>
      </c>
      <c r="AC47" s="2230">
        <f t="shared" si="5"/>
        <v>1</v>
      </c>
    </row>
    <row r="48" spans="1:29" ht="15">
      <c r="A48" s="1170" t="s">
        <v>1385</v>
      </c>
      <c r="B48" s="1487"/>
      <c r="C48" s="1488" t="s">
        <v>124</v>
      </c>
      <c r="D48" s="1489"/>
      <c r="E48" s="1490">
        <v>24716</v>
      </c>
      <c r="F48" s="1491"/>
      <c r="G48" s="1492">
        <v>24716</v>
      </c>
      <c r="H48" s="1493"/>
      <c r="I48" s="1490">
        <v>25360</v>
      </c>
      <c r="J48" s="1177"/>
      <c r="K48" s="1262"/>
      <c r="L48" s="1263"/>
      <c r="M48" s="1239"/>
      <c r="N48" s="1239"/>
      <c r="O48" s="1239"/>
      <c r="P48" s="3642" t="str">
        <f>A48</f>
        <v>成交单价（元/平方米）</v>
      </c>
      <c r="Q48" s="3643"/>
      <c r="R48" s="3644">
        <f>E48</f>
        <v>24716</v>
      </c>
      <c r="S48" s="3644"/>
      <c r="T48" s="3644">
        <f>G48</f>
        <v>24716</v>
      </c>
      <c r="U48" s="3644"/>
      <c r="V48" s="3644">
        <f>I48</f>
        <v>25360</v>
      </c>
      <c r="W48" s="3644"/>
      <c r="X48" s="1418"/>
      <c r="Y48" s="1300"/>
      <c r="Z48" s="1418"/>
      <c r="AA48" s="1418"/>
      <c r="AB48" s="1418"/>
      <c r="AC48" s="1131"/>
    </row>
    <row r="49" spans="1:29" ht="15">
      <c r="A49" s="1178" t="s">
        <v>1386</v>
      </c>
      <c r="B49" s="1494"/>
      <c r="C49" s="1495">
        <f>R50</f>
        <v>25001</v>
      </c>
      <c r="D49" s="1181" t="s">
        <v>1387</v>
      </c>
      <c r="E49" s="1496">
        <f>R49</f>
        <v>24267</v>
      </c>
      <c r="F49" s="1182"/>
      <c r="G49" s="1495">
        <f>T49</f>
        <v>25042</v>
      </c>
      <c r="H49" s="1182"/>
      <c r="I49" s="1496">
        <f>V49</f>
        <v>25694</v>
      </c>
      <c r="J49" s="1182"/>
      <c r="K49" s="1264">
        <f>F49+H49+J49</f>
        <v>0</v>
      </c>
      <c r="L49" s="1263"/>
      <c r="M49" s="1239"/>
      <c r="N49" s="1239"/>
      <c r="O49" s="1239"/>
      <c r="P49" s="3642" t="str">
        <f>A49</f>
        <v>比较价值（元/平方米）</v>
      </c>
      <c r="Q49" s="3643"/>
      <c r="R49" s="3644">
        <f>IF(F1="售价",ROUND(PRODUCT(R48,AA7:AA47),0),ROUND(PRODUCT(R48,AA7:AA47),1))</f>
        <v>24267</v>
      </c>
      <c r="S49" s="3644"/>
      <c r="T49" s="3644">
        <f>IF(F1="售价",ROUND(PRODUCT(T48,AB7:AB47),0),ROUND(PRODUCT(T48,AB7:AB47),1))</f>
        <v>25042</v>
      </c>
      <c r="U49" s="3644"/>
      <c r="V49" s="3644">
        <f>IF(F1="售价",ROUND(PRODUCT(V48,AC7:AC47),0),ROUND(PRODUCT(V48,AC7:AC47),1))</f>
        <v>25694</v>
      </c>
      <c r="W49" s="3644"/>
      <c r="X49" s="1418"/>
      <c r="Y49" s="1418"/>
      <c r="Z49" s="1418"/>
      <c r="AA49" s="1418"/>
      <c r="AB49" s="1418"/>
      <c r="AC49" s="1131"/>
    </row>
    <row r="50" spans="1:29" ht="15">
      <c r="A50" s="1184" t="s">
        <v>1388</v>
      </c>
      <c r="B50" s="1185"/>
      <c r="C50" s="1497">
        <f>R50</f>
        <v>25001</v>
      </c>
      <c r="D50" s="1497"/>
      <c r="E50" s="1497"/>
      <c r="F50" s="1497"/>
      <c r="G50" s="1497"/>
      <c r="H50" s="1497"/>
      <c r="I50" s="1497"/>
      <c r="J50" s="1186"/>
      <c r="K50" s="1265"/>
      <c r="L50" s="1263"/>
      <c r="M50" s="1239"/>
      <c r="N50" s="1239"/>
      <c r="O50" s="1239"/>
      <c r="P50" s="3654" t="str">
        <f>A50</f>
        <v>估价对象XX用房的比较价值（楼面单价，元/平方米）</v>
      </c>
      <c r="Q50" s="3655"/>
      <c r="R50" s="3656">
        <f>IF(F1="售价",ROUND(IF(D49="简单平均",AVERAGE(R49:V49),R49*F49+T49*H49+V49*J49),0),ROUND(IF(D49="简单平均",AVERAGE(R49:V49),R49*F49+T49*H49+V49*J49),1))</f>
        <v>25001</v>
      </c>
      <c r="S50" s="3656"/>
      <c r="T50" s="3656"/>
      <c r="U50" s="3656"/>
      <c r="V50" s="3656"/>
      <c r="W50" s="3656"/>
      <c r="X50" s="1725"/>
      <c r="Y50" s="1725"/>
      <c r="Z50" s="1725"/>
      <c r="AA50" s="1725"/>
      <c r="AB50" s="1725"/>
      <c r="AC50" s="1726"/>
    </row>
    <row r="51" spans="1:29">
      <c r="A51" s="1187"/>
      <c r="B51" s="1187"/>
      <c r="C51" s="1187"/>
      <c r="D51" s="1187"/>
      <c r="E51" s="1187"/>
      <c r="F51" s="1187"/>
      <c r="G51" s="1188"/>
      <c r="H51" s="1187"/>
      <c r="I51" s="1187"/>
      <c r="J51" s="1187"/>
      <c r="K51" s="1267"/>
      <c r="L51" s="1268"/>
      <c r="M51" s="1187"/>
      <c r="N51" s="1187"/>
      <c r="O51" s="1187"/>
      <c r="P51" s="1564"/>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64"/>
      <c r="Q52" s="1187"/>
      <c r="R52" s="1187"/>
      <c r="S52" s="1187"/>
      <c r="T52" s="1187"/>
      <c r="U52" s="1187"/>
      <c r="V52" s="1187"/>
      <c r="W52" s="1187"/>
      <c r="X52" s="1187"/>
      <c r="Y52" s="1187"/>
      <c r="Z52" s="1187"/>
      <c r="AA52" s="1187"/>
      <c r="AB52" s="1187"/>
      <c r="AC52" s="1187"/>
    </row>
    <row r="53" spans="1:29" ht="13.5" customHeight="1">
      <c r="A53" s="1187"/>
      <c r="B53" s="1187"/>
      <c r="C53" s="1189" t="s">
        <v>1389</v>
      </c>
      <c r="D53" s="708"/>
      <c r="E53" s="1190">
        <f>IF(E48&lt;E49,E49/E48-1,E48/E49-1)</f>
        <v>1.8502493097622308E-2</v>
      </c>
      <c r="F53" s="1191" t="str">
        <f>IF(OR(E53&gt;=0.3,E53&lt;=-0.3),"超过30%","")</f>
        <v/>
      </c>
      <c r="G53" s="1190">
        <f>IF(G48&lt;G49,G49/G48-1,G48/G49-1)</f>
        <v>1.3189836543129996E-2</v>
      </c>
      <c r="H53" s="1191" t="str">
        <f>IF(OR(G53&gt;=0.3,G53&lt;=-0.3),"超过30%","")</f>
        <v/>
      </c>
      <c r="I53" s="1190">
        <f>IF(I48&lt;I49,I49/I48-1,I48/I49-1)</f>
        <v>1.3170347003154559E-2</v>
      </c>
      <c r="J53" s="1191" t="str">
        <f>IF(OR(I53&gt;=0.3,I53&lt;=-0.3),"超过30%","")</f>
        <v/>
      </c>
      <c r="K53" s="1267"/>
      <c r="L53" s="1268"/>
      <c r="M53" s="1187"/>
      <c r="N53" s="1187"/>
      <c r="O53" s="1187"/>
      <c r="P53" s="1564"/>
      <c r="Q53" s="1187"/>
      <c r="R53" s="1187"/>
      <c r="S53" s="1187"/>
      <c r="T53" s="1187"/>
      <c r="U53" s="1187"/>
      <c r="V53" s="1187"/>
      <c r="W53" s="1187"/>
      <c r="X53" s="1187"/>
      <c r="Y53" s="1187"/>
      <c r="Z53" s="1187"/>
      <c r="AA53" s="1187"/>
      <c r="AB53" s="1187"/>
      <c r="AC53" s="1187"/>
    </row>
    <row r="54" spans="1:29" ht="13.5" customHeight="1">
      <c r="A54" s="1187"/>
      <c r="B54" s="1187"/>
      <c r="C54" s="1189" t="s">
        <v>1390</v>
      </c>
      <c r="D54" s="707"/>
      <c r="E54" s="1190">
        <f>IF(E49&lt;G49,G49/E49-1,E49/G49-1)</f>
        <v>3.1936374500350251E-2</v>
      </c>
      <c r="F54" s="1191" t="str">
        <f>IF(OR(E54&gt;=0.2,E54&lt;=-0.2),"超过20%","")</f>
        <v/>
      </c>
      <c r="G54" s="1190">
        <f>IF(G49&lt;I49,I49/G49-1,G49/I49-1)</f>
        <v>2.6036259084737612E-2</v>
      </c>
      <c r="H54" s="1191" t="str">
        <f>IF(OR(G54&gt;=0.2,G54&lt;=-0.2),"超过20%","")</f>
        <v/>
      </c>
      <c r="I54" s="1190">
        <f>IF(I49&lt;E49,E49/I49-1,I49/E49-1)</f>
        <v>5.8804137305806137E-2</v>
      </c>
      <c r="J54" s="1191" t="str">
        <f>IF(OR(I54&gt;=0.2,I54&lt;=-0.2),"超过20%","")</f>
        <v/>
      </c>
      <c r="K54" s="1267"/>
      <c r="L54" s="1268"/>
      <c r="M54" s="1187"/>
      <c r="N54" s="1187"/>
      <c r="O54" s="1187"/>
      <c r="P54" s="1564"/>
      <c r="Q54" s="1187"/>
      <c r="R54" s="1187"/>
      <c r="S54" s="1187"/>
      <c r="T54" s="1187"/>
      <c r="U54" s="1187"/>
      <c r="V54" s="1187"/>
      <c r="W54" s="1187"/>
      <c r="X54" s="1187"/>
      <c r="Y54" s="1187"/>
      <c r="Z54" s="1187"/>
      <c r="AA54" s="1187"/>
      <c r="AB54" s="1187"/>
      <c r="AC54" s="1187"/>
    </row>
    <row r="55" spans="1:29" s="1074" customFormat="1" ht="13.5" customHeight="1">
      <c r="A55" s="1192"/>
      <c r="B55" s="1192"/>
      <c r="C55" s="1189" t="s">
        <v>1391</v>
      </c>
      <c r="D55" s="707"/>
      <c r="E55" s="1190">
        <f>IF(E48&lt;G48,G48/E48-1,E48/G48-1)</f>
        <v>0</v>
      </c>
      <c r="F55" s="1191" t="str">
        <f>IF(OR(E55&gt;=0.3,E55&lt;=-0.3),"超过30%","")</f>
        <v/>
      </c>
      <c r="G55" s="1190">
        <f>IF(G48&lt;I48,I48/G48-1,G48/I48-1)</f>
        <v>2.605599611587639E-2</v>
      </c>
      <c r="H55" s="1191" t="str">
        <f>IF(OR(G55&gt;=0.3,G55&lt;=-0.3),"超过30%","")</f>
        <v/>
      </c>
      <c r="I55" s="1190">
        <f>IF(I48&lt;E48,E48/I48-1,I48/E48-1)</f>
        <v>2.605599611587639E-2</v>
      </c>
      <c r="J55" s="1191" t="str">
        <f>IF(OR(I55&gt;=0.3,I55&lt;=-0.3),"超过30%","")</f>
        <v/>
      </c>
      <c r="K55" s="1269"/>
      <c r="L55" s="1270"/>
      <c r="M55" s="1192"/>
      <c r="N55" s="1192"/>
      <c r="O55" s="1192"/>
      <c r="P55" s="1565"/>
      <c r="Q55" s="1192"/>
      <c r="R55" s="1192"/>
      <c r="S55" s="1192"/>
      <c r="T55" s="1192"/>
      <c r="U55" s="1192"/>
      <c r="V55" s="1192"/>
      <c r="W55" s="1192"/>
      <c r="X55" s="1192"/>
      <c r="Y55" s="1192"/>
      <c r="Z55" s="1192"/>
      <c r="AA55" s="1192"/>
      <c r="AB55" s="1192"/>
      <c r="AC55" s="1192"/>
    </row>
    <row r="56" spans="1:29" s="1074" customFormat="1">
      <c r="A56" s="1192"/>
      <c r="B56" s="1193"/>
      <c r="C56" s="1498"/>
      <c r="D56" s="1192"/>
      <c r="E56" s="1192"/>
      <c r="F56" s="1192"/>
      <c r="G56" s="1192"/>
      <c r="H56" s="1192"/>
      <c r="I56" s="1192"/>
      <c r="J56" s="1192"/>
      <c r="K56" s="1269"/>
      <c r="L56" s="1270"/>
      <c r="M56" s="1192"/>
      <c r="N56" s="1192"/>
      <c r="O56" s="1192"/>
      <c r="P56" s="1565"/>
      <c r="Q56" s="1192"/>
      <c r="R56" s="1192"/>
      <c r="S56" s="1192"/>
      <c r="T56" s="1192"/>
      <c r="U56" s="1192"/>
      <c r="V56" s="1192"/>
      <c r="W56" s="1192"/>
      <c r="X56" s="1192"/>
      <c r="Y56" s="1192"/>
      <c r="Z56" s="1192"/>
      <c r="AA56" s="1192"/>
      <c r="AB56" s="1192"/>
      <c r="AC56" s="1192"/>
    </row>
    <row r="57" spans="1:29">
      <c r="A57" s="1187"/>
      <c r="B57" s="1193"/>
      <c r="C57" s="1498"/>
      <c r="D57" s="1187"/>
      <c r="E57" s="1187"/>
      <c r="F57" s="1187"/>
      <c r="G57" s="1187"/>
      <c r="H57" s="1187"/>
      <c r="I57" s="1187"/>
      <c r="J57" s="1187"/>
      <c r="K57" s="1267"/>
      <c r="L57" s="1268"/>
      <c r="M57" s="1187"/>
      <c r="N57" s="1187"/>
      <c r="O57" s="1187"/>
      <c r="P57" s="1564"/>
      <c r="Q57" s="1187"/>
      <c r="R57" s="1187"/>
      <c r="S57" s="1187"/>
      <c r="T57" s="1187"/>
      <c r="U57" s="1187"/>
      <c r="V57" s="1187"/>
      <c r="W57" s="1187"/>
      <c r="X57" s="1187"/>
      <c r="Y57" s="1187"/>
      <c r="Z57" s="1187"/>
      <c r="AA57" s="1187"/>
      <c r="AB57" s="1187"/>
      <c r="AC57" s="1187"/>
    </row>
    <row r="58" spans="1:29" ht="21">
      <c r="A58" s="1226" t="s">
        <v>1392</v>
      </c>
      <c r="B58" s="1227"/>
      <c r="C58" s="1228"/>
      <c r="D58" s="1228"/>
      <c r="E58" s="1228"/>
      <c r="F58" s="1229"/>
      <c r="G58" s="1229"/>
      <c r="H58" s="1228"/>
      <c r="I58" s="1228"/>
      <c r="J58" s="1228"/>
      <c r="K58" s="1277"/>
      <c r="L58" s="1443"/>
      <c r="M58" s="1279"/>
      <c r="N58" s="1280"/>
      <c r="O58" s="1280"/>
      <c r="P58" s="1566"/>
      <c r="Q58" s="1292"/>
      <c r="R58" s="1187"/>
      <c r="S58" s="1187"/>
      <c r="T58" s="1187"/>
      <c r="U58" s="1187"/>
      <c r="V58" s="1187"/>
      <c r="W58" s="1187"/>
      <c r="X58" s="1187"/>
      <c r="Y58" s="1187"/>
      <c r="Z58" s="1187"/>
      <c r="AA58" s="1187"/>
      <c r="AB58" s="1187"/>
      <c r="AC58" s="1187"/>
    </row>
    <row r="59" spans="1:29" s="1076" customFormat="1" ht="15">
      <c r="A59" s="1499" t="s">
        <v>1341</v>
      </c>
      <c r="B59" s="1500"/>
      <c r="C59" s="1501" t="str">
        <f>YEAR(C7)&amp;"-"&amp;MONTH(C7)</f>
        <v>2023-10</v>
      </c>
      <c r="D59" s="1502">
        <f>EDATE(C59,-1)</f>
        <v>45170</v>
      </c>
      <c r="E59" s="1502">
        <f>EDATE(D59,-1)</f>
        <v>45139</v>
      </c>
      <c r="F59" s="1502">
        <f t="shared" ref="F59:O59" si="16">EDATE(E59,-1)</f>
        <v>45108</v>
      </c>
      <c r="G59" s="1502">
        <f t="shared" si="16"/>
        <v>45078</v>
      </c>
      <c r="H59" s="1502">
        <f t="shared" si="16"/>
        <v>45047</v>
      </c>
      <c r="I59" s="1502">
        <f t="shared" si="16"/>
        <v>45017</v>
      </c>
      <c r="J59" s="1502">
        <f t="shared" si="16"/>
        <v>44986</v>
      </c>
      <c r="K59" s="1502">
        <f t="shared" si="16"/>
        <v>44958</v>
      </c>
      <c r="L59" s="1502">
        <f t="shared" si="16"/>
        <v>44927</v>
      </c>
      <c r="M59" s="1502">
        <f t="shared" si="16"/>
        <v>44896</v>
      </c>
      <c r="N59" s="1502">
        <f t="shared" si="16"/>
        <v>44866</v>
      </c>
      <c r="O59" s="1502">
        <f t="shared" si="16"/>
        <v>44835</v>
      </c>
      <c r="P59" s="1567"/>
      <c r="Q59" s="1408"/>
      <c r="R59" s="1408"/>
      <c r="S59" s="1408"/>
      <c r="T59" s="1408"/>
      <c r="U59" s="1408"/>
      <c r="V59" s="1408"/>
      <c r="W59" s="1408"/>
      <c r="X59" s="1408"/>
      <c r="Y59" s="1408"/>
      <c r="Z59" s="1408"/>
      <c r="AA59" s="1408"/>
      <c r="AB59" s="1408"/>
      <c r="AC59" s="1408"/>
    </row>
    <row r="60" spans="1:29" s="1071" customFormat="1" ht="15">
      <c r="A60" s="1503"/>
      <c r="B60" s="1311"/>
      <c r="C60" s="1504">
        <v>100</v>
      </c>
      <c r="D60" s="1315"/>
      <c r="E60" s="1315"/>
      <c r="F60" s="1315"/>
      <c r="G60" s="1315"/>
      <c r="H60" s="1315"/>
      <c r="I60" s="1315"/>
      <c r="J60" s="1315"/>
      <c r="K60" s="1315"/>
      <c r="L60" s="1315"/>
      <c r="M60" s="1511"/>
      <c r="N60" s="1315"/>
      <c r="O60" s="1511"/>
      <c r="P60" s="1568"/>
      <c r="Q60" s="1409"/>
      <c r="R60" s="1409"/>
      <c r="S60" s="1409"/>
      <c r="T60" s="1409"/>
      <c r="U60" s="1409"/>
      <c r="V60" s="1409"/>
      <c r="W60" s="1409"/>
      <c r="X60" s="1409"/>
      <c r="Y60" s="1409"/>
      <c r="Z60" s="1409"/>
      <c r="AA60" s="1409"/>
      <c r="AB60" s="1409"/>
      <c r="AC60" s="1409"/>
    </row>
    <row r="61" spans="1:29" s="1071" customFormat="1" ht="15">
      <c r="A61" s="1306" t="s">
        <v>1393</v>
      </c>
      <c r="B61" s="1307"/>
      <c r="C61" s="1308"/>
      <c r="D61" s="1309"/>
      <c r="E61" s="1309"/>
      <c r="F61" s="1309"/>
      <c r="G61" s="1309"/>
      <c r="H61" s="1309"/>
      <c r="I61" s="1309"/>
      <c r="J61" s="1309"/>
      <c r="K61" s="1309"/>
      <c r="L61" s="1309"/>
      <c r="M61" s="1355"/>
      <c r="N61" s="1309"/>
      <c r="O61" s="1355"/>
      <c r="P61" s="1568"/>
      <c r="Q61" s="1292"/>
      <c r="R61" s="1409"/>
      <c r="S61" s="1409"/>
      <c r="T61" s="1409"/>
      <c r="U61" s="1409"/>
      <c r="V61" s="1409"/>
      <c r="W61" s="1409"/>
      <c r="X61" s="1409"/>
      <c r="Y61" s="1409"/>
      <c r="Z61" s="1409"/>
      <c r="AA61" s="1409"/>
      <c r="AB61" s="1409"/>
      <c r="AC61" s="1409"/>
    </row>
    <row r="62" spans="1:29" s="1071" customFormat="1" ht="15">
      <c r="A62" s="1310" t="s">
        <v>1344</v>
      </c>
      <c r="B62" s="1311"/>
      <c r="C62" s="1312" t="s">
        <v>1394</v>
      </c>
      <c r="D62" s="2227" t="s">
        <v>1346</v>
      </c>
      <c r="E62" s="1313"/>
      <c r="F62" s="1313"/>
      <c r="G62" s="1313"/>
      <c r="H62" s="1313"/>
      <c r="I62" s="1313"/>
      <c r="J62" s="1313"/>
      <c r="K62" s="1313"/>
      <c r="L62" s="1357"/>
      <c r="M62" s="1358"/>
      <c r="N62" s="1359"/>
      <c r="O62" s="1359"/>
      <c r="P62" s="1569"/>
      <c r="Q62" s="1292"/>
      <c r="R62" s="1409"/>
      <c r="S62" s="1409"/>
      <c r="T62" s="1409"/>
      <c r="U62" s="1409"/>
      <c r="V62" s="1409"/>
      <c r="W62" s="1409"/>
      <c r="X62" s="1409"/>
      <c r="Y62" s="1409"/>
      <c r="Z62" s="1409"/>
      <c r="AA62" s="1409"/>
      <c r="AB62" s="1409"/>
      <c r="AC62" s="1409"/>
    </row>
    <row r="63" spans="1:29" s="1071" customFormat="1" ht="15">
      <c r="A63" s="1310"/>
      <c r="B63" s="1311"/>
      <c r="C63" s="1635">
        <v>100</v>
      </c>
      <c r="D63" s="1315">
        <v>105</v>
      </c>
      <c r="E63" s="1315"/>
      <c r="F63" s="1315"/>
      <c r="G63" s="1315"/>
      <c r="H63" s="1315"/>
      <c r="I63" s="1315"/>
      <c r="J63" s="1315"/>
      <c r="K63" s="1315"/>
      <c r="L63" s="1315"/>
      <c r="M63" s="1361"/>
      <c r="N63" s="1359"/>
      <c r="O63" s="1359"/>
      <c r="P63" s="1568"/>
      <c r="Q63" s="1292"/>
      <c r="R63" s="1409"/>
      <c r="S63" s="1409"/>
      <c r="T63" s="1409"/>
      <c r="U63" s="1409"/>
      <c r="V63" s="1409"/>
      <c r="W63" s="1409"/>
      <c r="X63" s="1409"/>
      <c r="Y63" s="1409"/>
      <c r="Z63" s="1409"/>
      <c r="AA63" s="1409"/>
      <c r="AB63" s="1409"/>
      <c r="AC63" s="1409"/>
    </row>
    <row r="64" spans="1:29">
      <c r="A64" s="1316" t="s">
        <v>1395</v>
      </c>
      <c r="B64" s="1317" t="s">
        <v>1349</v>
      </c>
      <c r="C64" s="1337" t="str">
        <f>C9</f>
        <v>办公</v>
      </c>
      <c r="D64" s="1260"/>
      <c r="E64" s="1260"/>
      <c r="F64" s="1260"/>
      <c r="G64" s="1260"/>
      <c r="H64" s="1260"/>
      <c r="I64" s="1260"/>
      <c r="J64" s="1260"/>
      <c r="K64" s="1362"/>
      <c r="L64" s="1363"/>
      <c r="M64" s="1364"/>
      <c r="N64" s="1365"/>
      <c r="O64" s="1365"/>
      <c r="P64" s="1570"/>
      <c r="Q64" s="1292"/>
      <c r="R64" s="1187"/>
      <c r="S64" s="1187"/>
      <c r="T64" s="1187"/>
      <c r="U64" s="1187"/>
      <c r="V64" s="1187"/>
      <c r="W64" s="1187"/>
      <c r="X64" s="1187"/>
      <c r="Y64" s="1187"/>
      <c r="Z64" s="1187"/>
      <c r="AA64" s="1187"/>
      <c r="AB64" s="1187"/>
      <c r="AC64" s="1187"/>
    </row>
    <row r="65" spans="1:29" ht="15">
      <c r="A65" s="1318"/>
      <c r="B65" s="1319"/>
      <c r="C65" s="964">
        <v>100</v>
      </c>
      <c r="D65" s="964"/>
      <c r="E65" s="964"/>
      <c r="F65" s="964"/>
      <c r="G65" s="964"/>
      <c r="H65" s="964"/>
      <c r="I65" s="964"/>
      <c r="J65" s="964"/>
      <c r="K65" s="964"/>
      <c r="L65" s="964"/>
      <c r="M65" s="1367"/>
      <c r="N65" s="1368"/>
      <c r="O65" s="1368"/>
      <c r="P65" s="1570"/>
      <c r="Q65" s="1292"/>
      <c r="R65" s="1187"/>
      <c r="S65" s="1187"/>
      <c r="T65" s="1187"/>
      <c r="U65" s="1187"/>
      <c r="V65" s="1187"/>
      <c r="W65" s="1187"/>
      <c r="X65" s="1187"/>
      <c r="Y65" s="1187"/>
      <c r="Z65" s="1187"/>
      <c r="AA65" s="1187"/>
      <c r="AB65" s="1187"/>
      <c r="AC65" s="1187"/>
    </row>
    <row r="66" spans="1:29" ht="27">
      <c r="A66" s="1318"/>
      <c r="B66" s="1320" t="s">
        <v>1352</v>
      </c>
      <c r="C66" s="1344"/>
      <c r="D66" s="1344"/>
      <c r="E66" s="1344"/>
      <c r="F66" s="1344"/>
      <c r="G66" s="1344"/>
      <c r="H66" s="1344"/>
      <c r="I66" s="1344"/>
      <c r="J66" s="1344"/>
      <c r="K66" s="1395"/>
      <c r="L66" s="1396"/>
      <c r="M66" s="1397"/>
      <c r="N66" s="1365"/>
      <c r="O66" s="1365"/>
      <c r="P66" s="1570"/>
      <c r="Q66" s="1292"/>
      <c r="R66" s="1187"/>
      <c r="S66" s="1187"/>
      <c r="T66" s="1187"/>
      <c r="U66" s="1187"/>
      <c r="V66" s="1187"/>
      <c r="W66" s="1187"/>
      <c r="X66" s="1187"/>
      <c r="Y66" s="1187"/>
      <c r="Z66" s="1187"/>
      <c r="AA66" s="1187"/>
      <c r="AB66" s="1187"/>
      <c r="AC66" s="1187"/>
    </row>
    <row r="67" spans="1:29" ht="15">
      <c r="A67" s="1318"/>
      <c r="B67" s="1322"/>
      <c r="C67" s="964"/>
      <c r="D67" s="964"/>
      <c r="E67" s="964"/>
      <c r="F67" s="964"/>
      <c r="G67" s="964"/>
      <c r="H67" s="964"/>
      <c r="I67" s="964"/>
      <c r="J67" s="964"/>
      <c r="K67" s="964"/>
      <c r="L67" s="964"/>
      <c r="M67" s="1367"/>
      <c r="N67" s="1368"/>
      <c r="O67" s="1368"/>
      <c r="P67" s="1570"/>
      <c r="Q67" s="1292"/>
      <c r="R67" s="1187"/>
      <c r="S67" s="1187"/>
      <c r="T67" s="1187"/>
      <c r="U67" s="1187"/>
      <c r="V67" s="1187"/>
      <c r="W67" s="1187"/>
      <c r="X67" s="1187"/>
      <c r="Y67" s="1187"/>
      <c r="Z67" s="1187"/>
      <c r="AA67" s="1187"/>
      <c r="AB67" s="1187"/>
      <c r="AC67" s="1187"/>
    </row>
    <row r="68" spans="1:29" ht="15">
      <c r="A68" s="1318"/>
      <c r="B68" s="1324" t="s">
        <v>1353</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3" t="str">
        <f>M69&amp;"（含）"&amp;"-"&amp;P69</f>
        <v>（含）-</v>
      </c>
      <c r="N68" s="1368"/>
      <c r="O68" s="1368"/>
      <c r="P68" s="1570"/>
      <c r="Q68" s="1292"/>
      <c r="R68" s="1187"/>
      <c r="S68" s="1187"/>
      <c r="T68" s="1187"/>
      <c r="U68" s="1187"/>
      <c r="V68" s="1187"/>
      <c r="W68" s="1187"/>
      <c r="X68" s="1187"/>
      <c r="Y68" s="1187"/>
      <c r="Z68" s="1187"/>
      <c r="AA68" s="1187"/>
      <c r="AB68" s="1187"/>
      <c r="AC68" s="1187"/>
    </row>
    <row r="69" spans="1:29" ht="15">
      <c r="A69" s="1318"/>
      <c r="B69" s="1326"/>
      <c r="C69" s="1118">
        <v>0</v>
      </c>
      <c r="D69" s="1118">
        <v>3</v>
      </c>
      <c r="E69" s="1118"/>
      <c r="F69" s="1118"/>
      <c r="G69" s="1118"/>
      <c r="H69" s="1118"/>
      <c r="I69" s="1118"/>
      <c r="J69" s="1118"/>
      <c r="K69" s="1373"/>
      <c r="L69" s="1374"/>
      <c r="M69" s="1375"/>
      <c r="N69" s="1365"/>
      <c r="O69" s="1365"/>
      <c r="P69" s="1570"/>
      <c r="Q69" s="1292"/>
      <c r="R69" s="1187"/>
      <c r="S69" s="1187"/>
      <c r="T69" s="1187"/>
      <c r="U69" s="1187"/>
      <c r="V69" s="1187"/>
      <c r="W69" s="1187"/>
      <c r="X69" s="1187"/>
      <c r="Y69" s="1187"/>
      <c r="Z69" s="1187"/>
      <c r="AA69" s="1187"/>
      <c r="AB69" s="1187"/>
      <c r="AC69" s="1187"/>
    </row>
    <row r="70" spans="1:29" ht="15">
      <c r="A70" s="1318"/>
      <c r="B70" s="1319"/>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2">
        <f t="shared" si="18"/>
        <v>100</v>
      </c>
      <c r="N70" s="1368"/>
      <c r="O70" s="1368"/>
      <c r="P70" s="1570"/>
      <c r="Q70" s="1292"/>
      <c r="R70" s="1187"/>
      <c r="S70" s="1187"/>
      <c r="T70" s="1187"/>
      <c r="U70" s="1187"/>
      <c r="V70" s="1187"/>
      <c r="W70" s="1187"/>
      <c r="X70" s="1187"/>
      <c r="Y70" s="1187"/>
      <c r="Z70" s="1187"/>
      <c r="AA70" s="1187"/>
      <c r="AB70" s="1187"/>
      <c r="AC70" s="1187"/>
    </row>
    <row r="71" spans="1:29" s="1073" customFormat="1" ht="15">
      <c r="A71" s="1327"/>
      <c r="B71" s="1320">
        <f>B12</f>
        <v>111</v>
      </c>
      <c r="C71" s="1328"/>
      <c r="D71" s="1328"/>
      <c r="E71" s="1328"/>
      <c r="F71" s="1328"/>
      <c r="G71" s="1328"/>
      <c r="H71" s="1329"/>
      <c r="I71" s="1329"/>
      <c r="J71" s="1329"/>
      <c r="K71" s="1329"/>
      <c r="L71" s="1376"/>
      <c r="M71" s="1377"/>
      <c r="N71" s="1378"/>
      <c r="O71" s="1378"/>
      <c r="P71" s="1571"/>
      <c r="Q71" s="1410"/>
      <c r="R71" s="1411"/>
      <c r="S71" s="1411"/>
      <c r="T71" s="1411"/>
      <c r="U71" s="1411"/>
      <c r="V71" s="1411"/>
      <c r="W71" s="1411"/>
      <c r="X71" s="1411"/>
      <c r="Y71" s="1411"/>
      <c r="Z71" s="1411"/>
      <c r="AA71" s="1411"/>
      <c r="AB71" s="1411"/>
      <c r="AC71" s="1411"/>
    </row>
    <row r="72" spans="1:29" s="1073" customFormat="1" ht="15">
      <c r="A72" s="1327"/>
      <c r="B72" s="1322"/>
      <c r="C72" s="963"/>
      <c r="D72" s="964"/>
      <c r="E72" s="964"/>
      <c r="F72" s="964"/>
      <c r="G72" s="964"/>
      <c r="H72" s="964"/>
      <c r="I72" s="964"/>
      <c r="J72" s="964"/>
      <c r="K72" s="964"/>
      <c r="L72" s="964"/>
      <c r="M72" s="1367"/>
      <c r="N72" s="1368"/>
      <c r="O72" s="1368"/>
      <c r="P72" s="1571"/>
      <c r="Q72" s="1410"/>
      <c r="R72" s="1411"/>
      <c r="S72" s="1411"/>
      <c r="T72" s="1411"/>
      <c r="U72" s="1411"/>
      <c r="V72" s="1411"/>
      <c r="W72" s="1411"/>
      <c r="X72" s="1411"/>
      <c r="Y72" s="1411"/>
      <c r="Z72" s="1411"/>
      <c r="AA72" s="1411"/>
      <c r="AB72" s="1411"/>
      <c r="AC72" s="1411"/>
    </row>
    <row r="73" spans="1:29" s="1073" customFormat="1" ht="15">
      <c r="A73" s="1327"/>
      <c r="B73" s="1320">
        <f>B13</f>
        <v>111</v>
      </c>
      <c r="C73" s="1328"/>
      <c r="D73" s="1328"/>
      <c r="E73" s="1328"/>
      <c r="F73" s="1328"/>
      <c r="G73" s="1328"/>
      <c r="H73" s="1329"/>
      <c r="I73" s="1329"/>
      <c r="J73" s="1329"/>
      <c r="K73" s="1329"/>
      <c r="L73" s="1376"/>
      <c r="M73" s="1377"/>
      <c r="N73" s="1378"/>
      <c r="O73" s="1378"/>
      <c r="P73" s="1572"/>
      <c r="Q73" s="1412"/>
      <c r="R73" s="1411"/>
      <c r="S73" s="1411"/>
      <c r="T73" s="1411"/>
      <c r="U73" s="1411"/>
      <c r="V73" s="1411"/>
      <c r="W73" s="1411"/>
      <c r="X73" s="1411"/>
      <c r="Y73" s="1411"/>
      <c r="Z73" s="1411"/>
      <c r="AA73" s="1411"/>
      <c r="AB73" s="1411"/>
      <c r="AC73" s="1411"/>
    </row>
    <row r="74" spans="1:29" s="1073" customFormat="1" ht="15">
      <c r="A74" s="1327"/>
      <c r="B74" s="1322"/>
      <c r="C74" s="963"/>
      <c r="D74" s="963"/>
      <c r="E74" s="963"/>
      <c r="F74" s="963"/>
      <c r="G74" s="963"/>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3" customFormat="1" ht="15">
      <c r="A75" s="1327"/>
      <c r="B75" s="1324">
        <f>B14</f>
        <v>111</v>
      </c>
      <c r="C75" s="1313"/>
      <c r="D75" s="1313"/>
      <c r="E75" s="1313"/>
      <c r="F75" s="1313"/>
      <c r="G75" s="1313"/>
      <c r="H75" s="1331"/>
      <c r="I75" s="1331"/>
      <c r="J75" s="1331"/>
      <c r="K75" s="1331"/>
      <c r="L75" s="1381"/>
      <c r="M75" s="1382"/>
      <c r="N75" s="1378"/>
      <c r="O75" s="1378"/>
      <c r="P75" s="2233"/>
      <c r="Q75" s="1410"/>
      <c r="R75" s="1411"/>
      <c r="S75" s="1411"/>
      <c r="T75" s="1411"/>
      <c r="U75" s="1411"/>
      <c r="V75" s="1411"/>
      <c r="W75" s="1411"/>
      <c r="X75" s="1411"/>
      <c r="Y75" s="1411"/>
      <c r="Z75" s="1411"/>
      <c r="AA75" s="1411"/>
      <c r="AB75" s="1411"/>
      <c r="AC75" s="1411"/>
    </row>
    <row r="76" spans="1:29" s="1073"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6" t="s">
        <v>1354</v>
      </c>
      <c r="B77" s="1317" t="s">
        <v>1355</v>
      </c>
      <c r="C77" s="1336" t="s">
        <v>1396</v>
      </c>
      <c r="D77" s="1336" t="s">
        <v>1397</v>
      </c>
      <c r="E77" s="1336" t="s">
        <v>1398</v>
      </c>
      <c r="F77" s="1336" t="s">
        <v>1399</v>
      </c>
      <c r="G77" s="1336" t="s">
        <v>1400</v>
      </c>
      <c r="H77" s="1337"/>
      <c r="I77" s="1337"/>
      <c r="J77" s="1337"/>
      <c r="K77" s="1385"/>
      <c r="L77" s="1386"/>
      <c r="M77" s="1387"/>
      <c r="N77" s="1365"/>
      <c r="O77" s="1365"/>
      <c r="P77" s="1573"/>
      <c r="Q77" s="1292"/>
      <c r="R77" s="1187"/>
      <c r="S77" s="1187"/>
      <c r="T77" s="1187"/>
      <c r="U77" s="1187"/>
      <c r="V77" s="1187"/>
      <c r="W77" s="1187"/>
      <c r="X77" s="1187"/>
      <c r="Y77" s="1187"/>
      <c r="Z77" s="1187"/>
      <c r="AA77" s="1187"/>
      <c r="AB77" s="1187"/>
      <c r="AC77" s="1187"/>
    </row>
    <row r="78" spans="1:29" ht="15">
      <c r="A78" s="1318"/>
      <c r="B78" s="1322"/>
      <c r="C78" s="1323">
        <v>100</v>
      </c>
      <c r="D78" s="1323">
        <f>C78-$K15</f>
        <v>100</v>
      </c>
      <c r="E78" s="1323">
        <f>D78-$K15</f>
        <v>100</v>
      </c>
      <c r="F78" s="1323">
        <f>E78-$K15</f>
        <v>100</v>
      </c>
      <c r="G78" s="1323">
        <f>F78-$K15</f>
        <v>100</v>
      </c>
      <c r="H78" s="1323"/>
      <c r="I78" s="1323"/>
      <c r="J78" s="1323"/>
      <c r="K78" s="1323"/>
      <c r="L78" s="1323"/>
      <c r="M78" s="1372"/>
      <c r="N78" s="1368"/>
      <c r="O78" s="1368"/>
      <c r="P78" s="1570"/>
      <c r="Q78" s="1292"/>
      <c r="R78" s="1187"/>
      <c r="S78" s="1187"/>
      <c r="T78" s="1187"/>
      <c r="U78" s="1187"/>
      <c r="V78" s="1187"/>
      <c r="W78" s="1187"/>
      <c r="X78" s="1187"/>
      <c r="Y78" s="1187"/>
      <c r="Z78" s="1187"/>
      <c r="AA78" s="1187"/>
      <c r="AB78" s="1187"/>
      <c r="AC78" s="1187"/>
    </row>
    <row r="79" spans="1:29" ht="15">
      <c r="A79" s="1318"/>
      <c r="B79" s="1320" t="s">
        <v>1358</v>
      </c>
      <c r="C79" s="1338" t="s">
        <v>1396</v>
      </c>
      <c r="D79" s="1338" t="s">
        <v>1397</v>
      </c>
      <c r="E79" s="1338" t="s">
        <v>1398</v>
      </c>
      <c r="F79" s="1338" t="s">
        <v>1399</v>
      </c>
      <c r="G79" s="1338" t="s">
        <v>1400</v>
      </c>
      <c r="H79" s="1321"/>
      <c r="I79" s="1321"/>
      <c r="J79" s="1321"/>
      <c r="K79" s="1369"/>
      <c r="L79" s="1370"/>
      <c r="M79" s="1371"/>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C80-$K17</f>
        <v>100</v>
      </c>
      <c r="E80" s="1323">
        <f>D80-$K17</f>
        <v>100</v>
      </c>
      <c r="F80" s="1323">
        <f>E80-$K17</f>
        <v>100</v>
      </c>
      <c r="G80" s="1323">
        <f>F80-$K17</f>
        <v>100</v>
      </c>
      <c r="H80" s="1323"/>
      <c r="I80" s="1323"/>
      <c r="J80" s="1323"/>
      <c r="K80" s="1323"/>
      <c r="L80" s="1323"/>
      <c r="M80" s="1372"/>
      <c r="N80" s="1368"/>
      <c r="O80" s="1368"/>
      <c r="P80" s="1570"/>
      <c r="Q80" s="1292"/>
      <c r="R80" s="1187"/>
      <c r="S80" s="1187"/>
      <c r="T80" s="1187"/>
      <c r="U80" s="1187"/>
      <c r="V80" s="1187"/>
      <c r="W80" s="1187"/>
      <c r="X80" s="1187"/>
      <c r="Y80" s="1187"/>
      <c r="Z80" s="1187"/>
      <c r="AA80" s="1187"/>
      <c r="AB80" s="1187"/>
      <c r="AC80" s="1187"/>
    </row>
    <row r="81" spans="1:29" ht="15">
      <c r="A81" s="1318"/>
      <c r="B81" s="1320" t="s">
        <v>1359</v>
      </c>
      <c r="C81" s="1338" t="s">
        <v>1396</v>
      </c>
      <c r="D81" s="1338" t="s">
        <v>1397</v>
      </c>
      <c r="E81" s="1338" t="s">
        <v>1398</v>
      </c>
      <c r="F81" s="1338" t="s">
        <v>1399</v>
      </c>
      <c r="G81" s="1338" t="s">
        <v>1400</v>
      </c>
      <c r="H81" s="1321"/>
      <c r="I81" s="1321"/>
      <c r="J81" s="1321"/>
      <c r="K81" s="1369"/>
      <c r="L81" s="1370"/>
      <c r="M81" s="1371"/>
      <c r="N81" s="1365"/>
      <c r="O81" s="1365"/>
      <c r="P81" s="1570"/>
      <c r="Q81" s="1292"/>
      <c r="R81" s="1187"/>
      <c r="S81" s="1187"/>
      <c r="T81" s="1187"/>
      <c r="U81" s="1187"/>
      <c r="V81" s="1187"/>
      <c r="W81" s="1187"/>
      <c r="X81" s="1187"/>
      <c r="Y81" s="1187"/>
      <c r="Z81" s="1187"/>
      <c r="AA81" s="1187"/>
      <c r="AB81" s="1187"/>
      <c r="AC81" s="1187"/>
    </row>
    <row r="82" spans="1:29" ht="15">
      <c r="A82" s="1318"/>
      <c r="B82" s="1322"/>
      <c r="C82" s="1323">
        <v>100</v>
      </c>
      <c r="D82" s="1323">
        <f>C82-$K19</f>
        <v>100</v>
      </c>
      <c r="E82" s="1323">
        <f>D82-$K19</f>
        <v>100</v>
      </c>
      <c r="F82" s="1323">
        <f>E82-$K19</f>
        <v>100</v>
      </c>
      <c r="G82" s="1323">
        <f>F82-$K19</f>
        <v>100</v>
      </c>
      <c r="H82" s="1323"/>
      <c r="I82" s="1323"/>
      <c r="J82" s="1323"/>
      <c r="K82" s="1323"/>
      <c r="L82" s="1323"/>
      <c r="M82" s="1372"/>
      <c r="N82" s="1368"/>
      <c r="O82" s="1368"/>
      <c r="P82" s="1570"/>
      <c r="Q82" s="1292"/>
      <c r="R82" s="1187"/>
      <c r="S82" s="1187"/>
      <c r="T82" s="1187"/>
      <c r="U82" s="1187"/>
      <c r="V82" s="1187"/>
      <c r="W82" s="1187"/>
      <c r="X82" s="1187"/>
      <c r="Y82" s="1187"/>
      <c r="Z82" s="1187"/>
      <c r="AA82" s="1187"/>
      <c r="AB82" s="1187"/>
      <c r="AC82" s="1187"/>
    </row>
    <row r="83" spans="1:29" ht="15">
      <c r="A83" s="1318"/>
      <c r="B83" s="1324" t="s">
        <v>1360</v>
      </c>
      <c r="C83" s="1343" t="s">
        <v>1401</v>
      </c>
      <c r="D83" s="1343" t="s">
        <v>1402</v>
      </c>
      <c r="E83" s="1343" t="s">
        <v>1403</v>
      </c>
      <c r="F83" s="1343" t="s">
        <v>1404</v>
      </c>
      <c r="G83" s="1343" t="s">
        <v>1405</v>
      </c>
      <c r="H83" s="1321"/>
      <c r="I83" s="1321"/>
      <c r="J83" s="1321"/>
      <c r="K83" s="1321"/>
      <c r="L83" s="1321"/>
      <c r="M83" s="1516"/>
      <c r="N83" s="1368"/>
      <c r="O83" s="1368"/>
      <c r="P83" s="1570"/>
      <c r="Q83" s="1292"/>
      <c r="R83" s="1187"/>
      <c r="S83" s="1187"/>
      <c r="T83" s="1187"/>
      <c r="U83" s="1187"/>
      <c r="V83" s="1187"/>
      <c r="W83" s="1187"/>
      <c r="X83" s="1187"/>
      <c r="Y83" s="1187"/>
      <c r="Z83" s="1187"/>
      <c r="AA83" s="1187"/>
      <c r="AB83" s="1187"/>
      <c r="AC83" s="1187"/>
    </row>
    <row r="84" spans="1:29" ht="15">
      <c r="A84" s="1318"/>
      <c r="B84" s="1324"/>
      <c r="C84" s="1323">
        <v>100</v>
      </c>
      <c r="D84" s="1323">
        <f>C84-$K21</f>
        <v>100</v>
      </c>
      <c r="E84" s="1323">
        <f>D84-$K21</f>
        <v>100</v>
      </c>
      <c r="F84" s="1323">
        <f>E84-$K21</f>
        <v>100</v>
      </c>
      <c r="G84" s="1323">
        <f>F84-$K21</f>
        <v>100</v>
      </c>
      <c r="H84" s="1343"/>
      <c r="I84" s="1343"/>
      <c r="J84" s="1343"/>
      <c r="K84" s="1343"/>
      <c r="L84" s="1343"/>
      <c r="M84" s="1135"/>
      <c r="N84" s="1368"/>
      <c r="O84" s="1368"/>
      <c r="P84" s="1570"/>
      <c r="Q84" s="1292"/>
      <c r="R84" s="1187"/>
      <c r="S84" s="1187"/>
      <c r="T84" s="1187"/>
      <c r="U84" s="1187"/>
      <c r="V84" s="1187"/>
      <c r="W84" s="1187"/>
      <c r="X84" s="1187"/>
      <c r="Y84" s="1187"/>
      <c r="Z84" s="1187"/>
      <c r="AA84" s="1187"/>
      <c r="AB84" s="1187"/>
      <c r="AC84" s="1187"/>
    </row>
    <row r="85" spans="1:29" ht="15">
      <c r="A85" s="1318"/>
      <c r="B85" s="1320" t="s">
        <v>1361</v>
      </c>
      <c r="C85" s="1338" t="s">
        <v>1396</v>
      </c>
      <c r="D85" s="1338" t="s">
        <v>1397</v>
      </c>
      <c r="E85" s="1338" t="s">
        <v>1398</v>
      </c>
      <c r="F85" s="1338" t="s">
        <v>1399</v>
      </c>
      <c r="G85" s="1338" t="s">
        <v>1400</v>
      </c>
      <c r="H85" s="1321"/>
      <c r="I85" s="1321"/>
      <c r="J85" s="1321"/>
      <c r="K85" s="1369"/>
      <c r="L85" s="1370"/>
      <c r="M85" s="1371"/>
      <c r="N85" s="1365"/>
      <c r="O85" s="1365"/>
      <c r="P85" s="1570"/>
      <c r="Q85" s="1292"/>
      <c r="R85" s="1187"/>
      <c r="S85" s="1187"/>
      <c r="T85" s="1187"/>
      <c r="U85" s="1187"/>
      <c r="V85" s="1187"/>
      <c r="W85" s="1187"/>
      <c r="X85" s="1187"/>
      <c r="Y85" s="1187"/>
      <c r="Z85" s="1187"/>
      <c r="AA85" s="1187"/>
      <c r="AB85" s="1187"/>
      <c r="AC85" s="1187"/>
    </row>
    <row r="86" spans="1:29" ht="15">
      <c r="A86" s="1318"/>
      <c r="B86" s="1322"/>
      <c r="C86" s="1323">
        <v>100</v>
      </c>
      <c r="D86" s="1323">
        <f>C86-$K23</f>
        <v>100</v>
      </c>
      <c r="E86" s="1323">
        <f>D86-$K23</f>
        <v>100</v>
      </c>
      <c r="F86" s="1323">
        <f>E86-$K23</f>
        <v>100</v>
      </c>
      <c r="G86" s="1323">
        <f>F86-$K23</f>
        <v>100</v>
      </c>
      <c r="H86" s="1323"/>
      <c r="I86" s="1323"/>
      <c r="J86" s="1323"/>
      <c r="K86" s="1323"/>
      <c r="L86" s="1323"/>
      <c r="M86" s="1372"/>
      <c r="N86" s="1368"/>
      <c r="O86" s="1368"/>
      <c r="P86" s="1570"/>
      <c r="Q86" s="1292"/>
      <c r="R86" s="1187"/>
      <c r="S86" s="1187"/>
      <c r="T86" s="1187"/>
      <c r="U86" s="1187"/>
      <c r="V86" s="1187"/>
      <c r="W86" s="1187"/>
      <c r="X86" s="1187"/>
      <c r="Y86" s="1187"/>
      <c r="Z86" s="1187"/>
      <c r="AA86" s="1187"/>
      <c r="AB86" s="1187"/>
      <c r="AC86" s="1187"/>
    </row>
    <row r="87" spans="1:29" s="1071" customFormat="1" ht="27">
      <c r="A87" s="1339"/>
      <c r="B87" s="1320" t="s">
        <v>1362</v>
      </c>
      <c r="C87" s="2231" t="s">
        <v>1406</v>
      </c>
      <c r="D87" s="2231" t="s">
        <v>1407</v>
      </c>
      <c r="E87" s="2231" t="s">
        <v>1408</v>
      </c>
      <c r="F87" s="2231" t="s">
        <v>1409</v>
      </c>
      <c r="G87" s="2231" t="s">
        <v>1410</v>
      </c>
      <c r="H87" s="1328"/>
      <c r="I87" s="1328"/>
      <c r="J87" s="1328"/>
      <c r="K87" s="1328"/>
      <c r="L87" s="1517"/>
      <c r="M87" s="1518"/>
      <c r="N87" s="1359"/>
      <c r="O87" s="1359"/>
      <c r="P87" s="1570"/>
      <c r="Q87" s="1292"/>
      <c r="R87" s="1409"/>
      <c r="S87" s="1409"/>
      <c r="T87" s="1409"/>
      <c r="U87" s="1409"/>
      <c r="V87" s="1409"/>
      <c r="W87" s="1409"/>
      <c r="X87" s="1409"/>
      <c r="Y87" s="1409"/>
      <c r="Z87" s="1409"/>
      <c r="AA87" s="1409"/>
      <c r="AB87" s="1409"/>
      <c r="AC87" s="1409"/>
    </row>
    <row r="88" spans="1:29" s="1071" customFormat="1" ht="15">
      <c r="A88" s="1339"/>
      <c r="B88" s="1322"/>
      <c r="C88" s="1340">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8"/>
      <c r="O88" s="1368"/>
      <c r="P88" s="1570"/>
      <c r="Q88" s="1292"/>
      <c r="R88" s="1409"/>
      <c r="S88" s="1409"/>
      <c r="T88" s="1409"/>
      <c r="U88" s="1409"/>
      <c r="V88" s="1409"/>
      <c r="W88" s="1409"/>
      <c r="X88" s="1409"/>
      <c r="Y88" s="1409"/>
      <c r="Z88" s="1409"/>
      <c r="AA88" s="1409"/>
      <c r="AB88" s="1409"/>
      <c r="AC88" s="1409"/>
    </row>
    <row r="89" spans="1:29" s="1071" customFormat="1" ht="15">
      <c r="A89" s="1339"/>
      <c r="B89" s="1320" t="str">
        <f>B27</f>
        <v>楼层</v>
      </c>
      <c r="C89" s="2231" t="s">
        <v>2749</v>
      </c>
      <c r="D89" s="2231" t="s">
        <v>2750</v>
      </c>
      <c r="E89" s="2231" t="s">
        <v>2751</v>
      </c>
      <c r="F89" s="1648"/>
      <c r="G89" s="1328"/>
      <c r="H89" s="1328"/>
      <c r="I89" s="1328"/>
      <c r="J89" s="1328"/>
      <c r="K89" s="1328"/>
      <c r="L89" s="1328"/>
      <c r="M89" s="1518"/>
      <c r="N89" s="1359"/>
      <c r="O89" s="1359"/>
      <c r="P89" s="1570"/>
      <c r="Q89" s="1292"/>
      <c r="R89" s="1409"/>
      <c r="S89" s="1409"/>
      <c r="T89" s="1409"/>
      <c r="U89" s="1409"/>
      <c r="V89" s="1409"/>
      <c r="W89" s="1409"/>
      <c r="X89" s="1409"/>
      <c r="Y89" s="1409"/>
      <c r="Z89" s="1409"/>
      <c r="AA89" s="1409"/>
      <c r="AB89" s="1409"/>
      <c r="AC89" s="1409"/>
    </row>
    <row r="90" spans="1:29" s="1071" customFormat="1" ht="15">
      <c r="A90" s="1339"/>
      <c r="B90" s="1322"/>
      <c r="C90" s="1340">
        <v>100</v>
      </c>
      <c r="D90" s="1323">
        <f>C90-$K27</f>
        <v>97</v>
      </c>
      <c r="E90" s="1323">
        <f t="shared" ref="E90:M90" si="20">D90-$K27</f>
        <v>94</v>
      </c>
      <c r="F90" s="1323">
        <f t="shared" si="20"/>
        <v>91</v>
      </c>
      <c r="G90" s="1323">
        <f t="shared" si="20"/>
        <v>88</v>
      </c>
      <c r="H90" s="1323">
        <f t="shared" si="20"/>
        <v>85</v>
      </c>
      <c r="I90" s="1323">
        <f t="shared" si="20"/>
        <v>82</v>
      </c>
      <c r="J90" s="1323">
        <f t="shared" si="20"/>
        <v>79</v>
      </c>
      <c r="K90" s="1323">
        <f t="shared" si="20"/>
        <v>76</v>
      </c>
      <c r="L90" s="1323">
        <f t="shared" si="20"/>
        <v>73</v>
      </c>
      <c r="M90" s="1323">
        <f t="shared" si="20"/>
        <v>70</v>
      </c>
      <c r="N90" s="1368"/>
      <c r="O90" s="1368"/>
      <c r="P90" s="1570"/>
      <c r="Q90" s="1292"/>
      <c r="R90" s="1409"/>
      <c r="S90" s="1409"/>
      <c r="T90" s="1409"/>
      <c r="U90" s="1409"/>
      <c r="V90" s="1409"/>
      <c r="W90" s="1409"/>
      <c r="X90" s="1409"/>
      <c r="Y90" s="1409"/>
      <c r="Z90" s="1409"/>
      <c r="AA90" s="1409"/>
      <c r="AB90" s="1409"/>
      <c r="AC90" s="1409"/>
    </row>
    <row r="91" spans="1:29" s="1073" customFormat="1" ht="15">
      <c r="A91" s="1327"/>
      <c r="B91" s="1320" t="str">
        <f>B28</f>
        <v>朝向</v>
      </c>
      <c r="C91" s="1328"/>
      <c r="D91" s="1328"/>
      <c r="E91" s="1328"/>
      <c r="F91" s="1328"/>
      <c r="G91" s="1328"/>
      <c r="H91" s="1329"/>
      <c r="I91" s="1329"/>
      <c r="J91" s="1329"/>
      <c r="K91" s="1329"/>
      <c r="L91" s="1376"/>
      <c r="M91" s="1377"/>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1340">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8"/>
      <c r="O92" s="1378"/>
      <c r="P92" s="1571"/>
      <c r="Q92" s="1410"/>
      <c r="R92" s="1411"/>
      <c r="S92" s="1411"/>
      <c r="T92" s="1411"/>
      <c r="U92" s="1411"/>
      <c r="V92" s="1411"/>
      <c r="W92" s="1411"/>
      <c r="X92" s="1411"/>
      <c r="Y92" s="1411"/>
      <c r="Z92" s="1411"/>
      <c r="AA92" s="1411"/>
      <c r="AB92" s="1411"/>
      <c r="AC92" s="1411"/>
    </row>
    <row r="93" spans="1:29" ht="15">
      <c r="A93" s="1318"/>
      <c r="B93" s="1320">
        <f>B29</f>
        <v>111</v>
      </c>
      <c r="C93" s="1328"/>
      <c r="D93" s="1328"/>
      <c r="E93" s="1328"/>
      <c r="F93" s="1328"/>
      <c r="G93" s="1328"/>
      <c r="H93" s="1328"/>
      <c r="I93" s="1328"/>
      <c r="J93" s="1328"/>
      <c r="K93" s="1328"/>
      <c r="L93" s="1517"/>
      <c r="M93" s="1518"/>
      <c r="N93" s="1365"/>
      <c r="O93" s="1365"/>
      <c r="P93" s="1570"/>
      <c r="Q93" s="1292"/>
      <c r="R93" s="1187"/>
      <c r="S93" s="1187"/>
      <c r="T93" s="1187"/>
      <c r="U93" s="1187"/>
      <c r="V93" s="1187"/>
      <c r="W93" s="1187"/>
      <c r="X93" s="1187"/>
      <c r="Y93" s="1187"/>
      <c r="Z93" s="1187"/>
      <c r="AA93" s="1187"/>
      <c r="AB93" s="1187"/>
      <c r="AC93" s="1187"/>
    </row>
    <row r="94" spans="1:29" ht="15">
      <c r="A94" s="1318"/>
      <c r="B94" s="1322"/>
      <c r="C94" s="963"/>
      <c r="D94" s="964"/>
      <c r="E94" s="964"/>
      <c r="F94" s="964"/>
      <c r="G94" s="964"/>
      <c r="H94" s="964"/>
      <c r="I94" s="964"/>
      <c r="J94" s="964"/>
      <c r="K94" s="964"/>
      <c r="L94" s="964"/>
      <c r="M94" s="1367"/>
      <c r="N94" s="1368"/>
      <c r="O94" s="1368"/>
      <c r="P94" s="1570"/>
      <c r="Q94" s="1292"/>
      <c r="R94" s="1187"/>
      <c r="S94" s="1187"/>
      <c r="T94" s="1187"/>
      <c r="U94" s="1187"/>
      <c r="V94" s="1187"/>
      <c r="W94" s="1187"/>
      <c r="X94" s="1187"/>
      <c r="Y94" s="1187"/>
      <c r="Z94" s="1187"/>
      <c r="AA94" s="1187"/>
      <c r="AB94" s="1187"/>
      <c r="AC94" s="1187"/>
    </row>
    <row r="95" spans="1:29" ht="15">
      <c r="A95" s="1318"/>
      <c r="B95" s="1320">
        <f>B30</f>
        <v>111</v>
      </c>
      <c r="C95" s="1328"/>
      <c r="D95" s="1328"/>
      <c r="E95" s="1328"/>
      <c r="F95" s="1328"/>
      <c r="G95" s="1344"/>
      <c r="H95" s="1344"/>
      <c r="I95" s="1344"/>
      <c r="J95" s="1344"/>
      <c r="K95" s="1395"/>
      <c r="L95" s="1396"/>
      <c r="M95" s="1397"/>
      <c r="N95" s="1365"/>
      <c r="O95" s="1365"/>
      <c r="P95" s="1570"/>
      <c r="Q95" s="1292"/>
      <c r="R95" s="1187"/>
      <c r="S95" s="1187"/>
      <c r="T95" s="1187"/>
      <c r="U95" s="1187"/>
      <c r="V95" s="1187"/>
      <c r="W95" s="1187"/>
      <c r="X95" s="1187"/>
      <c r="Y95" s="1187"/>
      <c r="Z95" s="1187"/>
      <c r="AA95" s="1187"/>
      <c r="AB95" s="1187"/>
      <c r="AC95" s="1187"/>
    </row>
    <row r="96" spans="1:29" ht="15">
      <c r="A96" s="1318"/>
      <c r="B96" s="1322"/>
      <c r="C96" s="963"/>
      <c r="D96" s="963"/>
      <c r="E96" s="963"/>
      <c r="F96" s="963"/>
      <c r="G96" s="964"/>
      <c r="H96" s="964"/>
      <c r="I96" s="964"/>
      <c r="J96" s="964"/>
      <c r="K96" s="964"/>
      <c r="L96" s="964"/>
      <c r="M96" s="1367"/>
      <c r="N96" s="1368"/>
      <c r="O96" s="1368"/>
      <c r="P96" s="1570"/>
      <c r="Q96" s="1292"/>
      <c r="R96" s="1187"/>
      <c r="S96" s="1187"/>
      <c r="T96" s="1187"/>
      <c r="U96" s="1187"/>
      <c r="V96" s="1187"/>
      <c r="W96" s="1187"/>
      <c r="X96" s="1187"/>
      <c r="Y96" s="1187"/>
      <c r="Z96" s="1187"/>
      <c r="AA96" s="1187"/>
      <c r="AB96" s="1187"/>
      <c r="AC96" s="1187"/>
    </row>
    <row r="97" spans="1:29" ht="15">
      <c r="A97" s="1318"/>
      <c r="B97" s="1320">
        <f>B31</f>
        <v>111</v>
      </c>
      <c r="C97" s="1328"/>
      <c r="D97" s="1328"/>
      <c r="E97" s="1328"/>
      <c r="F97" s="1328"/>
      <c r="G97" s="1344"/>
      <c r="H97" s="1344"/>
      <c r="I97" s="1344"/>
      <c r="J97" s="1344"/>
      <c r="K97" s="1395"/>
      <c r="L97" s="1396"/>
      <c r="M97" s="1397"/>
      <c r="N97" s="1365"/>
      <c r="O97" s="1365"/>
      <c r="P97" s="1570"/>
      <c r="Q97" s="1292"/>
      <c r="R97" s="1187"/>
      <c r="S97" s="1187"/>
      <c r="T97" s="1187"/>
      <c r="U97" s="1187"/>
      <c r="V97" s="1187"/>
      <c r="W97" s="1187"/>
      <c r="X97" s="1187"/>
      <c r="Y97" s="1187"/>
      <c r="Z97" s="1187"/>
      <c r="AA97" s="1187"/>
      <c r="AB97" s="1187"/>
      <c r="AC97" s="1187"/>
    </row>
    <row r="98" spans="1:29" ht="15">
      <c r="A98" s="1318"/>
      <c r="B98" s="1322"/>
      <c r="C98" s="963"/>
      <c r="D98" s="964"/>
      <c r="E98" s="964"/>
      <c r="F98" s="964"/>
      <c r="G98" s="964"/>
      <c r="H98" s="964"/>
      <c r="I98" s="964"/>
      <c r="J98" s="964"/>
      <c r="K98" s="964"/>
      <c r="L98" s="964"/>
      <c r="M98" s="1367"/>
      <c r="N98" s="1368"/>
      <c r="O98" s="1368"/>
      <c r="P98" s="1570"/>
      <c r="Q98" s="1292"/>
      <c r="R98" s="1187"/>
      <c r="S98" s="1187"/>
      <c r="T98" s="1187"/>
      <c r="U98" s="1187"/>
      <c r="V98" s="1187"/>
      <c r="W98" s="1187"/>
      <c r="X98" s="1187"/>
      <c r="Y98" s="1187"/>
      <c r="Z98" s="1187"/>
      <c r="AA98" s="1187"/>
      <c r="AB98" s="1187"/>
      <c r="AC98" s="1187"/>
    </row>
    <row r="99" spans="1:29" ht="15">
      <c r="A99" s="1318"/>
      <c r="B99" s="1324">
        <f>B32</f>
        <v>111</v>
      </c>
      <c r="C99" s="1313"/>
      <c r="D99" s="1313"/>
      <c r="E99" s="1313"/>
      <c r="F99" s="1313"/>
      <c r="G99" s="1345"/>
      <c r="H99" s="1345"/>
      <c r="I99" s="1345"/>
      <c r="J99" s="1345"/>
      <c r="K99" s="1398"/>
      <c r="L99" s="1399"/>
      <c r="M99" s="1400"/>
      <c r="N99" s="1365"/>
      <c r="O99" s="1365"/>
      <c r="P99" s="1570"/>
      <c r="Q99" s="1292"/>
      <c r="R99" s="1187"/>
      <c r="S99" s="1187"/>
      <c r="T99" s="1187"/>
      <c r="U99" s="1187"/>
      <c r="V99" s="1187"/>
      <c r="W99" s="1187"/>
      <c r="X99" s="1187"/>
      <c r="Y99" s="1187"/>
      <c r="Z99" s="1187"/>
      <c r="AA99" s="1187"/>
      <c r="AB99" s="1187"/>
      <c r="AC99" s="1187"/>
    </row>
    <row r="100" spans="1:29" ht="15">
      <c r="A100" s="1618"/>
      <c r="B100" s="1333"/>
      <c r="C100" s="1334"/>
      <c r="D100" s="1334"/>
      <c r="E100" s="1334"/>
      <c r="F100" s="1334"/>
      <c r="G100" s="1346"/>
      <c r="H100" s="1346"/>
      <c r="I100" s="1346"/>
      <c r="J100" s="1346"/>
      <c r="K100" s="1346"/>
      <c r="L100" s="1346"/>
      <c r="M100" s="1401"/>
      <c r="N100" s="1368"/>
      <c r="O100" s="1368"/>
      <c r="P100" s="1570"/>
      <c r="Q100" s="1292"/>
      <c r="R100" s="1187"/>
      <c r="S100" s="1187"/>
      <c r="T100" s="1187"/>
      <c r="U100" s="1187"/>
      <c r="V100" s="1187"/>
      <c r="W100" s="1187"/>
      <c r="X100" s="1187"/>
      <c r="Y100" s="1187"/>
      <c r="Z100" s="1187"/>
      <c r="AA100" s="1187"/>
      <c r="AB100" s="1187"/>
      <c r="AC100" s="1187"/>
    </row>
    <row r="101" spans="1:29">
      <c r="A101" s="1316" t="s">
        <v>1367</v>
      </c>
      <c r="B101" s="1317" t="s">
        <v>1368</v>
      </c>
      <c r="C101" s="2232" t="s">
        <v>2754</v>
      </c>
      <c r="D101" s="1260"/>
      <c r="E101" s="1260"/>
      <c r="F101" s="1260"/>
      <c r="G101" s="1260"/>
      <c r="H101" s="1260"/>
      <c r="I101" s="1260"/>
      <c r="J101" s="1260"/>
      <c r="K101" s="1362"/>
      <c r="L101" s="1363"/>
      <c r="M101" s="1364"/>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1323">
        <v>100</v>
      </c>
      <c r="D102" s="1323">
        <f t="shared" ref="D102:M102" si="22">C102-$K33</f>
        <v>99</v>
      </c>
      <c r="E102" s="1323">
        <f t="shared" si="22"/>
        <v>98</v>
      </c>
      <c r="F102" s="1323">
        <f t="shared" si="22"/>
        <v>97</v>
      </c>
      <c r="G102" s="1323">
        <f t="shared" si="22"/>
        <v>96</v>
      </c>
      <c r="H102" s="1323">
        <f t="shared" si="22"/>
        <v>95</v>
      </c>
      <c r="I102" s="1323">
        <f t="shared" si="22"/>
        <v>94</v>
      </c>
      <c r="J102" s="1323">
        <f t="shared" si="22"/>
        <v>93</v>
      </c>
      <c r="K102" s="1323">
        <f t="shared" si="22"/>
        <v>92</v>
      </c>
      <c r="L102" s="1323">
        <f t="shared" si="22"/>
        <v>91</v>
      </c>
      <c r="M102" s="1372">
        <f t="shared" si="22"/>
        <v>90</v>
      </c>
      <c r="N102" s="1368"/>
      <c r="O102" s="1368"/>
      <c r="P102" s="1570"/>
      <c r="Q102" s="1292"/>
      <c r="R102" s="1187"/>
      <c r="S102" s="1187"/>
      <c r="T102" s="1187"/>
      <c r="U102" s="1187"/>
      <c r="V102" s="1187"/>
      <c r="W102" s="1187"/>
      <c r="X102" s="1187"/>
      <c r="Y102" s="1187"/>
      <c r="Z102" s="1187"/>
      <c r="AA102" s="1187"/>
      <c r="AB102" s="1187"/>
      <c r="AC102" s="1187"/>
    </row>
    <row r="103" spans="1:29" ht="15">
      <c r="A103" s="1318"/>
      <c r="B103" s="1320" t="s">
        <v>1370</v>
      </c>
      <c r="C103" s="1338" t="str">
        <f>C104&amp;"(含)"&amp;"-"&amp;D104</f>
        <v>0(含)-100</v>
      </c>
      <c r="D103" s="1338" t="str">
        <f t="shared" ref="D103:L103" si="23">D104&amp;"(含)"&amp;"-"&amp;E104</f>
        <v>100(含)-300</v>
      </c>
      <c r="E103" s="1338" t="str">
        <f t="shared" si="23"/>
        <v>300(含)-500</v>
      </c>
      <c r="F103" s="1338" t="str">
        <f t="shared" si="23"/>
        <v>500(含)-700</v>
      </c>
      <c r="G103" s="1338" t="str">
        <f t="shared" si="23"/>
        <v>700(含)-900</v>
      </c>
      <c r="H103" s="1338" t="str">
        <f t="shared" si="23"/>
        <v>900(含)-</v>
      </c>
      <c r="I103" s="1338" t="str">
        <f t="shared" si="23"/>
        <v>(含)-</v>
      </c>
      <c r="J103" s="1338" t="str">
        <f t="shared" si="23"/>
        <v>(含)-</v>
      </c>
      <c r="K103" s="1338" t="str">
        <f t="shared" si="23"/>
        <v>(含)-</v>
      </c>
      <c r="L103" s="1338" t="str">
        <f t="shared" si="23"/>
        <v>(含)-</v>
      </c>
      <c r="M103" s="1390" t="str">
        <f>M104&amp;"(含)"&amp;"-"&amp;P104</f>
        <v>(含)-</v>
      </c>
      <c r="N103" s="1359"/>
      <c r="O103" s="1359"/>
      <c r="P103" s="1570"/>
      <c r="Q103" s="1292"/>
      <c r="R103" s="1187"/>
      <c r="S103" s="1187"/>
      <c r="T103" s="1187"/>
      <c r="U103" s="1187"/>
      <c r="V103" s="1187"/>
      <c r="W103" s="1187"/>
      <c r="X103" s="1187"/>
      <c r="Y103" s="1187"/>
      <c r="Z103" s="1187"/>
      <c r="AA103" s="1187"/>
      <c r="AB103" s="1187"/>
      <c r="AC103" s="1187"/>
    </row>
    <row r="104" spans="1:29" s="1073" customFormat="1">
      <c r="A104" s="1347"/>
      <c r="B104" s="1348"/>
      <c r="C104" s="959">
        <v>0</v>
      </c>
      <c r="D104" s="959">
        <v>100</v>
      </c>
      <c r="E104" s="959">
        <v>300</v>
      </c>
      <c r="F104" s="959">
        <v>500</v>
      </c>
      <c r="G104" s="959">
        <v>700</v>
      </c>
      <c r="H104" s="959">
        <v>900</v>
      </c>
      <c r="I104" s="959"/>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3" customFormat="1" ht="15">
      <c r="A105" s="1327"/>
      <c r="B105" s="1322"/>
      <c r="C105" s="964">
        <f>D105-1</f>
        <v>98</v>
      </c>
      <c r="D105" s="964">
        <f>E105-1</f>
        <v>99</v>
      </c>
      <c r="E105" s="964">
        <v>100</v>
      </c>
      <c r="F105" s="964">
        <f>E105-1</f>
        <v>99</v>
      </c>
      <c r="G105" s="964">
        <f t="shared" ref="G105:H105" si="24">F105-1</f>
        <v>98</v>
      </c>
      <c r="H105" s="964">
        <f t="shared" si="24"/>
        <v>97</v>
      </c>
      <c r="I105" s="964"/>
      <c r="J105" s="964"/>
      <c r="K105" s="964"/>
      <c r="L105" s="964"/>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20" t="s">
        <v>1371</v>
      </c>
      <c r="C106" s="2231" t="s">
        <v>1372</v>
      </c>
      <c r="D106" s="1328"/>
      <c r="E106" s="1344"/>
      <c r="F106" s="1344"/>
      <c r="G106" s="1344"/>
      <c r="H106" s="1344"/>
      <c r="I106" s="1344"/>
      <c r="J106" s="1344"/>
      <c r="K106" s="1395"/>
      <c r="L106" s="1396"/>
      <c r="M106" s="1397"/>
      <c r="N106" s="1365"/>
      <c r="O106" s="1365"/>
      <c r="P106" s="1570"/>
      <c r="Q106" s="1292"/>
      <c r="R106" s="1187"/>
      <c r="S106" s="1187"/>
      <c r="T106" s="1187"/>
      <c r="U106" s="1187"/>
      <c r="V106" s="1187"/>
      <c r="W106" s="1187"/>
      <c r="X106" s="1187"/>
      <c r="Y106" s="1187"/>
      <c r="Z106" s="1187"/>
      <c r="AA106" s="1187"/>
      <c r="AB106" s="1187"/>
      <c r="AC106" s="1187"/>
    </row>
    <row r="107" spans="1:29" ht="15">
      <c r="A107" s="1318"/>
      <c r="B107" s="1322"/>
      <c r="C107" s="1323">
        <v>100</v>
      </c>
      <c r="D107" s="1323">
        <f t="shared" ref="D107:M107" si="25">C107-$K35</f>
        <v>99</v>
      </c>
      <c r="E107" s="1323">
        <f t="shared" si="25"/>
        <v>98</v>
      </c>
      <c r="F107" s="1323">
        <f t="shared" si="25"/>
        <v>97</v>
      </c>
      <c r="G107" s="1323">
        <f t="shared" si="25"/>
        <v>96</v>
      </c>
      <c r="H107" s="1323">
        <f t="shared" si="25"/>
        <v>95</v>
      </c>
      <c r="I107" s="1323">
        <f t="shared" si="25"/>
        <v>94</v>
      </c>
      <c r="J107" s="1323">
        <f t="shared" si="25"/>
        <v>93</v>
      </c>
      <c r="K107" s="1323">
        <f t="shared" si="25"/>
        <v>92</v>
      </c>
      <c r="L107" s="1323">
        <f t="shared" si="25"/>
        <v>91</v>
      </c>
      <c r="M107" s="1372">
        <f t="shared" si="25"/>
        <v>90</v>
      </c>
      <c r="N107" s="1368"/>
      <c r="O107" s="1368"/>
      <c r="P107" s="1570"/>
      <c r="Q107" s="1292"/>
      <c r="R107" s="1187"/>
      <c r="S107" s="1187"/>
      <c r="T107" s="1187"/>
      <c r="U107" s="1187"/>
      <c r="V107" s="1187"/>
      <c r="W107" s="1187"/>
      <c r="X107" s="1187"/>
      <c r="Y107" s="1187"/>
      <c r="Z107" s="1187"/>
      <c r="AA107" s="1187"/>
      <c r="AB107" s="1187"/>
      <c r="AC107" s="1187"/>
    </row>
    <row r="108" spans="1:29">
      <c r="A108" s="1350"/>
      <c r="B108" s="1320" t="s">
        <v>1373</v>
      </c>
      <c r="C108" s="2231" t="s">
        <v>1374</v>
      </c>
      <c r="D108" s="1328"/>
      <c r="E108" s="1328"/>
      <c r="F108" s="1344"/>
      <c r="G108" s="1344"/>
      <c r="H108" s="1344"/>
      <c r="I108" s="1344"/>
      <c r="J108" s="1344"/>
      <c r="K108" s="1395"/>
      <c r="L108" s="1396"/>
      <c r="M108" s="1397"/>
      <c r="N108" s="1365"/>
      <c r="O108" s="1365"/>
      <c r="P108" s="1570"/>
      <c r="Q108" s="1292"/>
      <c r="R108" s="1187"/>
      <c r="S108" s="1187"/>
      <c r="T108" s="1187"/>
      <c r="U108" s="1187"/>
      <c r="V108" s="1187"/>
      <c r="W108" s="1187"/>
      <c r="X108" s="1187"/>
      <c r="Y108" s="1187"/>
      <c r="Z108" s="1187"/>
      <c r="AA108" s="1187"/>
      <c r="AB108" s="1187"/>
      <c r="AC108" s="1187"/>
    </row>
    <row r="109" spans="1:29" ht="15">
      <c r="A109" s="1318"/>
      <c r="B109" s="1322"/>
      <c r="C109" s="1323">
        <v>100</v>
      </c>
      <c r="D109" s="1323">
        <f t="shared" ref="D109:M109" si="26">C109-$K36</f>
        <v>99</v>
      </c>
      <c r="E109" s="1323">
        <f t="shared" si="26"/>
        <v>98</v>
      </c>
      <c r="F109" s="1323">
        <f t="shared" si="26"/>
        <v>97</v>
      </c>
      <c r="G109" s="1323">
        <f t="shared" si="26"/>
        <v>96</v>
      </c>
      <c r="H109" s="1323">
        <f t="shared" si="26"/>
        <v>95</v>
      </c>
      <c r="I109" s="1323">
        <f t="shared" si="26"/>
        <v>94</v>
      </c>
      <c r="J109" s="1323">
        <f t="shared" si="26"/>
        <v>93</v>
      </c>
      <c r="K109" s="1323">
        <f t="shared" si="26"/>
        <v>92</v>
      </c>
      <c r="L109" s="1323">
        <f t="shared" si="26"/>
        <v>91</v>
      </c>
      <c r="M109" s="1372">
        <f t="shared" si="26"/>
        <v>90</v>
      </c>
      <c r="N109" s="1368"/>
      <c r="O109" s="1368"/>
      <c r="P109" s="1570"/>
      <c r="Q109" s="1292"/>
      <c r="R109" s="1187"/>
      <c r="S109" s="1187"/>
      <c r="T109" s="1187"/>
      <c r="U109" s="1187"/>
      <c r="V109" s="1187"/>
      <c r="W109" s="1187"/>
      <c r="X109" s="1187"/>
      <c r="Y109" s="1187"/>
      <c r="Z109" s="1187"/>
      <c r="AA109" s="1187"/>
      <c r="AB109" s="1187"/>
      <c r="AC109" s="1187"/>
    </row>
    <row r="110" spans="1:29">
      <c r="A110" s="1350"/>
      <c r="B110" s="1320"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92"/>
      <c r="R110" s="1187"/>
      <c r="S110" s="1187"/>
      <c r="T110" s="1187"/>
      <c r="U110" s="1187"/>
      <c r="V110" s="1187"/>
      <c r="W110" s="1187"/>
      <c r="X110" s="1187"/>
      <c r="Y110" s="1187"/>
      <c r="Z110" s="1187"/>
      <c r="AA110" s="1187"/>
      <c r="AB110" s="1187"/>
      <c r="AC110" s="1187"/>
    </row>
    <row r="111" spans="1:29">
      <c r="A111" s="1350"/>
      <c r="B111" s="1324"/>
      <c r="C111" s="841">
        <v>0.5</v>
      </c>
      <c r="D111" s="841">
        <v>0.6</v>
      </c>
      <c r="E111" s="841">
        <v>0.7</v>
      </c>
      <c r="F111" s="841">
        <v>0.8</v>
      </c>
      <c r="G111" s="841">
        <v>0.9</v>
      </c>
      <c r="H111" s="841">
        <v>1.0001</v>
      </c>
      <c r="I111" s="1578"/>
      <c r="J111" s="1578"/>
      <c r="K111" s="1579"/>
      <c r="L111" s="1580"/>
      <c r="M111" s="1581"/>
      <c r="N111" s="1365"/>
      <c r="O111" s="1365"/>
      <c r="P111" s="1570"/>
      <c r="Q111" s="1292"/>
      <c r="R111" s="1187"/>
      <c r="S111" s="1187"/>
      <c r="T111" s="1187"/>
      <c r="U111" s="1187"/>
      <c r="V111" s="1187"/>
      <c r="W111" s="1187"/>
      <c r="X111" s="1187"/>
      <c r="Y111" s="1187"/>
      <c r="Z111" s="1187"/>
      <c r="AA111" s="1187"/>
      <c r="AB111" s="1187"/>
      <c r="AC111" s="1187"/>
    </row>
    <row r="112" spans="1:29" ht="15">
      <c r="A112" s="1318"/>
      <c r="B112" s="1322"/>
      <c r="C112" s="1340">
        <v>100</v>
      </c>
      <c r="D112" s="1323">
        <f>C112+$K37</f>
        <v>101</v>
      </c>
      <c r="E112" s="1323">
        <f t="shared" ref="E112:M112" si="27">D112+$K37</f>
        <v>102</v>
      </c>
      <c r="F112" s="1323">
        <f t="shared" si="27"/>
        <v>103</v>
      </c>
      <c r="G112" s="1323">
        <f t="shared" si="27"/>
        <v>104</v>
      </c>
      <c r="H112" s="1323">
        <f t="shared" si="27"/>
        <v>105</v>
      </c>
      <c r="I112" s="1323">
        <f t="shared" si="27"/>
        <v>106</v>
      </c>
      <c r="J112" s="1323">
        <f t="shared" si="27"/>
        <v>107</v>
      </c>
      <c r="K112" s="1323">
        <f t="shared" si="27"/>
        <v>108</v>
      </c>
      <c r="L112" s="1323">
        <f t="shared" si="27"/>
        <v>109</v>
      </c>
      <c r="M112" s="1323">
        <f t="shared" si="27"/>
        <v>110</v>
      </c>
      <c r="N112" s="1368"/>
      <c r="O112" s="1368"/>
      <c r="P112" s="1570"/>
      <c r="Q112" s="1292"/>
      <c r="R112" s="1187"/>
      <c r="S112" s="1187"/>
      <c r="T112" s="1187"/>
      <c r="U112" s="1187"/>
      <c r="V112" s="1187"/>
      <c r="W112" s="1187"/>
      <c r="X112" s="1187"/>
      <c r="Y112" s="1187"/>
      <c r="Z112" s="1187"/>
      <c r="AA112" s="1187"/>
      <c r="AB112" s="1187"/>
      <c r="AC112" s="1187"/>
    </row>
    <row r="113" spans="1:29" s="1073" customFormat="1">
      <c r="A113" s="1347"/>
      <c r="B113" s="1320" t="s">
        <v>1375</v>
      </c>
      <c r="C113" s="2231" t="s">
        <v>1376</v>
      </c>
      <c r="D113" s="1328"/>
      <c r="E113" s="1328"/>
      <c r="F113" s="1328"/>
      <c r="G113" s="1328"/>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3" customFormat="1" ht="15">
      <c r="A114" s="1327"/>
      <c r="B114" s="1322"/>
      <c r="C114" s="1323">
        <v>100</v>
      </c>
      <c r="D114" s="1323">
        <f>C114-$K38</f>
        <v>99</v>
      </c>
      <c r="E114" s="1323">
        <f t="shared" ref="E114:M114" si="28">D114-$K38</f>
        <v>98</v>
      </c>
      <c r="F114" s="1323">
        <f t="shared" si="28"/>
        <v>97</v>
      </c>
      <c r="G114" s="1323">
        <f t="shared" si="28"/>
        <v>96</v>
      </c>
      <c r="H114" s="1323">
        <f t="shared" si="28"/>
        <v>95</v>
      </c>
      <c r="I114" s="1323">
        <f t="shared" si="28"/>
        <v>94</v>
      </c>
      <c r="J114" s="1323">
        <f t="shared" si="28"/>
        <v>93</v>
      </c>
      <c r="K114" s="1323">
        <f t="shared" si="28"/>
        <v>92</v>
      </c>
      <c r="L114" s="1323">
        <f t="shared" si="28"/>
        <v>91</v>
      </c>
      <c r="M114" s="1323">
        <f t="shared" si="28"/>
        <v>90</v>
      </c>
      <c r="N114" s="1378"/>
      <c r="O114" s="1378"/>
      <c r="P114" s="1571"/>
      <c r="Q114" s="1410"/>
      <c r="R114" s="1411"/>
      <c r="S114" s="1411"/>
      <c r="T114" s="1411"/>
      <c r="U114" s="1411"/>
      <c r="V114" s="1411"/>
      <c r="W114" s="1411"/>
      <c r="X114" s="1411"/>
      <c r="Y114" s="1411"/>
      <c r="Z114" s="1411"/>
      <c r="AA114" s="1411"/>
      <c r="AB114" s="1411"/>
      <c r="AC114" s="1411"/>
    </row>
    <row r="115" spans="1:29">
      <c r="A115" s="1350"/>
      <c r="B115" s="1320" t="s">
        <v>1377</v>
      </c>
      <c r="C115" s="2231" t="s">
        <v>1378</v>
      </c>
      <c r="D115" s="1328"/>
      <c r="E115" s="1344"/>
      <c r="F115" s="1344"/>
      <c r="G115" s="1344"/>
      <c r="H115" s="1344"/>
      <c r="I115" s="1344"/>
      <c r="J115" s="1344"/>
      <c r="K115" s="1395"/>
      <c r="L115" s="1396"/>
      <c r="M115" s="1397"/>
      <c r="N115" s="1365"/>
      <c r="O115" s="1365"/>
      <c r="P115" s="1570"/>
      <c r="Q115" s="1292"/>
      <c r="R115" s="1187"/>
      <c r="S115" s="1187"/>
      <c r="T115" s="1187"/>
      <c r="U115" s="1187"/>
      <c r="V115" s="1187"/>
      <c r="W115" s="1187"/>
      <c r="X115" s="1187"/>
      <c r="Y115" s="1187"/>
      <c r="Z115" s="1187"/>
      <c r="AA115" s="1187"/>
      <c r="AB115" s="1187"/>
      <c r="AC115" s="1187"/>
    </row>
    <row r="116" spans="1:29" ht="15">
      <c r="A116" s="1318"/>
      <c r="B116" s="1322"/>
      <c r="C116" s="1323">
        <v>100</v>
      </c>
      <c r="D116" s="1323">
        <f t="shared" ref="D116:M116" si="29">C116-$K39</f>
        <v>99</v>
      </c>
      <c r="E116" s="1323">
        <f t="shared" si="29"/>
        <v>98</v>
      </c>
      <c r="F116" s="1323">
        <f t="shared" si="29"/>
        <v>97</v>
      </c>
      <c r="G116" s="1323">
        <f t="shared" si="29"/>
        <v>96</v>
      </c>
      <c r="H116" s="1323">
        <f t="shared" si="29"/>
        <v>95</v>
      </c>
      <c r="I116" s="1323">
        <f t="shared" si="29"/>
        <v>94</v>
      </c>
      <c r="J116" s="1323">
        <f t="shared" si="29"/>
        <v>93</v>
      </c>
      <c r="K116" s="1323">
        <f t="shared" si="29"/>
        <v>92</v>
      </c>
      <c r="L116" s="1323">
        <f t="shared" si="29"/>
        <v>91</v>
      </c>
      <c r="M116" s="1372">
        <f t="shared" si="29"/>
        <v>90</v>
      </c>
      <c r="N116" s="1368"/>
      <c r="O116" s="1368"/>
      <c r="P116" s="1570"/>
      <c r="Q116" s="1292"/>
      <c r="R116" s="1187"/>
      <c r="S116" s="1187"/>
      <c r="T116" s="1187"/>
      <c r="U116" s="1187"/>
      <c r="V116" s="1187"/>
      <c r="W116" s="1187"/>
      <c r="X116" s="1187"/>
      <c r="Y116" s="1187"/>
      <c r="Z116" s="1187"/>
      <c r="AA116" s="1187"/>
      <c r="AB116" s="1187"/>
      <c r="AC116" s="1187"/>
    </row>
    <row r="117" spans="1:29">
      <c r="A117" s="1350"/>
      <c r="B117" s="1320" t="s">
        <v>1379</v>
      </c>
      <c r="C117" s="2231" t="s">
        <v>236</v>
      </c>
      <c r="D117" s="1328" t="s">
        <v>246</v>
      </c>
      <c r="E117" s="1328" t="s">
        <v>255</v>
      </c>
      <c r="F117" s="1328" t="s">
        <v>263</v>
      </c>
      <c r="G117" s="1328" t="s">
        <v>270</v>
      </c>
      <c r="H117" s="1344"/>
      <c r="I117" s="1344"/>
      <c r="J117" s="1344"/>
      <c r="K117" s="1395"/>
      <c r="L117" s="1396"/>
      <c r="M117" s="1397"/>
      <c r="N117" s="1365"/>
      <c r="O117" s="1365"/>
      <c r="P117" s="1570"/>
      <c r="Q117" s="1292"/>
      <c r="R117" s="1187"/>
      <c r="S117" s="1187"/>
      <c r="T117" s="1187"/>
      <c r="U117" s="1187"/>
      <c r="V117" s="1187"/>
      <c r="W117" s="1187"/>
      <c r="X117" s="1187"/>
      <c r="Y117" s="1187"/>
      <c r="Z117" s="1187"/>
      <c r="AA117" s="1187"/>
      <c r="AB117" s="1187"/>
      <c r="AC117" s="1187"/>
    </row>
    <row r="118" spans="1:29" ht="15">
      <c r="A118" s="1318"/>
      <c r="B118" s="1322"/>
      <c r="C118" s="1323">
        <v>100</v>
      </c>
      <c r="D118" s="1323">
        <f>C118-$K40</f>
        <v>100</v>
      </c>
      <c r="E118" s="1323">
        <f>D118-$K40</f>
        <v>100</v>
      </c>
      <c r="F118" s="1323">
        <f>E118-$K40</f>
        <v>100</v>
      </c>
      <c r="G118" s="1323">
        <f>F118-$K40</f>
        <v>100</v>
      </c>
      <c r="H118" s="1323"/>
      <c r="I118" s="1323"/>
      <c r="J118" s="1323"/>
      <c r="K118" s="1323"/>
      <c r="L118" s="1323"/>
      <c r="M118" s="1372"/>
      <c r="N118" s="1368"/>
      <c r="O118" s="1368"/>
      <c r="P118" s="1570"/>
      <c r="Q118" s="1292"/>
      <c r="R118" s="1187"/>
      <c r="S118" s="1187"/>
      <c r="T118" s="1187"/>
      <c r="U118" s="1187"/>
      <c r="V118" s="1187"/>
      <c r="W118" s="1187"/>
      <c r="X118" s="1187"/>
      <c r="Y118" s="1187"/>
      <c r="Z118" s="1187"/>
      <c r="AA118" s="1187"/>
      <c r="AB118" s="1187"/>
      <c r="AC118" s="1187"/>
    </row>
    <row r="119" spans="1:29">
      <c r="A119" s="1350"/>
      <c r="B119" s="1514" t="s">
        <v>1412</v>
      </c>
      <c r="C119" s="1344"/>
      <c r="D119" s="1344"/>
      <c r="E119" s="1344"/>
      <c r="F119" s="1344"/>
      <c r="G119" s="1344"/>
      <c r="H119" s="1344"/>
      <c r="I119" s="1344"/>
      <c r="J119" s="1344"/>
      <c r="K119" s="1344"/>
      <c r="L119" s="2234"/>
      <c r="M119" s="2235"/>
      <c r="N119" s="1368"/>
      <c r="O119" s="1368"/>
      <c r="P119" s="1582"/>
      <c r="Q119" s="1525"/>
      <c r="R119" s="1187"/>
      <c r="S119" s="1187"/>
      <c r="T119" s="1187"/>
      <c r="U119" s="1187"/>
      <c r="V119" s="1187"/>
      <c r="W119" s="1187"/>
      <c r="X119" s="1187"/>
      <c r="Y119" s="1187"/>
      <c r="Z119" s="1187"/>
      <c r="AA119" s="1187"/>
      <c r="AB119" s="1187"/>
      <c r="AC119" s="1187"/>
    </row>
    <row r="120" spans="1:29" ht="15">
      <c r="A120" s="1318"/>
      <c r="B120" s="1322"/>
      <c r="C120" s="1340">
        <v>100</v>
      </c>
      <c r="D120" s="1323">
        <f>C120-$K41</f>
        <v>100</v>
      </c>
      <c r="E120" s="1323">
        <f t="shared" ref="E120:M120" si="30">D120-$K41</f>
        <v>100</v>
      </c>
      <c r="F120" s="1323">
        <f t="shared" si="30"/>
        <v>100</v>
      </c>
      <c r="G120" s="1323">
        <f t="shared" si="30"/>
        <v>100</v>
      </c>
      <c r="H120" s="1323">
        <f t="shared" si="30"/>
        <v>100</v>
      </c>
      <c r="I120" s="1323">
        <f t="shared" si="30"/>
        <v>100</v>
      </c>
      <c r="J120" s="1323">
        <f t="shared" si="30"/>
        <v>100</v>
      </c>
      <c r="K120" s="1323">
        <f t="shared" si="30"/>
        <v>100</v>
      </c>
      <c r="L120" s="1323">
        <f t="shared" si="30"/>
        <v>100</v>
      </c>
      <c r="M120" s="1323">
        <f t="shared" si="30"/>
        <v>100</v>
      </c>
      <c r="N120" s="1368"/>
      <c r="O120" s="1368"/>
      <c r="P120" s="1570"/>
      <c r="Q120" s="1292"/>
      <c r="R120" s="1187"/>
      <c r="S120" s="1187"/>
      <c r="T120" s="1187"/>
      <c r="U120" s="1187"/>
      <c r="V120" s="1187"/>
      <c r="W120" s="1187"/>
      <c r="X120" s="1187"/>
      <c r="Y120" s="1187"/>
      <c r="Z120" s="1187"/>
      <c r="AA120" s="1187"/>
      <c r="AB120" s="1187"/>
      <c r="AC120" s="1187"/>
    </row>
    <row r="121" spans="1:29" s="1073" customFormat="1">
      <c r="A121" s="1347"/>
      <c r="B121" s="1320" t="s">
        <v>1413</v>
      </c>
      <c r="C121" s="1328"/>
      <c r="D121" s="1328"/>
      <c r="E121" s="1328"/>
      <c r="F121" s="1344"/>
      <c r="G121" s="1329"/>
      <c r="H121" s="1329"/>
      <c r="I121" s="1329"/>
      <c r="J121" s="1329"/>
      <c r="K121" s="1329"/>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3" customFormat="1" ht="15">
      <c r="A122" s="1327"/>
      <c r="B122" s="1319"/>
      <c r="C122" s="963"/>
      <c r="D122" s="963"/>
      <c r="E122" s="963"/>
      <c r="F122" s="963"/>
      <c r="G122" s="963"/>
      <c r="H122" s="963"/>
      <c r="I122" s="963"/>
      <c r="J122" s="963"/>
      <c r="K122" s="963"/>
      <c r="L122" s="963"/>
      <c r="M122" s="963"/>
      <c r="N122" s="1378"/>
      <c r="O122" s="1378"/>
      <c r="P122" s="1571"/>
      <c r="Q122" s="1410"/>
      <c r="R122" s="1411"/>
      <c r="S122" s="1411"/>
      <c r="T122" s="1411"/>
      <c r="U122" s="1411"/>
      <c r="V122" s="1411"/>
      <c r="W122" s="1411"/>
      <c r="X122" s="1411"/>
      <c r="Y122" s="1411"/>
      <c r="Z122" s="1411"/>
      <c r="AA122" s="1411"/>
      <c r="AB122" s="1411"/>
      <c r="AC122" s="1411"/>
    </row>
    <row r="123" spans="1:29">
      <c r="A123" s="1350"/>
      <c r="B123" s="1320" t="s">
        <v>1382</v>
      </c>
      <c r="C123" s="2231" t="s">
        <v>1374</v>
      </c>
      <c r="D123" s="2231" t="s">
        <v>1383</v>
      </c>
      <c r="E123" s="2231" t="s">
        <v>1414</v>
      </c>
      <c r="F123" s="1344"/>
      <c r="G123" s="1344"/>
      <c r="H123" s="1344"/>
      <c r="I123" s="1344"/>
      <c r="J123" s="1344"/>
      <c r="K123" s="1395"/>
      <c r="L123" s="1396"/>
      <c r="M123" s="1397"/>
      <c r="N123" s="1365"/>
      <c r="O123" s="1365"/>
      <c r="P123" s="1570"/>
      <c r="Q123" s="1292"/>
      <c r="R123" s="1187"/>
      <c r="S123" s="1187"/>
      <c r="T123" s="1187"/>
      <c r="U123" s="1187"/>
      <c r="V123" s="1187"/>
      <c r="W123" s="1187"/>
      <c r="X123" s="1187"/>
      <c r="Y123" s="1187"/>
      <c r="Z123" s="1187"/>
      <c r="AA123" s="1187"/>
      <c r="AB123" s="1187"/>
      <c r="AC123" s="1187"/>
    </row>
    <row r="124" spans="1:29" ht="15">
      <c r="A124" s="1318"/>
      <c r="B124" s="1322"/>
      <c r="C124" s="1323">
        <v>100</v>
      </c>
      <c r="D124" s="1323">
        <f t="shared" ref="D124:M124" si="31">C124-$K43</f>
        <v>97</v>
      </c>
      <c r="E124" s="1323">
        <f t="shared" si="31"/>
        <v>94</v>
      </c>
      <c r="F124" s="1323">
        <f t="shared" si="31"/>
        <v>91</v>
      </c>
      <c r="G124" s="1323">
        <f t="shared" si="31"/>
        <v>88</v>
      </c>
      <c r="H124" s="1323">
        <f t="shared" si="31"/>
        <v>85</v>
      </c>
      <c r="I124" s="1323">
        <f t="shared" si="31"/>
        <v>82</v>
      </c>
      <c r="J124" s="1323">
        <f t="shared" si="31"/>
        <v>79</v>
      </c>
      <c r="K124" s="1323">
        <f t="shared" si="31"/>
        <v>76</v>
      </c>
      <c r="L124" s="1323">
        <f t="shared" si="31"/>
        <v>73</v>
      </c>
      <c r="M124" s="1372">
        <f t="shared" si="31"/>
        <v>70</v>
      </c>
      <c r="N124" s="1368"/>
      <c r="O124" s="1368"/>
      <c r="P124" s="1570"/>
      <c r="Q124" s="1292"/>
      <c r="R124" s="1187"/>
      <c r="S124" s="1187"/>
      <c r="T124" s="1187"/>
      <c r="U124" s="1187"/>
      <c r="V124" s="1187"/>
      <c r="W124" s="1187"/>
      <c r="X124" s="1187"/>
      <c r="Y124" s="1187"/>
      <c r="Z124" s="1187"/>
      <c r="AA124" s="1187"/>
      <c r="AB124" s="1187"/>
      <c r="AC124" s="1187"/>
    </row>
    <row r="125" spans="1:29">
      <c r="A125" s="1350"/>
      <c r="B125" s="1320" t="s">
        <v>1384</v>
      </c>
      <c r="C125" s="1338" t="s">
        <v>1396</v>
      </c>
      <c r="D125" s="1338" t="s">
        <v>1397</v>
      </c>
      <c r="E125" s="1338" t="s">
        <v>1398</v>
      </c>
      <c r="F125" s="1338" t="s">
        <v>1399</v>
      </c>
      <c r="G125" s="1338" t="s">
        <v>1400</v>
      </c>
      <c r="H125" s="1321"/>
      <c r="I125" s="1321"/>
      <c r="J125" s="1321"/>
      <c r="K125" s="1369"/>
      <c r="L125" s="1370"/>
      <c r="M125" s="1371"/>
      <c r="N125" s="1365"/>
      <c r="O125" s="1365"/>
      <c r="P125" s="1571"/>
      <c r="Q125" s="1292"/>
      <c r="R125" s="1187"/>
      <c r="S125" s="1187"/>
      <c r="T125" s="1187"/>
      <c r="U125" s="1187"/>
      <c r="V125" s="1187"/>
      <c r="W125" s="1187"/>
      <c r="X125" s="1187"/>
      <c r="Y125" s="1187"/>
      <c r="Z125" s="1187"/>
      <c r="AA125" s="1187"/>
      <c r="AB125" s="1187"/>
      <c r="AC125" s="1187"/>
    </row>
    <row r="126" spans="1:29" ht="15">
      <c r="A126" s="1318"/>
      <c r="B126" s="1322"/>
      <c r="C126" s="1323">
        <v>100</v>
      </c>
      <c r="D126" s="1323">
        <f>C126-$K44</f>
        <v>99</v>
      </c>
      <c r="E126" s="1323">
        <f>D126-$K44</f>
        <v>98</v>
      </c>
      <c r="F126" s="1323">
        <f>E126-$K44</f>
        <v>97</v>
      </c>
      <c r="G126" s="1323">
        <f>F126-$K44</f>
        <v>96</v>
      </c>
      <c r="H126" s="1323"/>
      <c r="I126" s="1323"/>
      <c r="J126" s="1323"/>
      <c r="K126" s="1323"/>
      <c r="L126" s="1323"/>
      <c r="M126" s="1372"/>
      <c r="N126" s="1368"/>
      <c r="O126" s="1368"/>
      <c r="P126" s="1570"/>
      <c r="Q126" s="1292"/>
      <c r="R126" s="1187"/>
      <c r="S126" s="1187"/>
      <c r="T126" s="1187"/>
      <c r="U126" s="1187"/>
      <c r="V126" s="1187"/>
      <c r="W126" s="1187"/>
      <c r="X126" s="1187"/>
      <c r="Y126" s="1187"/>
      <c r="Z126" s="1187"/>
      <c r="AA126" s="1187"/>
      <c r="AB126" s="1187"/>
      <c r="AC126" s="1187"/>
    </row>
    <row r="127" spans="1:29" s="1073" customFormat="1">
      <c r="A127" s="1347"/>
      <c r="B127" s="1320">
        <f>B45</f>
        <v>111</v>
      </c>
      <c r="C127" s="1328"/>
      <c r="D127" s="1328"/>
      <c r="E127" s="1328"/>
      <c r="F127" s="1328"/>
      <c r="G127" s="1328"/>
      <c r="H127" s="1329"/>
      <c r="I127" s="1329"/>
      <c r="J127" s="1329"/>
      <c r="K127" s="1329"/>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3" customFormat="1" ht="15">
      <c r="A128" s="1327"/>
      <c r="B128" s="1322"/>
      <c r="C128" s="963"/>
      <c r="D128" s="964"/>
      <c r="E128" s="964"/>
      <c r="F128" s="964"/>
      <c r="G128" s="963"/>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20">
        <f>B46</f>
        <v>111</v>
      </c>
      <c r="C129" s="1328"/>
      <c r="D129" s="1328"/>
      <c r="E129" s="1328"/>
      <c r="F129" s="1328"/>
      <c r="G129" s="1344"/>
      <c r="H129" s="1344"/>
      <c r="I129" s="1344"/>
      <c r="J129" s="1344"/>
      <c r="K129" s="1395"/>
      <c r="L129" s="1396"/>
      <c r="M129" s="1397"/>
      <c r="N129" s="1365"/>
      <c r="O129" s="1365"/>
      <c r="P129" s="1570"/>
      <c r="Q129" s="1292"/>
      <c r="R129" s="1187"/>
      <c r="S129" s="1187"/>
      <c r="T129" s="1187"/>
      <c r="U129" s="1187"/>
      <c r="V129" s="1187"/>
      <c r="W129" s="1187"/>
      <c r="X129" s="1187"/>
      <c r="Y129" s="1187"/>
      <c r="Z129" s="1187"/>
      <c r="AA129" s="1187"/>
      <c r="AB129" s="1187"/>
      <c r="AC129" s="1187"/>
    </row>
    <row r="130" spans="1:29" ht="15">
      <c r="A130" s="1318"/>
      <c r="B130" s="1322"/>
      <c r="C130" s="963"/>
      <c r="D130" s="963"/>
      <c r="E130" s="963"/>
      <c r="F130" s="963"/>
      <c r="G130" s="964"/>
      <c r="H130" s="964"/>
      <c r="I130" s="964"/>
      <c r="J130" s="964"/>
      <c r="K130" s="964"/>
      <c r="L130" s="964"/>
      <c r="M130" s="1367"/>
      <c r="N130" s="1368"/>
      <c r="O130" s="1368"/>
      <c r="P130" s="1570"/>
      <c r="Q130" s="1292"/>
      <c r="R130" s="1187"/>
      <c r="S130" s="1187"/>
      <c r="T130" s="1187"/>
      <c r="U130" s="1187"/>
      <c r="V130" s="1187"/>
      <c r="W130" s="1187"/>
      <c r="X130" s="1187"/>
      <c r="Y130" s="1187"/>
      <c r="Z130" s="1187"/>
      <c r="AA130" s="1187"/>
      <c r="AB130" s="1187"/>
      <c r="AC130" s="1187"/>
    </row>
    <row r="131" spans="1:29">
      <c r="A131" s="1350"/>
      <c r="B131" s="1324">
        <f>B47</f>
        <v>111</v>
      </c>
      <c r="C131" s="1313"/>
      <c r="D131" s="1313"/>
      <c r="E131" s="1313"/>
      <c r="F131" s="1313"/>
      <c r="G131" s="1345"/>
      <c r="H131" s="1345"/>
      <c r="I131" s="1345"/>
      <c r="J131" s="1345"/>
      <c r="K131" s="1313"/>
      <c r="L131" s="1357"/>
      <c r="M131" s="1400"/>
      <c r="N131" s="1365"/>
      <c r="O131" s="1365"/>
      <c r="P131" s="1570"/>
      <c r="Q131" s="1292"/>
      <c r="R131" s="1187"/>
      <c r="S131" s="1187"/>
      <c r="T131" s="1187"/>
      <c r="U131" s="1187"/>
      <c r="V131" s="1187"/>
      <c r="W131" s="1187"/>
      <c r="X131" s="1187"/>
      <c r="Y131" s="1187"/>
      <c r="Z131" s="1187"/>
      <c r="AA131" s="1187"/>
      <c r="AB131" s="1187"/>
      <c r="AC131" s="1187"/>
    </row>
    <row r="132" spans="1:29" ht="15">
      <c r="A132" s="1618"/>
      <c r="B132" s="1333"/>
      <c r="C132" s="1334"/>
      <c r="D132" s="1334"/>
      <c r="E132" s="1334"/>
      <c r="F132" s="1334"/>
      <c r="G132" s="1346"/>
      <c r="H132" s="1346"/>
      <c r="I132" s="1346"/>
      <c r="J132" s="1346"/>
      <c r="K132" s="1346"/>
      <c r="L132" s="1346"/>
      <c r="M132" s="1401"/>
      <c r="N132" s="1368"/>
      <c r="O132" s="1368"/>
      <c r="P132" s="1570"/>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F31" sqref="F3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1137</v>
      </c>
      <c r="B1" s="1295"/>
      <c r="C1" s="1943" t="s">
        <v>549</v>
      </c>
      <c r="D1" s="1944" t="s">
        <v>124</v>
      </c>
      <c r="E1" s="1945" t="s">
        <v>1138</v>
      </c>
      <c r="F1" s="1946">
        <f ca="1">J53</f>
        <v>34</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1139</v>
      </c>
      <c r="B2" s="1949">
        <f ca="1">ROUND(D2/10000,4)</f>
        <v>83.124899999999997</v>
      </c>
      <c r="C2" s="1950" t="s">
        <v>1140</v>
      </c>
      <c r="D2" s="1951">
        <f ca="1">C40+J29+L46</f>
        <v>831249</v>
      </c>
      <c r="E2" s="1952" t="s">
        <v>1415</v>
      </c>
      <c r="F2" s="1953"/>
      <c r="G2" s="1954"/>
      <c r="H2" s="1955"/>
      <c r="I2" s="1955"/>
      <c r="J2" s="1955"/>
      <c r="K2" s="2114"/>
      <c r="L2" s="1955"/>
      <c r="M2" s="1955"/>
    </row>
    <row r="3" spans="1:37" ht="18" customHeight="1">
      <c r="A3" s="1956" t="s">
        <v>1141</v>
      </c>
      <c r="B3" s="1957">
        <f ca="1">IF(ISERROR(D2/F43),0,ROUND(D2/F43,0))</f>
        <v>17865</v>
      </c>
      <c r="C3" s="1950" t="s">
        <v>1142</v>
      </c>
      <c r="D3" s="1950"/>
      <c r="E3" s="1952"/>
      <c r="F3" s="1953"/>
      <c r="G3" s="1954"/>
      <c r="H3" s="1958" t="s">
        <v>1143</v>
      </c>
      <c r="I3" s="2115"/>
      <c r="J3" s="2115"/>
      <c r="K3" s="2116"/>
      <c r="L3" s="2115"/>
      <c r="M3" s="2115"/>
    </row>
    <row r="4" spans="1:37" ht="18" customHeight="1">
      <c r="A4" s="1959" t="s">
        <v>1144</v>
      </c>
      <c r="B4" s="1960" t="s">
        <v>1145</v>
      </c>
      <c r="C4" s="1960" t="s">
        <v>1146</v>
      </c>
      <c r="D4" s="1960" t="s">
        <v>1147</v>
      </c>
      <c r="E4" s="1961" t="s">
        <v>1148</v>
      </c>
      <c r="F4" s="1962"/>
      <c r="G4" s="761"/>
      <c r="H4" s="1959" t="s">
        <v>1144</v>
      </c>
      <c r="I4" s="1960" t="s">
        <v>1145</v>
      </c>
      <c r="J4" s="1960" t="s">
        <v>1146</v>
      </c>
      <c r="K4" s="1960" t="s">
        <v>1147</v>
      </c>
      <c r="L4" s="1961" t="s">
        <v>1148</v>
      </c>
      <c r="M4" s="1962"/>
    </row>
    <row r="5" spans="1:37" ht="18" customHeight="1">
      <c r="A5" s="1963">
        <v>1</v>
      </c>
      <c r="B5" s="1964" t="s">
        <v>1149</v>
      </c>
      <c r="C5" s="1965">
        <f ca="1">C6+C10+C12</f>
        <v>45912</v>
      </c>
      <c r="D5" s="1966" t="s">
        <v>1150</v>
      </c>
      <c r="E5" s="1967"/>
      <c r="F5" s="1968"/>
      <c r="G5" s="761"/>
      <c r="H5" s="1963">
        <v>1</v>
      </c>
      <c r="I5" s="1964" t="s">
        <v>1149</v>
      </c>
      <c r="J5" s="1965">
        <f ca="1">J6+J10+J12</f>
        <v>0</v>
      </c>
      <c r="K5" s="1966" t="s">
        <v>1150</v>
      </c>
      <c r="L5" s="1967"/>
      <c r="M5" s="1968"/>
    </row>
    <row r="6" spans="1:37" ht="18" customHeight="1">
      <c r="A6" s="1969" t="s">
        <v>892</v>
      </c>
      <c r="B6" s="3623" t="s">
        <v>1151</v>
      </c>
      <c r="C6" s="1970">
        <f ca="1">ROUND(F6*F8*F7*(1-F9),0)</f>
        <v>45855</v>
      </c>
      <c r="D6" s="1971" t="s">
        <v>1416</v>
      </c>
      <c r="E6" s="1972" t="s">
        <v>1153</v>
      </c>
      <c r="F6" s="1973">
        <f ca="1">INDIRECT("'数据-取费表'!u"&amp;$G$1)</f>
        <v>3</v>
      </c>
      <c r="G6" s="761"/>
      <c r="H6" s="1969" t="s">
        <v>892</v>
      </c>
      <c r="I6" s="3623" t="s">
        <v>1151</v>
      </c>
      <c r="J6" s="2044">
        <f ca="1">ROUND(M6*M8*M7*(1-M9),0)</f>
        <v>0</v>
      </c>
      <c r="K6" s="2117" t="s">
        <v>1417</v>
      </c>
      <c r="L6" s="1972" t="s">
        <v>1153</v>
      </c>
      <c r="M6" s="1973">
        <f ca="1">INDIRECT("'数据-取费表'!z"&amp;$G$1)</f>
        <v>0</v>
      </c>
    </row>
    <row r="7" spans="1:37" ht="18" customHeight="1">
      <c r="A7" s="1974"/>
      <c r="B7" s="3624"/>
      <c r="C7" s="1975"/>
      <c r="D7" s="1976"/>
      <c r="E7" s="1977" t="s">
        <v>1155</v>
      </c>
      <c r="F7" s="1973">
        <f ca="1">IF(INDIRECT("'数据-取费表'!ah"&amp;$G$1)="",INDIRECT("'数据-取费表'!k"&amp;$G$1),INDIRECT("'数据-取费表'!ah"&amp;$G$1))</f>
        <v>46.53</v>
      </c>
      <c r="G7" s="761"/>
      <c r="H7" s="1978"/>
      <c r="I7" s="3624"/>
      <c r="J7" s="1979"/>
      <c r="K7" s="1976"/>
      <c r="L7" s="1972" t="s">
        <v>1155</v>
      </c>
      <c r="M7" s="1973">
        <f ca="1">F7</f>
        <v>46.53</v>
      </c>
    </row>
    <row r="8" spans="1:37" ht="18" customHeight="1">
      <c r="A8" s="1978"/>
      <c r="B8" s="3624"/>
      <c r="C8" s="1979"/>
      <c r="D8" s="1976"/>
      <c r="E8" s="1972" t="s">
        <v>1156</v>
      </c>
      <c r="F8" s="1973">
        <f ca="1">INDIRECT("'数据-取费表'!ai"&amp;$G$1)</f>
        <v>365</v>
      </c>
      <c r="G8" s="761"/>
      <c r="H8" s="1978"/>
      <c r="I8" s="3624"/>
      <c r="J8" s="1979"/>
      <c r="K8" s="1976"/>
      <c r="L8" s="1972" t="s">
        <v>1156</v>
      </c>
      <c r="M8" s="1973">
        <f ca="1">INDIRECT("'数据-取费表'!ai"&amp;$G$1)</f>
        <v>365</v>
      </c>
    </row>
    <row r="9" spans="1:37" ht="18" customHeight="1">
      <c r="A9" s="1978"/>
      <c r="B9" s="3625"/>
      <c r="C9" s="1979"/>
      <c r="D9" s="1976"/>
      <c r="E9" s="1972" t="s">
        <v>1157</v>
      </c>
      <c r="F9" s="1980">
        <f ca="1">INDIRECT("'数据-取费表'!w"&amp;$G$1)</f>
        <v>0.1</v>
      </c>
      <c r="G9" s="761"/>
      <c r="H9" s="1978"/>
      <c r="I9" s="3625"/>
      <c r="J9" s="1979"/>
      <c r="K9" s="1976"/>
      <c r="L9" s="1983" t="s">
        <v>1157</v>
      </c>
      <c r="M9" s="1988">
        <f ca="1">INDIRECT("'数据-取费表'!ab"&amp;$G$1)</f>
        <v>0</v>
      </c>
    </row>
    <row r="10" spans="1:37" ht="18" customHeight="1">
      <c r="A10" s="1969" t="s">
        <v>896</v>
      </c>
      <c r="B10" s="1981" t="s">
        <v>1158</v>
      </c>
      <c r="C10" s="1003">
        <f ca="1">ROUND(IF(F10="押一",C6/12*F11,IF(F10="押二",C6/12*2*F11,IF(F10="押三",C6/12*3*F11,C11*F11))),0)</f>
        <v>57</v>
      </c>
      <c r="D10" s="1982" t="s">
        <v>1159</v>
      </c>
      <c r="E10" s="1983" t="s">
        <v>1160</v>
      </c>
      <c r="F10" s="1984" t="s">
        <v>1418</v>
      </c>
      <c r="G10" s="761"/>
      <c r="H10" s="1969" t="s">
        <v>896</v>
      </c>
      <c r="I10" s="1981" t="s">
        <v>1158</v>
      </c>
      <c r="J10" s="2044">
        <f ca="1">ROUND(IF(M10="押一",J6/12*M11,IF(M10="押二",J6/12*2*M11,IF(M10="押三",J6/12*3*M11,J11*M11))),0)</f>
        <v>0</v>
      </c>
      <c r="K10" s="2118" t="s">
        <v>1419</v>
      </c>
      <c r="L10" s="1983" t="s">
        <v>1160</v>
      </c>
      <c r="M10" s="1984"/>
    </row>
    <row r="11" spans="1:37" ht="18" customHeight="1">
      <c r="A11" s="1985"/>
      <c r="B11" s="1986" t="s">
        <v>1420</v>
      </c>
      <c r="C11" s="1987"/>
      <c r="D11" s="1976"/>
      <c r="E11" s="1983" t="s">
        <v>1162</v>
      </c>
      <c r="F11" s="1988">
        <f ca="1">'数据-取费表'!B39</f>
        <v>1.4999999999999999E-2</v>
      </c>
      <c r="G11" s="761"/>
      <c r="H11" s="1989"/>
      <c r="I11" s="1986" t="s">
        <v>1421</v>
      </c>
      <c r="J11" s="1987"/>
      <c r="K11" s="2119"/>
      <c r="L11" s="1983" t="s">
        <v>1162</v>
      </c>
      <c r="M11" s="2120">
        <f ca="1">'数据-取费表'!B39</f>
        <v>1.4999999999999999E-2</v>
      </c>
    </row>
    <row r="12" spans="1:37" ht="18" customHeight="1">
      <c r="A12" s="1990" t="s">
        <v>941</v>
      </c>
      <c r="B12" s="1991" t="s">
        <v>1163</v>
      </c>
      <c r="C12" s="1992"/>
      <c r="D12" s="1993"/>
      <c r="E12" s="1994"/>
      <c r="F12" s="1995"/>
      <c r="G12" s="761"/>
      <c r="H12" s="1990" t="s">
        <v>941</v>
      </c>
      <c r="I12" s="1991" t="s">
        <v>1163</v>
      </c>
      <c r="J12" s="1992"/>
      <c r="K12" s="2121"/>
      <c r="L12" s="1994"/>
      <c r="M12" s="2122"/>
    </row>
    <row r="13" spans="1:37" ht="18" customHeight="1">
      <c r="A13" s="1996">
        <v>2</v>
      </c>
      <c r="B13" s="1997" t="s">
        <v>1164</v>
      </c>
      <c r="C13" s="1998">
        <f ca="1">ROUND(C29*F13,0)</f>
        <v>205216</v>
      </c>
      <c r="D13" s="1999" t="s">
        <v>1165</v>
      </c>
      <c r="E13" s="1999" t="s">
        <v>1166</v>
      </c>
      <c r="F13" s="2000">
        <f ca="1">INDIRECT("'数据-取费表'!y"&amp;$G$1)</f>
        <v>0.77</v>
      </c>
      <c r="G13" s="761"/>
      <c r="H13" s="1996">
        <v>2</v>
      </c>
      <c r="I13" s="1997" t="s">
        <v>1164</v>
      </c>
      <c r="J13" s="2123">
        <f ca="1">ROUND(J14*J15,0)</f>
        <v>0</v>
      </c>
      <c r="K13" s="2022" t="s">
        <v>1165</v>
      </c>
      <c r="L13" s="2124"/>
      <c r="M13" s="2125"/>
    </row>
    <row r="14" spans="1:37" ht="18" customHeight="1">
      <c r="A14" s="2001" t="s">
        <v>915</v>
      </c>
      <c r="B14" s="1972" t="s">
        <v>1167</v>
      </c>
      <c r="C14" s="2002">
        <f ca="1">ROUND(INDIRECT("'数据-取费表'!l"&amp;$G$1)*F43+'数据-取费表'!L14*INDIRECT("'数据-取费表'!S"&amp;$G$1),0)</f>
        <v>186120</v>
      </c>
      <c r="D14" s="2003" t="s">
        <v>1168</v>
      </c>
      <c r="E14" s="2004"/>
      <c r="F14" s="2005"/>
      <c r="G14" s="761"/>
      <c r="H14" s="2001" t="s">
        <v>892</v>
      </c>
      <c r="I14" s="1972" t="s">
        <v>1169</v>
      </c>
      <c r="J14" s="1004">
        <f ca="1">C29</f>
        <v>266514</v>
      </c>
      <c r="K14" s="2126"/>
      <c r="L14" s="2127"/>
      <c r="M14" s="2128"/>
    </row>
    <row r="15" spans="1:37" s="1940" customFormat="1" ht="18" customHeight="1">
      <c r="A15" s="2001" t="s">
        <v>919</v>
      </c>
      <c r="B15" s="1972" t="s">
        <v>1098</v>
      </c>
      <c r="C15" s="1004">
        <f ca="1">ROUND(C14*F15,0)</f>
        <v>5584</v>
      </c>
      <c r="D15" s="2006" t="s">
        <v>1170</v>
      </c>
      <c r="E15" s="2006" t="s">
        <v>1171</v>
      </c>
      <c r="F15" s="2007">
        <f>'数据-取费表'!B33</f>
        <v>0.03</v>
      </c>
      <c r="G15" s="2008"/>
      <c r="H15" s="2009" t="s">
        <v>896</v>
      </c>
      <c r="I15" s="1994" t="s">
        <v>1166</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922</v>
      </c>
      <c r="B16" s="1972" t="s">
        <v>1101</v>
      </c>
      <c r="C16" s="1004">
        <f ca="1">ROUND(INDIRECT("'数据-取费表'!l"&amp;$G$1)*F43*F16,0)</f>
        <v>0</v>
      </c>
      <c r="D16" s="1972" t="s">
        <v>1170</v>
      </c>
      <c r="E16" s="1972" t="s">
        <v>1171</v>
      </c>
      <c r="F16" s="2010">
        <f ca="1">IF(INDIRECT("'数据-取费表'!c"&amp;$G$1)="住宅",'数据-取费表'!B34,0)</f>
        <v>0</v>
      </c>
      <c r="G16" s="761"/>
      <c r="H16" s="1996" t="s">
        <v>1172</v>
      </c>
      <c r="I16" s="1997" t="s">
        <v>1173</v>
      </c>
      <c r="J16" s="1998">
        <f ca="1">ROUND(J17+J22+J23+J24,0)</f>
        <v>2665</v>
      </c>
      <c r="K16" s="2022" t="s">
        <v>1174</v>
      </c>
      <c r="L16" s="2023"/>
      <c r="M16" s="1968"/>
    </row>
    <row r="17" spans="1:37" s="1940" customFormat="1" ht="18" customHeight="1">
      <c r="A17" s="2001" t="s">
        <v>1175</v>
      </c>
      <c r="B17" s="1972" t="s">
        <v>1176</v>
      </c>
      <c r="C17" s="1004">
        <f ca="1">ROUND(F17*(F43+INDIRECT("'数据-取费表'!S"&amp;$G$1)),0)</f>
        <v>9306</v>
      </c>
      <c r="D17" s="1972" t="s">
        <v>1177</v>
      </c>
      <c r="E17" s="1972" t="s">
        <v>1178</v>
      </c>
      <c r="F17" s="2011">
        <f>'数据-取费表'!B35</f>
        <v>200</v>
      </c>
      <c r="G17" s="2008"/>
      <c r="H17" s="2001" t="s">
        <v>892</v>
      </c>
      <c r="I17" s="1972" t="s">
        <v>1179</v>
      </c>
      <c r="J17" s="2025">
        <f ca="1">ROUND(IF(AND(项目基本情况!B11="自然人",项目基本情况!B10="北京市"),J6*M17/(1+'数据-取费表'!C42),J18+J19+J20),0)</f>
        <v>0</v>
      </c>
      <c r="K17" s="2003" t="s">
        <v>1180</v>
      </c>
      <c r="L17" s="2026" t="s">
        <v>1181</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1182</v>
      </c>
      <c r="B18" s="1972" t="s">
        <v>1107</v>
      </c>
      <c r="C18" s="1004">
        <f ca="1">ROUND(C14*F18,0)</f>
        <v>2792</v>
      </c>
      <c r="D18" s="1972" t="s">
        <v>1170</v>
      </c>
      <c r="E18" s="1972" t="s">
        <v>1171</v>
      </c>
      <c r="F18" s="2010">
        <f>'数据-取费表'!B36</f>
        <v>1.4999999999999999E-2</v>
      </c>
      <c r="G18" s="2008"/>
      <c r="H18" s="2001" t="s">
        <v>915</v>
      </c>
      <c r="I18" s="1972" t="s">
        <v>1183</v>
      </c>
      <c r="J18" s="1004">
        <f ca="1">ROUND(J6*M18/(1+'数据-取费表'!C42),0)</f>
        <v>0</v>
      </c>
      <c r="K18" s="2026" t="s">
        <v>1184</v>
      </c>
      <c r="L18" s="1972" t="s">
        <v>1171</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892</v>
      </c>
      <c r="B19" s="1972" t="s">
        <v>1185</v>
      </c>
      <c r="C19" s="1004">
        <f ca="1">SUM(C14:C18)</f>
        <v>203802</v>
      </c>
      <c r="D19" s="2012" t="s">
        <v>1186</v>
      </c>
      <c r="E19" s="1006"/>
      <c r="F19" s="2011"/>
      <c r="G19" s="761"/>
      <c r="H19" s="2001" t="s">
        <v>919</v>
      </c>
      <c r="I19" s="1972" t="s">
        <v>1187</v>
      </c>
      <c r="J19" s="1004">
        <f ca="1">IF(K19="按租金收入计税",ROUND(J6*M19/(1+'数据-取费表'!C42),0),ROUND(C29*M19*0.7,0))</f>
        <v>0</v>
      </c>
      <c r="K19" s="2029" t="s">
        <v>1188</v>
      </c>
      <c r="L19" s="1972" t="s">
        <v>1171</v>
      </c>
      <c r="M19" s="2010">
        <f>IF(K19="按租金收入计税",'数据-取费表'!B51,'数据-取费表'!B50)</f>
        <v>0.12</v>
      </c>
    </row>
    <row r="20" spans="1:37" s="1940" customFormat="1" ht="18" customHeight="1">
      <c r="A20" s="2001" t="s">
        <v>896</v>
      </c>
      <c r="B20" s="1972" t="s">
        <v>1189</v>
      </c>
      <c r="C20" s="1004">
        <f ca="1">ROUND(C19*F20,0)</f>
        <v>4076</v>
      </c>
      <c r="D20" s="2013" t="s">
        <v>1190</v>
      </c>
      <c r="E20" s="1972" t="s">
        <v>1171</v>
      </c>
      <c r="F20" s="2010">
        <f>'数据-取费表'!B37</f>
        <v>0.02</v>
      </c>
      <c r="G20" s="2008"/>
      <c r="H20" s="2001" t="s">
        <v>922</v>
      </c>
      <c r="I20" s="1971" t="s">
        <v>1191</v>
      </c>
      <c r="J20" s="2031">
        <f ca="1">ROUND(M20*M21,0)</f>
        <v>0</v>
      </c>
      <c r="K20" s="2032" t="s">
        <v>1192</v>
      </c>
      <c r="L20" s="1972" t="s">
        <v>1193</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941</v>
      </c>
      <c r="B21" s="1972" t="s">
        <v>1194</v>
      </c>
      <c r="C21" s="1004" t="s">
        <v>124</v>
      </c>
      <c r="D21" s="2013" t="s">
        <v>1195</v>
      </c>
      <c r="E21" s="1972" t="s">
        <v>1196</v>
      </c>
      <c r="F21" s="2010">
        <f>'数据-取费表'!B38</f>
        <v>0.02</v>
      </c>
      <c r="G21" s="2008"/>
      <c r="H21" s="2014"/>
      <c r="I21" s="2132"/>
      <c r="J21" s="2035"/>
      <c r="K21" s="2036"/>
      <c r="L21" s="1972" t="s">
        <v>1197</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944</v>
      </c>
      <c r="B22" s="1972" t="s">
        <v>1198</v>
      </c>
      <c r="C22" s="1004"/>
      <c r="D22" s="2012" t="str">
        <f>IF(F23&lt;=1,"单利计息。","复利计息。")&amp;"建造成本、管理费用、销售费用产生的利息。"</f>
        <v>复利计息。建造成本、管理费用、销售费用产生的利息。</v>
      </c>
      <c r="E22" s="1006"/>
      <c r="F22" s="2011"/>
      <c r="G22" s="761"/>
      <c r="H22" s="2001" t="s">
        <v>896</v>
      </c>
      <c r="I22" s="1972" t="s">
        <v>1199</v>
      </c>
      <c r="J22" s="1004">
        <f ca="1">ROUND(J14*M22,0)</f>
        <v>2665</v>
      </c>
      <c r="K22" s="2026" t="s">
        <v>1200</v>
      </c>
      <c r="L22" s="1972" t="s">
        <v>1171</v>
      </c>
      <c r="M22" s="2038">
        <f ca="1">INDIRECT("'数据-取费表'!Ak"&amp;$G$1)</f>
        <v>0.01</v>
      </c>
    </row>
    <row r="23" spans="1:37" s="1940" customFormat="1" ht="18" customHeight="1">
      <c r="A23" s="2001" t="s">
        <v>915</v>
      </c>
      <c r="B23" s="1972" t="s">
        <v>1201</v>
      </c>
      <c r="C23" s="1004">
        <f ca="1">IF('数据-取费表'!B22&lt;=1,ROUND(C19*F24*F23/2,0)+ROUND(C20*F24*F23/2,0),ROUND(C19*(POWER((1+F24),F23/2)-1),0)+ROUND(C20*(POWER((1+F24),F23/2)-1),0))</f>
        <v>7172</v>
      </c>
      <c r="D23" s="2015" t="str">
        <f>IF(F23&lt;=1,"(建造成本+管理费用)×利率×(建设周期÷2)","(建造成本+管理费用)×((1+利率)^(建设周期÷2)-1)")</f>
        <v>(建造成本+管理费用)×((1+利率)^(建设周期÷2)-1)</v>
      </c>
      <c r="E23" s="1972" t="s">
        <v>1202</v>
      </c>
      <c r="F23" s="2016">
        <f>'数据-取费表'!B20</f>
        <v>2</v>
      </c>
      <c r="G23" s="2008"/>
      <c r="H23" s="2001" t="s">
        <v>941</v>
      </c>
      <c r="I23" s="1972" t="s">
        <v>1203</v>
      </c>
      <c r="J23" s="1004">
        <f ca="1">ROUND(J13*M23,0)</f>
        <v>0</v>
      </c>
      <c r="K23" s="2026" t="s">
        <v>1204</v>
      </c>
      <c r="L23" s="1972" t="s">
        <v>1171</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919</v>
      </c>
      <c r="B24" s="1972" t="s">
        <v>1205</v>
      </c>
      <c r="C24" s="1004">
        <f ca="1">ROUND(IF('数据-取费表'!B22&lt;=1,F21*F24*F23/2,F21*(POWER((1+F24),F23/2)-1)),4)</f>
        <v>6.9999999999999999E-4</v>
      </c>
      <c r="D24" s="2015" t="str">
        <f>IF(F23&lt;=1,"销售费用×利率×(建设周期÷2)","销售费用×((1+利率)^(建设周期÷2)-1)")</f>
        <v>销售费用×((1+利率)^(建设周期÷2)-1)</v>
      </c>
      <c r="E24" s="1972" t="s">
        <v>1206</v>
      </c>
      <c r="F24" s="2017">
        <f ca="1">'数据-取费表'!B40</f>
        <v>3.4500000000000003E-2</v>
      </c>
      <c r="G24" s="2008"/>
      <c r="H24" s="2009" t="s">
        <v>944</v>
      </c>
      <c r="I24" s="1994" t="s">
        <v>1189</v>
      </c>
      <c r="J24" s="2018">
        <f ca="1">ROUND(J5*M24,0)</f>
        <v>0</v>
      </c>
      <c r="K24" s="2019" t="s">
        <v>1207</v>
      </c>
      <c r="L24" s="1994" t="s">
        <v>1171</v>
      </c>
      <c r="M24" s="1995">
        <f ca="1">INDIRECT("'数据-取费表'!Am"&amp;$G$1)</f>
        <v>0.01</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948</v>
      </c>
      <c r="B25" s="1972" t="s">
        <v>1208</v>
      </c>
      <c r="C25" s="1004"/>
      <c r="D25" s="2012" t="s">
        <v>1209</v>
      </c>
      <c r="E25" s="1006"/>
      <c r="F25" s="2011"/>
      <c r="G25" s="761"/>
      <c r="H25" s="1996" t="s">
        <v>1210</v>
      </c>
      <c r="I25" s="2040" t="s">
        <v>1211</v>
      </c>
      <c r="J25" s="1998">
        <f ca="1">J5-J16</f>
        <v>-2665</v>
      </c>
      <c r="K25" s="2041" t="s">
        <v>1212</v>
      </c>
      <c r="L25" s="2042"/>
      <c r="M25" s="2043"/>
    </row>
    <row r="26" spans="1:37" ht="18" customHeight="1">
      <c r="A26" s="2001" t="s">
        <v>915</v>
      </c>
      <c r="B26" s="1972" t="s">
        <v>1213</v>
      </c>
      <c r="C26" s="1004">
        <f ca="1">ROUND((C19+C20)*F26,0)</f>
        <v>31182</v>
      </c>
      <c r="D26" s="2013" t="s">
        <v>1214</v>
      </c>
      <c r="E26" s="1983" t="s">
        <v>1215</v>
      </c>
      <c r="F26" s="1980">
        <f ca="1">INDIRECT("'数据-取费表'!q"&amp;$G$1)</f>
        <v>0.15</v>
      </c>
      <c r="G26" s="761"/>
      <c r="H26" s="1963" t="s">
        <v>1216</v>
      </c>
      <c r="I26" s="1964" t="s">
        <v>1217</v>
      </c>
      <c r="J26" s="2044">
        <f ca="1">IF(J5&lt;&gt;0,ROUND(J25*(1-((1+M28)/(1+M26))^M27)/(M26-M28),0),0)</f>
        <v>0</v>
      </c>
      <c r="K26" s="2032" t="s">
        <v>1218</v>
      </c>
      <c r="L26" s="1972" t="s">
        <v>1219</v>
      </c>
      <c r="M26" s="1980">
        <f ca="1">INDIRECT("'数据-取费表'!I"&amp;$G$1)</f>
        <v>5.5E-2</v>
      </c>
    </row>
    <row r="27" spans="1:37" ht="18" customHeight="1">
      <c r="A27" s="2001" t="s">
        <v>919</v>
      </c>
      <c r="B27" s="1972" t="s">
        <v>1220</v>
      </c>
      <c r="C27" s="1004">
        <f ca="1">ROUND(F21*F26,4)</f>
        <v>3.0000000000000001E-3</v>
      </c>
      <c r="D27" s="2013" t="s">
        <v>1221</v>
      </c>
      <c r="E27" s="2006"/>
      <c r="F27" s="2007"/>
      <c r="G27" s="761"/>
      <c r="H27" s="1978"/>
      <c r="I27" s="2046"/>
      <c r="J27" s="1979"/>
      <c r="K27" s="2047" t="s">
        <v>1222</v>
      </c>
      <c r="L27" s="1972" t="s">
        <v>1223</v>
      </c>
      <c r="M27" s="2048">
        <f ca="1">INDIRECT("'数据-取费表'!ag"&amp;$G$1)</f>
        <v>0</v>
      </c>
    </row>
    <row r="28" spans="1:37" s="1940" customFormat="1" ht="18" customHeight="1">
      <c r="A28" s="2001" t="s">
        <v>949</v>
      </c>
      <c r="B28" s="1972" t="s">
        <v>1224</v>
      </c>
      <c r="C28" s="1004">
        <f>ROUND(F28/(1+'数据-取费表'!C42),4)</f>
        <v>5.2400000000000002E-2</v>
      </c>
      <c r="D28" s="2013" t="s">
        <v>1225</v>
      </c>
      <c r="E28" s="1972" t="s">
        <v>1171</v>
      </c>
      <c r="F28" s="2010">
        <f>'数据-取费表'!B41</f>
        <v>5.5000000000000007E-2</v>
      </c>
      <c r="G28" s="2008"/>
      <c r="H28" s="1985"/>
      <c r="I28" s="2050"/>
      <c r="J28" s="1998"/>
      <c r="K28" s="2036"/>
      <c r="L28" s="1972" t="s">
        <v>1226</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1132</v>
      </c>
      <c r="B29" s="1994" t="s">
        <v>1227</v>
      </c>
      <c r="C29" s="2018">
        <f ca="1">ROUND((C19+C20+C23+C26)/(1-F21-C24-C27-C28),0)</f>
        <v>266514</v>
      </c>
      <c r="D29" s="2019"/>
      <c r="E29" s="1994"/>
      <c r="F29" s="2020"/>
      <c r="G29" s="2008"/>
      <c r="H29" s="2021" t="s">
        <v>1228</v>
      </c>
      <c r="I29" s="2051" t="s">
        <v>1229</v>
      </c>
      <c r="J29" s="2052">
        <f ca="1">ROUND(J26/(1+F40)^F41,0)</f>
        <v>0</v>
      </c>
      <c r="K29" s="2053" t="s">
        <v>1230</v>
      </c>
      <c r="L29" s="2054"/>
      <c r="M29" s="2055">
        <f ca="1">INDIRECT("'数据-取费表'!k"&amp;$G$1)</f>
        <v>46.53</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1172</v>
      </c>
      <c r="B30" s="1997" t="s">
        <v>1173</v>
      </c>
      <c r="C30" s="1998">
        <f ca="1">ROUND(C31+C36+C37+C38,0)</f>
        <v>6386</v>
      </c>
      <c r="D30" s="2022" t="s">
        <v>1174</v>
      </c>
      <c r="E30" s="2023"/>
      <c r="F30" s="1968"/>
      <c r="G30" s="761"/>
      <c r="H30" s="2024"/>
      <c r="I30" s="2133"/>
      <c r="J30" s="2134"/>
      <c r="K30" s="2135"/>
      <c r="L30" s="2136"/>
      <c r="M30" s="2137"/>
    </row>
    <row r="31" spans="1:37" ht="18" customHeight="1">
      <c r="A31" s="2001" t="s">
        <v>892</v>
      </c>
      <c r="B31" s="1972" t="s">
        <v>1179</v>
      </c>
      <c r="C31" s="2025">
        <f ca="1">ROUND(IF(AND(项目基本情况!B11="自然人",项目基本情况!B10="北京市"),C6*F31/(1+'数据-取费表'!C42),C32+C33+C34),0)</f>
        <v>3057</v>
      </c>
      <c r="D31" s="2003" t="s">
        <v>1180</v>
      </c>
      <c r="E31" s="2026" t="s">
        <v>1181</v>
      </c>
      <c r="F31" s="2027">
        <f ca="1">IF(项目基本情况!B11="企业","——",IF(M47="住宅",IF(F6*F7*F8/12/(1+'数据-取费表'!F30)&gt;100000,4%,2.5%),IF(F6*F7*F8/12/(1+'数据-取费表'!F30)&gt;100000,12%,7%)))</f>
        <v>7.0000000000000007E-2</v>
      </c>
      <c r="G31" s="761"/>
      <c r="H31" s="2028" t="s">
        <v>1231</v>
      </c>
      <c r="I31" s="2133"/>
      <c r="J31" s="2134"/>
      <c r="K31" s="2135"/>
      <c r="L31" s="2136"/>
      <c r="M31" s="2137"/>
    </row>
    <row r="32" spans="1:37" ht="18" customHeight="1">
      <c r="A32" s="2001" t="s">
        <v>915</v>
      </c>
      <c r="B32" s="1972" t="s">
        <v>1183</v>
      </c>
      <c r="C32" s="1004" t="str">
        <f>IF(项目基本情况!B11="自然人","——",ROUND(C6*F32/(1+'数据-取费表'!C42),0))</f>
        <v>——</v>
      </c>
      <c r="D32" s="2026" t="s">
        <v>1184</v>
      </c>
      <c r="E32" s="1972" t="s">
        <v>1171</v>
      </c>
      <c r="F32" s="2017">
        <f>'数据-取费表'!B41</f>
        <v>5.5000000000000007E-2</v>
      </c>
      <c r="G32" s="761"/>
      <c r="H32" s="2024"/>
      <c r="I32" s="2133"/>
      <c r="J32" s="2134"/>
      <c r="K32" s="2135"/>
      <c r="L32" s="2136"/>
      <c r="M32" s="2137"/>
    </row>
    <row r="33" spans="1:18" ht="18" customHeight="1">
      <c r="A33" s="2001" t="s">
        <v>919</v>
      </c>
      <c r="B33" s="1972" t="s">
        <v>1187</v>
      </c>
      <c r="C33" s="1004" t="str">
        <f ca="1">IF(项目基本情况!B11="自然人","——",IF(D33="按租金收入计税",ROUND(C6*F33/(1+'数据-取费表'!C42),0),IF(D33="按房产原值计税",ROUND(C29*F33*0.7,0),INDIRECT("'数据-取费表'!Aj"&amp;$G$1))))</f>
        <v>——</v>
      </c>
      <c r="D33" s="2029" t="s">
        <v>1188</v>
      </c>
      <c r="E33" s="1972" t="s">
        <v>1171</v>
      </c>
      <c r="F33" s="2010">
        <f>IF(D33="按票据","——",IF(D33="按租金收入计税",'数据-取费表'!B51,'数据-取费表'!B50))</f>
        <v>0.12</v>
      </c>
      <c r="G33" s="761"/>
      <c r="H33" s="2030"/>
      <c r="I33" s="2133"/>
      <c r="J33" s="2134"/>
      <c r="K33" s="2138"/>
      <c r="L33" s="2030"/>
      <c r="M33" s="2030"/>
    </row>
    <row r="34" spans="1:18" ht="18" customHeight="1">
      <c r="A34" s="1969" t="s">
        <v>922</v>
      </c>
      <c r="B34" s="1971" t="s">
        <v>1191</v>
      </c>
      <c r="C34" s="2031" t="str">
        <f>IF(项目基本情况!B11="自然人","——",ROUND(F34*F35,0))</f>
        <v>——</v>
      </c>
      <c r="D34" s="2032" t="s">
        <v>1192</v>
      </c>
      <c r="E34" s="1972" t="s">
        <v>1193</v>
      </c>
      <c r="F34" s="2016">
        <f>'数据-取费表'!B52</f>
        <v>1.5</v>
      </c>
      <c r="G34" s="761"/>
      <c r="H34" s="2024"/>
      <c r="I34" s="2133"/>
      <c r="J34" s="2134"/>
      <c r="K34" s="2139"/>
      <c r="L34" s="2140"/>
      <c r="M34" s="2140"/>
    </row>
    <row r="35" spans="1:18" ht="18" customHeight="1">
      <c r="A35" s="2033"/>
      <c r="B35" s="2034"/>
      <c r="C35" s="2035"/>
      <c r="D35" s="2036"/>
      <c r="E35" s="1972" t="s">
        <v>1197</v>
      </c>
      <c r="F35" s="1973">
        <f ca="1">INDIRECT("'数据-取费表'!r"&amp;$G$1)</f>
        <v>0</v>
      </c>
      <c r="G35" s="761"/>
      <c r="H35" s="2024"/>
      <c r="I35" s="2133"/>
      <c r="J35" s="2134"/>
      <c r="K35" s="2138"/>
      <c r="L35" s="2030"/>
      <c r="M35" s="2030"/>
    </row>
    <row r="36" spans="1:18" ht="18" customHeight="1">
      <c r="A36" s="2037" t="s">
        <v>896</v>
      </c>
      <c r="B36" s="1972" t="s">
        <v>1199</v>
      </c>
      <c r="C36" s="1004">
        <f ca="1">ROUND(C29*F36,0)</f>
        <v>2665</v>
      </c>
      <c r="D36" s="2026" t="s">
        <v>1232</v>
      </c>
      <c r="E36" s="1972" t="s">
        <v>1171</v>
      </c>
      <c r="F36" s="2038">
        <f ca="1">INDIRECT("'数据-取费表'!Ak"&amp;$G$1)</f>
        <v>0.01</v>
      </c>
      <c r="G36" s="761"/>
      <c r="H36" s="2030"/>
      <c r="I36" s="2133"/>
      <c r="J36" s="2134"/>
      <c r="K36" s="2141"/>
      <c r="L36" s="2030"/>
      <c r="M36" s="2030"/>
    </row>
    <row r="37" spans="1:18" ht="18" customHeight="1">
      <c r="A37" s="2001" t="s">
        <v>941</v>
      </c>
      <c r="B37" s="1972" t="s">
        <v>1203</v>
      </c>
      <c r="C37" s="1004">
        <f ca="1">ROUND(C13*F37,0)</f>
        <v>205</v>
      </c>
      <c r="D37" s="2026" t="s">
        <v>1204</v>
      </c>
      <c r="E37" s="1972" t="s">
        <v>1171</v>
      </c>
      <c r="F37" s="2039">
        <f ca="1">INDIRECT("'数据-取费表'!Al"&amp;$G$1)</f>
        <v>1E-3</v>
      </c>
      <c r="G37" s="761"/>
      <c r="H37" s="2030"/>
      <c r="I37" s="2133"/>
      <c r="J37" s="2134"/>
      <c r="K37" s="2141"/>
      <c r="L37" s="2030"/>
      <c r="M37" s="2030"/>
    </row>
    <row r="38" spans="1:18" ht="18" customHeight="1">
      <c r="A38" s="2009" t="s">
        <v>944</v>
      </c>
      <c r="B38" s="1994" t="s">
        <v>1189</v>
      </c>
      <c r="C38" s="2018">
        <f ca="1">ROUND(C5*F38,0)</f>
        <v>459</v>
      </c>
      <c r="D38" s="2019" t="s">
        <v>1207</v>
      </c>
      <c r="E38" s="1994" t="s">
        <v>1171</v>
      </c>
      <c r="F38" s="1995">
        <f ca="1">INDIRECT("'数据-取费表'!Am"&amp;$G$1)</f>
        <v>0.01</v>
      </c>
      <c r="G38" s="761"/>
      <c r="H38" s="2030"/>
      <c r="I38" s="2133"/>
      <c r="J38" s="2134"/>
      <c r="K38" s="2142"/>
      <c r="L38" s="2030"/>
      <c r="M38" s="2030"/>
    </row>
    <row r="39" spans="1:18" ht="24.6" customHeight="1">
      <c r="A39" s="1996" t="s">
        <v>1210</v>
      </c>
      <c r="B39" s="2040" t="s">
        <v>1211</v>
      </c>
      <c r="C39" s="1998">
        <f ca="1">C5-C30</f>
        <v>39526</v>
      </c>
      <c r="D39" s="2041" t="s">
        <v>1212</v>
      </c>
      <c r="E39" s="2042"/>
      <c r="F39" s="2043"/>
      <c r="G39" s="761"/>
      <c r="H39" s="2030"/>
      <c r="I39" s="2133"/>
      <c r="J39" s="2134"/>
      <c r="K39" s="2142"/>
      <c r="L39" s="2030"/>
      <c r="M39" s="2030"/>
    </row>
    <row r="40" spans="1:18" ht="18" customHeight="1">
      <c r="A40" s="1963" t="s">
        <v>1216</v>
      </c>
      <c r="B40" s="1964" t="s">
        <v>1233</v>
      </c>
      <c r="C40" s="2044">
        <f ca="1">ROUND(C39*(1-((1+F42)/(1+F40))^F41)/(F40-F42),0)</f>
        <v>823462</v>
      </c>
      <c r="D40" s="2032" t="s">
        <v>1218</v>
      </c>
      <c r="E40" s="1972" t="s">
        <v>1219</v>
      </c>
      <c r="F40" s="1980">
        <f ca="1">INDIRECT("'数据-取费表'!I"&amp;$G$1)</f>
        <v>5.5E-2</v>
      </c>
      <c r="G40" s="761"/>
      <c r="H40" s="2045"/>
      <c r="I40" s="2133"/>
      <c r="J40" s="2134"/>
      <c r="K40" s="2142"/>
      <c r="L40" s="2045"/>
      <c r="M40" s="2045"/>
    </row>
    <row r="41" spans="1:18" ht="18" customHeight="1">
      <c r="A41" s="1978"/>
      <c r="B41" s="2046"/>
      <c r="C41" s="1979"/>
      <c r="D41" s="2047" t="s">
        <v>1222</v>
      </c>
      <c r="E41" s="1972" t="s">
        <v>1223</v>
      </c>
      <c r="F41" s="2048">
        <f ca="1">IF(INDIRECT("'数据-取费表'!af"&amp;$G$1)=0,INDIRECT("'数据-取费表'!ae"&amp;$G$1),INDIRECT("'数据-取费表'!af"&amp;$G$1))</f>
        <v>34</v>
      </c>
      <c r="G41" s="761"/>
      <c r="H41" s="2049"/>
      <c r="I41" s="2133"/>
      <c r="J41" s="2134"/>
      <c r="K41" s="2141"/>
      <c r="L41" s="2049"/>
      <c r="M41" s="2049"/>
    </row>
    <row r="42" spans="1:18" ht="18" customHeight="1">
      <c r="A42" s="1985"/>
      <c r="B42" s="2050"/>
      <c r="C42" s="1998"/>
      <c r="D42" s="2036"/>
      <c r="E42" s="1972" t="s">
        <v>1226</v>
      </c>
      <c r="F42" s="1980">
        <f ca="1">INDIRECT("'数据-取费表'!v"&amp;$G$1)</f>
        <v>2.5000000000000001E-2</v>
      </c>
      <c r="G42" s="761"/>
      <c r="H42" s="2049"/>
      <c r="I42" s="2133"/>
      <c r="J42" s="2134"/>
      <c r="K42" s="2141"/>
      <c r="L42" s="2049"/>
      <c r="M42" s="2049"/>
    </row>
    <row r="43" spans="1:18" ht="18" customHeight="1">
      <c r="A43" s="2021" t="s">
        <v>1228</v>
      </c>
      <c r="B43" s="2051" t="s">
        <v>1234</v>
      </c>
      <c r="C43" s="2052">
        <f ca="1">ROUND(C40/F43,0)</f>
        <v>17697</v>
      </c>
      <c r="D43" s="2053" t="s">
        <v>1235</v>
      </c>
      <c r="E43" s="2054" t="s">
        <v>1236</v>
      </c>
      <c r="F43" s="2055">
        <f ca="1">INDIRECT("'数据-取费表'!k"&amp;$G$1)</f>
        <v>46.53</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1422</v>
      </c>
      <c r="B45" s="2056"/>
      <c r="C45" s="2059">
        <f ca="1">ROUND((C68-C40)/10000,4)</f>
        <v>-86.719200000000001</v>
      </c>
      <c r="D45" s="2060" t="s">
        <v>1423</v>
      </c>
      <c r="E45" s="2056"/>
      <c r="F45" s="2056"/>
      <c r="O45" s="2144" t="s">
        <v>1237</v>
      </c>
      <c r="P45" s="2045"/>
      <c r="Q45" s="2045"/>
      <c r="R45" s="2045"/>
    </row>
    <row r="46" spans="1:18" s="761" customFormat="1">
      <c r="A46" s="2061" t="s">
        <v>1238</v>
      </c>
      <c r="C46" s="2062">
        <f ca="1">ROUND(C45,0)</f>
        <v>-87</v>
      </c>
      <c r="D46" s="2063" t="str">
        <f>C2</f>
        <v>万元</v>
      </c>
      <c r="I46" s="2145" t="s">
        <v>1239</v>
      </c>
      <c r="J46" s="2146"/>
      <c r="K46" s="2147"/>
      <c r="L46" s="2148">
        <f ca="1">IF(M47="住宅",0,IF(L48&gt;J51,L60,J60))</f>
        <v>7787</v>
      </c>
      <c r="O46" s="2149" t="s">
        <v>1240</v>
      </c>
      <c r="P46" s="2150" t="s">
        <v>1241</v>
      </c>
      <c r="Q46" s="2195" t="s">
        <v>1242</v>
      </c>
      <c r="R46" s="2195" t="s">
        <v>1243</v>
      </c>
    </row>
    <row r="47" spans="1:18" s="761" customFormat="1">
      <c r="A47" s="2064" t="s">
        <v>1144</v>
      </c>
      <c r="B47" s="2065" t="s">
        <v>1145</v>
      </c>
      <c r="C47" s="2065" t="s">
        <v>1146</v>
      </c>
      <c r="D47" s="2065" t="s">
        <v>1147</v>
      </c>
      <c r="E47" s="2066" t="s">
        <v>1148</v>
      </c>
      <c r="F47" s="997"/>
      <c r="G47" s="2067"/>
      <c r="I47" s="2151" t="s">
        <v>1244</v>
      </c>
      <c r="J47" s="2152" t="s">
        <v>1372</v>
      </c>
      <c r="K47" s="2153" t="s">
        <v>1245</v>
      </c>
      <c r="L47" s="2154">
        <f ca="1">INDIRECT("'数据-取费表'!d"&amp;$G$1)</f>
        <v>50</v>
      </c>
      <c r="M47" s="2155" t="str">
        <f>IF(ISNUMBER(FIND("住宅",C1)),"住宅","非住宅")</f>
        <v>非住宅</v>
      </c>
      <c r="O47" s="2156" t="s">
        <v>997</v>
      </c>
      <c r="P47" s="2157" t="s">
        <v>1246</v>
      </c>
      <c r="Q47" s="2196">
        <f ca="1">C40+J29</f>
        <v>823462</v>
      </c>
      <c r="R47" s="2196" t="s">
        <v>1247</v>
      </c>
    </row>
    <row r="48" spans="1:18" s="761" customFormat="1" ht="27.75">
      <c r="A48" s="2068" t="s">
        <v>1248</v>
      </c>
      <c r="B48" s="1964" t="s">
        <v>1149</v>
      </c>
      <c r="C48" s="1005">
        <f ca="1">C49+C53+C55</f>
        <v>0</v>
      </c>
      <c r="D48" s="2069"/>
      <c r="E48" s="2070"/>
      <c r="F48" s="2071"/>
      <c r="G48" s="2067"/>
      <c r="H48" s="2072"/>
      <c r="I48" s="2158" t="s">
        <v>1249</v>
      </c>
      <c r="J48" s="2159" t="s">
        <v>1424</v>
      </c>
      <c r="K48" s="2160" t="s">
        <v>1250</v>
      </c>
      <c r="L48" s="2161">
        <f ca="1">INDIRECT("'数据-取费表'!f"&amp;$G$1)</f>
        <v>34</v>
      </c>
      <c r="O48" s="2156" t="s">
        <v>1000</v>
      </c>
      <c r="P48" s="2157" t="s">
        <v>1251</v>
      </c>
      <c r="Q48" s="2196">
        <f ca="1">J60</f>
        <v>7787</v>
      </c>
      <c r="R48" s="2196" t="s">
        <v>1252</v>
      </c>
    </row>
    <row r="49" spans="1:18" s="761" customFormat="1">
      <c r="A49" s="2073" t="s">
        <v>1253</v>
      </c>
      <c r="B49" s="2074" t="s">
        <v>1254</v>
      </c>
      <c r="C49" s="2075">
        <f ca="1">ROUND(F49*F51*F50*(1-F52),0)</f>
        <v>0</v>
      </c>
      <c r="D49" s="2076" t="s">
        <v>1425</v>
      </c>
      <c r="E49" s="2077" t="s">
        <v>1255</v>
      </c>
      <c r="F49" s="2078"/>
      <c r="G49" s="2079"/>
      <c r="H49" s="2072"/>
      <c r="I49" s="2158" t="s">
        <v>1256</v>
      </c>
      <c r="J49" s="2162">
        <f>'数据-取费表'!N20</f>
        <v>2009</v>
      </c>
      <c r="K49" s="2160" t="s">
        <v>1257</v>
      </c>
      <c r="L49" s="2163"/>
      <c r="O49" s="2164" t="s">
        <v>1258</v>
      </c>
      <c r="P49" s="2157" t="s">
        <v>1259</v>
      </c>
      <c r="Q49" s="2196">
        <f ca="1">C29</f>
        <v>266514</v>
      </c>
      <c r="R49" s="2196" t="s">
        <v>1247</v>
      </c>
    </row>
    <row r="50" spans="1:18" s="761" customFormat="1">
      <c r="A50" s="2080"/>
      <c r="B50" s="2081"/>
      <c r="C50" s="2082"/>
      <c r="D50" s="2083"/>
      <c r="E50" s="2084" t="s">
        <v>1155</v>
      </c>
      <c r="F50" s="2085">
        <f ca="1">F7</f>
        <v>46.53</v>
      </c>
      <c r="H50" s="2072"/>
      <c r="I50" s="2158" t="s">
        <v>1260</v>
      </c>
      <c r="J50" s="2165">
        <f>SUMPRODUCT((I63:I65=J47)*(J62:L62=J48)*(J63:L65))</f>
        <v>60</v>
      </c>
      <c r="K50" s="2160" t="s">
        <v>1261</v>
      </c>
      <c r="L50" s="2163"/>
      <c r="M50" s="2166"/>
      <c r="O50" s="2164" t="s">
        <v>1262</v>
      </c>
      <c r="P50" s="2157" t="s">
        <v>1263</v>
      </c>
      <c r="Q50" s="2197">
        <f ca="1">J58</f>
        <v>0.4</v>
      </c>
      <c r="R50" s="2196"/>
    </row>
    <row r="51" spans="1:18" s="761" customFormat="1">
      <c r="A51" s="2086"/>
      <c r="B51" s="2081"/>
      <c r="C51" s="2082"/>
      <c r="D51" s="2083"/>
      <c r="E51" s="2087" t="s">
        <v>1156</v>
      </c>
      <c r="F51" s="1973">
        <f ca="1">F8</f>
        <v>365</v>
      </c>
      <c r="I51" s="2167" t="s">
        <v>1264</v>
      </c>
      <c r="J51" s="2168">
        <f>IF(J49="",J50,J49+J50-YEAR('数据-取费表'!B2))</f>
        <v>46</v>
      </c>
      <c r="K51" s="2169" t="s">
        <v>1265</v>
      </c>
      <c r="L51" s="2170">
        <f ca="1">ROUND(-PV(INDIRECT("'数据-取费表'!h"&amp;$G$1),J51,(C39-C13*C76),0),0)</f>
        <v>431532</v>
      </c>
      <c r="M51" s="2171"/>
      <c r="O51" s="2164" t="s">
        <v>1266</v>
      </c>
      <c r="P51" s="2157" t="s">
        <v>1267</v>
      </c>
      <c r="Q51" s="2197">
        <f>J52</f>
        <v>0.08</v>
      </c>
      <c r="R51" s="2196"/>
    </row>
    <row r="52" spans="1:18" s="761" customFormat="1">
      <c r="A52" s="2086"/>
      <c r="B52" s="2081"/>
      <c r="C52" s="2082"/>
      <c r="D52" s="2083"/>
      <c r="E52" s="2087" t="s">
        <v>1157</v>
      </c>
      <c r="F52" s="2088"/>
      <c r="I52" s="2172" t="s">
        <v>1268</v>
      </c>
      <c r="J52" s="2173">
        <v>0.08</v>
      </c>
      <c r="K52" s="2172" t="s">
        <v>1269</v>
      </c>
      <c r="L52" s="2173"/>
      <c r="O52" s="2164" t="s">
        <v>1270</v>
      </c>
      <c r="P52" s="2157" t="s">
        <v>1271</v>
      </c>
      <c r="Q52" s="2196">
        <f ca="1">J53</f>
        <v>34</v>
      </c>
      <c r="R52" s="2196" t="s">
        <v>1272</v>
      </c>
    </row>
    <row r="53" spans="1:18" s="761" customFormat="1" ht="30.75" customHeight="1">
      <c r="A53" s="2089" t="s">
        <v>1273</v>
      </c>
      <c r="B53" s="2013" t="s">
        <v>1158</v>
      </c>
      <c r="C53" s="1003">
        <f ca="1">ROUND(IF(F53="押一",C49/12*F11,IF(F53="押二",C49/12*2*F11,IF(F53="押三",C49/12*3*F11,C54*F11))),0)</f>
        <v>0</v>
      </c>
      <c r="D53" s="1982" t="s">
        <v>1426</v>
      </c>
      <c r="E53" s="1983" t="s">
        <v>1160</v>
      </c>
      <c r="F53" s="1984"/>
      <c r="I53" s="2174" t="s">
        <v>1274</v>
      </c>
      <c r="J53" s="2175">
        <f ca="1">IF(M47="住宅",IF(D1="——",MAX(J51,L48),MAX(J51,L48-'数据-取费表'!B24)),IF(D1="——",MIN(J51,L48),MIN(J51,L48-'数据-取费表'!B24)))</f>
        <v>34</v>
      </c>
      <c r="K53" s="3621" t="s">
        <v>1275</v>
      </c>
      <c r="L53" s="3622"/>
      <c r="O53" s="2156" t="s">
        <v>1100</v>
      </c>
      <c r="P53" s="2157" t="s">
        <v>1276</v>
      </c>
      <c r="Q53" s="2196">
        <f ca="1">Q47+Q48</f>
        <v>831249</v>
      </c>
      <c r="R53" s="2196" t="s">
        <v>1277</v>
      </c>
    </row>
    <row r="54" spans="1:18" s="761" customFormat="1">
      <c r="A54" s="2073"/>
      <c r="B54" s="2090" t="s">
        <v>1421</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1278</v>
      </c>
      <c r="P54" s="2178"/>
      <c r="Q54" s="2178"/>
      <c r="R54" s="2178"/>
    </row>
    <row r="55" spans="1:18" s="761" customFormat="1">
      <c r="A55" s="1990" t="s">
        <v>941</v>
      </c>
      <c r="B55" s="1991" t="s">
        <v>1163</v>
      </c>
      <c r="C55" s="1992"/>
      <c r="D55" s="1982"/>
      <c r="E55" s="2091"/>
      <c r="F55" s="2092"/>
      <c r="I55" s="2179" t="s">
        <v>1279</v>
      </c>
      <c r="J55" s="2180">
        <f ca="1">ROUND(IF(J47="钢混",J57/J50,1-(1-2%)*(J50-J57)/J50),3)</f>
        <v>0.2</v>
      </c>
      <c r="K55" s="2181" t="s">
        <v>1280</v>
      </c>
      <c r="L55" s="2182"/>
      <c r="O55" s="2149" t="s">
        <v>1240</v>
      </c>
      <c r="P55" s="2150" t="s">
        <v>1241</v>
      </c>
      <c r="Q55" s="2195" t="s">
        <v>1242</v>
      </c>
      <c r="R55" s="2195" t="s">
        <v>1243</v>
      </c>
    </row>
    <row r="56" spans="1:18" s="761" customFormat="1" ht="36" customHeight="1">
      <c r="A56" s="2093">
        <v>2</v>
      </c>
      <c r="B56" s="2094" t="s">
        <v>1164</v>
      </c>
      <c r="C56" s="414">
        <f ca="1">C13</f>
        <v>205216</v>
      </c>
      <c r="D56" s="2095"/>
      <c r="E56" s="2096"/>
      <c r="F56" s="2092"/>
      <c r="I56" s="2183" t="s">
        <v>1281</v>
      </c>
      <c r="J56" s="2184" t="s">
        <v>485</v>
      </c>
      <c r="K56" s="2158" t="s">
        <v>1282</v>
      </c>
      <c r="L56" s="2161" t="str">
        <f ca="1">IF(L48&lt;J51,"——",L48-J51)</f>
        <v>——</v>
      </c>
      <c r="O56" s="2156" t="s">
        <v>997</v>
      </c>
      <c r="P56" s="2157" t="s">
        <v>1246</v>
      </c>
      <c r="Q56" s="2196">
        <f ca="1">C40+J29</f>
        <v>823462</v>
      </c>
      <c r="R56" s="2196" t="s">
        <v>1247</v>
      </c>
    </row>
    <row r="57" spans="1:18" s="761" customFormat="1" ht="24">
      <c r="A57" s="2097"/>
      <c r="B57" s="2098" t="s">
        <v>1227</v>
      </c>
      <c r="C57" s="424">
        <f ca="1">C29</f>
        <v>266514</v>
      </c>
      <c r="D57" s="2099"/>
      <c r="E57" s="2100"/>
      <c r="F57" s="2101"/>
      <c r="I57" s="2185" t="s">
        <v>1283</v>
      </c>
      <c r="J57" s="2186">
        <f ca="1">IF(OR(M47="住宅",J51&lt;L48,J56="是"),"——",J51-L48)</f>
        <v>12</v>
      </c>
      <c r="K57" s="2158" t="s">
        <v>1427</v>
      </c>
      <c r="L57" s="2161" t="str">
        <f ca="1">IF(L48&lt;J51,"——",IF(L55="比较法",L49,IF(L55="基准地价",L50,L51)))</f>
        <v>——</v>
      </c>
      <c r="O57" s="2156" t="s">
        <v>1000</v>
      </c>
      <c r="P57" s="2157" t="s">
        <v>1285</v>
      </c>
      <c r="Q57" s="2196">
        <f ca="1">L60</f>
        <v>0</v>
      </c>
      <c r="R57" s="2196" t="s">
        <v>1286</v>
      </c>
    </row>
    <row r="58" spans="1:18" s="761" customFormat="1" ht="24">
      <c r="A58" s="2102" t="s">
        <v>1172</v>
      </c>
      <c r="B58" s="2094" t="s">
        <v>1173</v>
      </c>
      <c r="C58" s="1003">
        <f ca="1">ROUND(C59+C64+C65+C66,0)</f>
        <v>2870</v>
      </c>
      <c r="D58" s="2103" t="s">
        <v>1174</v>
      </c>
      <c r="E58" s="2104"/>
      <c r="F58" s="2071"/>
      <c r="I58" s="2185" t="s">
        <v>1287</v>
      </c>
      <c r="J58" s="2187">
        <f ca="1">IF(J55&lt;0.4,0.4,J55)</f>
        <v>0.4</v>
      </c>
      <c r="K58" s="2169" t="s">
        <v>1428</v>
      </c>
      <c r="L58" s="2161" t="e">
        <f ca="1">ROUND(POWER(1+L52,L47-L48)*(POWER(1+L52,L48)-1)/(POWER(1+L52,L47)-1),4)</f>
        <v>#DIV/0!</v>
      </c>
      <c r="O58" s="2164" t="s">
        <v>1258</v>
      </c>
      <c r="P58" s="2157" t="s">
        <v>1289</v>
      </c>
      <c r="Q58" s="2196">
        <f>IF(L55="比较法",L49,IF(L55="基准地价",L50,0))</f>
        <v>0</v>
      </c>
      <c r="R58" s="2196" t="s">
        <v>1247</v>
      </c>
    </row>
    <row r="59" spans="1:18" s="761" customFormat="1" ht="24">
      <c r="A59" s="2001" t="s">
        <v>892</v>
      </c>
      <c r="B59" s="2098" t="s">
        <v>1179</v>
      </c>
      <c r="C59" s="2025">
        <f ca="1">ROUND(IF(AND(项目基本情况!B11="自然人",项目基本情况!B10="北京市"),C49*F59/(1+'数据-取费表'!C42),C60+C61+C62),0)</f>
        <v>0</v>
      </c>
      <c r="D59" s="2105" t="s">
        <v>1180</v>
      </c>
      <c r="E59" s="2106" t="s">
        <v>1181</v>
      </c>
      <c r="F59" s="2027">
        <f ca="1">IF(项目基本情况!B11="企业","——",IF('数据-取费表'!B10="住宅",IF(F49*F50*F51/12/(1+'数据-取费表'!F30)&gt;100000,4%,2.5%),IF(F49*F50*F51/12/(1+'数据-取费表'!F30)&gt;100000,12%,7%)))</f>
        <v>7.0000000000000007E-2</v>
      </c>
      <c r="I59" s="2185" t="s">
        <v>1290</v>
      </c>
      <c r="J59" s="2186">
        <f ca="1">IF(OR(M47="住宅",J51&lt;L48,J56="是"),"——",ROUND(C29*J58,0))</f>
        <v>106606</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1262</v>
      </c>
      <c r="P59" s="2157" t="s">
        <v>1291</v>
      </c>
      <c r="Q59" s="2197">
        <f>L52</f>
        <v>0</v>
      </c>
      <c r="R59" s="2196"/>
    </row>
    <row r="60" spans="1:18" s="761" customFormat="1" ht="15.75">
      <c r="A60" s="2001" t="s">
        <v>915</v>
      </c>
      <c r="B60" s="2098" t="s">
        <v>1183</v>
      </c>
      <c r="C60" s="1004" t="str">
        <f>IF(项目基本情况!B11="自然人","——",ROUND(C48*F60/(1+'数据-取费表'!C42),0))</f>
        <v>——</v>
      </c>
      <c r="D60" s="2106" t="s">
        <v>1184</v>
      </c>
      <c r="E60" s="2098" t="s">
        <v>1171</v>
      </c>
      <c r="F60" s="2017">
        <f t="shared" ref="F60:F66" si="0">F32</f>
        <v>5.5000000000000007E-2</v>
      </c>
      <c r="I60" s="2188" t="s">
        <v>1292</v>
      </c>
      <c r="J60" s="2189">
        <f ca="1">IF(OR(M47="住宅",J51&lt;L48,J56="是"),"0",ROUND(J59/(1+J52)^J53,0))</f>
        <v>7787</v>
      </c>
      <c r="K60" s="2190" t="s">
        <v>1293</v>
      </c>
      <c r="L60" s="2189">
        <f ca="1">IF(OR(M47="住宅",L48&lt;J51),0,ROUND(L57*(L58/L59-1),0))</f>
        <v>0</v>
      </c>
      <c r="O60" s="2164" t="s">
        <v>1266</v>
      </c>
      <c r="P60" s="2157" t="s">
        <v>1294</v>
      </c>
      <c r="Q60" s="2196" t="e">
        <f ca="1">L58</f>
        <v>#DIV/0!</v>
      </c>
      <c r="R60" s="2196" t="s">
        <v>1295</v>
      </c>
    </row>
    <row r="61" spans="1:18" s="761" customFormat="1">
      <c r="A61" s="2001" t="s">
        <v>919</v>
      </c>
      <c r="B61" s="2098" t="s">
        <v>1187</v>
      </c>
      <c r="C61" s="1004" t="str">
        <f ca="1">IF(项目基本情况!B11="自然人","——",IF(D61="按租金收入计税",ROUND(C49*F61/(1+'数据-取费表'!C42),0),IF(D61="按房产原值计税",ROUND(C57*F61*0.7,0),INDIRECT("'数据-取费表'!Aj"&amp;$G$1))))</f>
        <v>——</v>
      </c>
      <c r="D61" s="2029" t="s">
        <v>1188</v>
      </c>
      <c r="E61" s="2098" t="s">
        <v>1171</v>
      </c>
      <c r="F61" s="2010">
        <f t="shared" si="0"/>
        <v>0.12</v>
      </c>
      <c r="I61" s="2045"/>
      <c r="J61" s="2045"/>
      <c r="K61" s="2045"/>
      <c r="L61" s="2045"/>
      <c r="O61" s="2164" t="s">
        <v>1270</v>
      </c>
      <c r="P61" s="2157" t="str">
        <f>K59</f>
        <v>建筑物剩余耐用年限下的土地年期修正系数Kn</v>
      </c>
      <c r="Q61" s="2196" t="e">
        <f ca="1">L59</f>
        <v>#DIV/0!</v>
      </c>
      <c r="R61" s="2196" t="s">
        <v>1296</v>
      </c>
    </row>
    <row r="62" spans="1:18" s="761" customFormat="1">
      <c r="A62" s="2001" t="s">
        <v>922</v>
      </c>
      <c r="B62" s="2107" t="s">
        <v>1191</v>
      </c>
      <c r="C62" s="2031" t="str">
        <f>IF(项目基本情况!B11="自然人","——",ROUND(F62*F63,0))</f>
        <v>——</v>
      </c>
      <c r="D62" s="2108" t="s">
        <v>1192</v>
      </c>
      <c r="E62" s="2098" t="s">
        <v>1193</v>
      </c>
      <c r="F62" s="2016">
        <f t="shared" si="0"/>
        <v>1.5</v>
      </c>
      <c r="I62" s="2191" t="s">
        <v>1297</v>
      </c>
      <c r="J62" s="2192" t="s">
        <v>1298</v>
      </c>
      <c r="K62" s="2192" t="s">
        <v>1299</v>
      </c>
      <c r="L62" s="2192" t="s">
        <v>1300</v>
      </c>
      <c r="M62" s="2193" t="s">
        <v>1301</v>
      </c>
      <c r="O62" s="2156" t="s">
        <v>1100</v>
      </c>
      <c r="P62" s="2157" t="s">
        <v>1276</v>
      </c>
      <c r="Q62" s="2196">
        <f ca="1">Q56+Q57</f>
        <v>823462</v>
      </c>
      <c r="R62" s="2196" t="s">
        <v>1277</v>
      </c>
    </row>
    <row r="63" spans="1:18" s="761" customFormat="1">
      <c r="A63" s="2014"/>
      <c r="B63" s="2109"/>
      <c r="C63" s="2035"/>
      <c r="D63" s="2110"/>
      <c r="E63" s="2098" t="s">
        <v>1197</v>
      </c>
      <c r="F63" s="1973">
        <f t="shared" ca="1" si="0"/>
        <v>0</v>
      </c>
      <c r="I63" s="2191" t="s">
        <v>1302</v>
      </c>
      <c r="J63" s="2192">
        <v>70</v>
      </c>
      <c r="K63" s="2192">
        <v>50</v>
      </c>
      <c r="L63" s="2192">
        <v>80</v>
      </c>
      <c r="M63" s="2194">
        <v>0.02</v>
      </c>
      <c r="O63" s="2144" t="s">
        <v>1303</v>
      </c>
      <c r="P63" s="2178"/>
      <c r="Q63" s="2178"/>
      <c r="R63" s="2178"/>
    </row>
    <row r="64" spans="1:18" s="761" customFormat="1">
      <c r="A64" s="2001" t="s">
        <v>896</v>
      </c>
      <c r="B64" s="2098" t="s">
        <v>1199</v>
      </c>
      <c r="C64" s="1004">
        <f ca="1">ROUND(C57*F64,0)</f>
        <v>2665</v>
      </c>
      <c r="D64" s="2106" t="s">
        <v>1232</v>
      </c>
      <c r="E64" s="2098" t="s">
        <v>1171</v>
      </c>
      <c r="F64" s="2038">
        <f t="shared" ca="1" si="0"/>
        <v>0.01</v>
      </c>
      <c r="I64" s="2191" t="s">
        <v>1304</v>
      </c>
      <c r="J64" s="2192">
        <v>50</v>
      </c>
      <c r="K64" s="2192">
        <v>35</v>
      </c>
      <c r="L64" s="2192">
        <v>60</v>
      </c>
      <c r="M64" s="2193">
        <v>0</v>
      </c>
      <c r="O64" s="2149" t="s">
        <v>1240</v>
      </c>
      <c r="P64" s="2150" t="s">
        <v>1241</v>
      </c>
      <c r="Q64" s="2195" t="s">
        <v>1242</v>
      </c>
      <c r="R64" s="2195" t="s">
        <v>1243</v>
      </c>
    </row>
    <row r="65" spans="1:18" s="761" customFormat="1">
      <c r="A65" s="2001" t="s">
        <v>941</v>
      </c>
      <c r="B65" s="2098" t="s">
        <v>1203</v>
      </c>
      <c r="C65" s="1004">
        <f ca="1">ROUND(C56*F65,0)</f>
        <v>205</v>
      </c>
      <c r="D65" s="2106" t="s">
        <v>1204</v>
      </c>
      <c r="E65" s="2098" t="s">
        <v>1171</v>
      </c>
      <c r="F65" s="2039">
        <f t="shared" ca="1" si="0"/>
        <v>1E-3</v>
      </c>
      <c r="I65" s="2191" t="s">
        <v>1305</v>
      </c>
      <c r="J65" s="2192">
        <v>40</v>
      </c>
      <c r="K65" s="2192">
        <v>30</v>
      </c>
      <c r="L65" s="2192">
        <v>50</v>
      </c>
      <c r="M65" s="2194">
        <v>0.02</v>
      </c>
      <c r="O65" s="2156" t="s">
        <v>997</v>
      </c>
      <c r="P65" s="2157" t="s">
        <v>1246</v>
      </c>
      <c r="Q65" s="2196">
        <f ca="1">C40+J29</f>
        <v>823462</v>
      </c>
      <c r="R65" s="2196" t="s">
        <v>1247</v>
      </c>
    </row>
    <row r="66" spans="1:18" s="761" customFormat="1" ht="15.75">
      <c r="A66" s="2001" t="s">
        <v>944</v>
      </c>
      <c r="B66" s="2098" t="s">
        <v>1189</v>
      </c>
      <c r="C66" s="1004">
        <f ca="1">ROUND(C48*F66,0)</f>
        <v>0</v>
      </c>
      <c r="D66" s="2106" t="s">
        <v>1207</v>
      </c>
      <c r="E66" s="2098" t="s">
        <v>1171</v>
      </c>
      <c r="F66" s="1980">
        <f t="shared" ca="1" si="0"/>
        <v>0.01</v>
      </c>
      <c r="O66" s="2156" t="s">
        <v>1000</v>
      </c>
      <c r="P66" s="2157" t="s">
        <v>1285</v>
      </c>
      <c r="Q66" s="2196">
        <f ca="1">L60</f>
        <v>0</v>
      </c>
      <c r="R66" s="2196" t="s">
        <v>1286</v>
      </c>
    </row>
    <row r="67" spans="1:18" s="761" customFormat="1" ht="15.75">
      <c r="A67" s="2093" t="s">
        <v>1210</v>
      </c>
      <c r="B67" s="2198" t="s">
        <v>1211</v>
      </c>
      <c r="C67" s="1003">
        <f ca="1">C48-C58</f>
        <v>-2870</v>
      </c>
      <c r="D67" s="2105" t="s">
        <v>1212</v>
      </c>
      <c r="E67" s="2199"/>
      <c r="F67" s="2200"/>
      <c r="O67" s="2164" t="s">
        <v>1258</v>
      </c>
      <c r="P67" s="2157" t="s">
        <v>1289</v>
      </c>
      <c r="Q67" s="2220">
        <f ca="1">L51</f>
        <v>431532</v>
      </c>
      <c r="R67" s="2196" t="s">
        <v>1306</v>
      </c>
    </row>
    <row r="68" spans="1:18" s="761" customFormat="1" ht="15.75">
      <c r="A68" s="2201" t="s">
        <v>1216</v>
      </c>
      <c r="B68" s="2202" t="s">
        <v>1233</v>
      </c>
      <c r="C68" s="2044">
        <f ca="1">ROUND(C67*(1-((1+F70)/(1+F68))^F69)/(F68-F70),0)</f>
        <v>-43730</v>
      </c>
      <c r="D68" s="2108" t="s">
        <v>1218</v>
      </c>
      <c r="E68" s="2098" t="s">
        <v>1219</v>
      </c>
      <c r="F68" s="1980">
        <f ca="1">F40</f>
        <v>5.5E-2</v>
      </c>
      <c r="O68" s="2164" t="s">
        <v>1262</v>
      </c>
      <c r="P68" s="2219" t="s">
        <v>1307</v>
      </c>
      <c r="Q68" s="2196">
        <f ca="1">ROUND(Q69-Q70*Q71,0)</f>
        <v>24135</v>
      </c>
      <c r="R68" s="2196" t="s">
        <v>1308</v>
      </c>
    </row>
    <row r="69" spans="1:18" s="761" customFormat="1">
      <c r="A69" s="2203"/>
      <c r="B69" s="2204"/>
      <c r="C69" s="1979"/>
      <c r="D69" s="2205" t="s">
        <v>1222</v>
      </c>
      <c r="E69" s="2098" t="s">
        <v>1223</v>
      </c>
      <c r="F69" s="2048">
        <f ca="1">F41</f>
        <v>34</v>
      </c>
      <c r="O69" s="2164" t="s">
        <v>1309</v>
      </c>
      <c r="P69" s="2219" t="s">
        <v>1310</v>
      </c>
      <c r="Q69" s="2196">
        <f ca="1">C39</f>
        <v>39526</v>
      </c>
      <c r="R69" s="2196" t="s">
        <v>1247</v>
      </c>
    </row>
    <row r="70" spans="1:18" s="761" customFormat="1">
      <c r="A70" s="2206"/>
      <c r="B70" s="2207"/>
      <c r="C70" s="1998"/>
      <c r="D70" s="2110"/>
      <c r="E70" s="2098" t="s">
        <v>1226</v>
      </c>
      <c r="F70" s="2088"/>
      <c r="O70" s="2164" t="s">
        <v>1311</v>
      </c>
      <c r="P70" s="2219" t="s">
        <v>1312</v>
      </c>
      <c r="Q70" s="2196">
        <f ca="1">C13</f>
        <v>205216</v>
      </c>
      <c r="R70" s="2196" t="s">
        <v>1247</v>
      </c>
    </row>
    <row r="71" spans="1:18" s="761" customFormat="1">
      <c r="A71" s="2208" t="s">
        <v>1228</v>
      </c>
      <c r="B71" s="2209" t="s">
        <v>1234</v>
      </c>
      <c r="C71" s="2052">
        <f ca="1">ROUND(C68/F71,0)</f>
        <v>-940</v>
      </c>
      <c r="D71" s="2210" t="s">
        <v>1235</v>
      </c>
      <c r="E71" s="2211" t="s">
        <v>1236</v>
      </c>
      <c r="F71" s="2055">
        <f ca="1">F43</f>
        <v>46.53</v>
      </c>
      <c r="O71" s="2164" t="s">
        <v>1313</v>
      </c>
      <c r="P71" s="2219" t="s">
        <v>1314</v>
      </c>
      <c r="Q71" s="2197">
        <f ca="1">C76</f>
        <v>7.4999999999999997E-2</v>
      </c>
      <c r="R71" s="2196"/>
    </row>
    <row r="72" spans="1:18" s="761" customFormat="1">
      <c r="B72" s="1038"/>
      <c r="C72" s="1038"/>
      <c r="O72" s="2164" t="s">
        <v>1266</v>
      </c>
      <c r="P72" s="2157" t="s">
        <v>1291</v>
      </c>
      <c r="Q72" s="2197">
        <f>L52</f>
        <v>0</v>
      </c>
      <c r="R72" s="2196"/>
    </row>
    <row r="73" spans="1:18" ht="15.75">
      <c r="A73" s="761"/>
      <c r="B73" s="1038"/>
      <c r="C73" s="1038"/>
      <c r="D73" s="761"/>
      <c r="E73" s="761"/>
      <c r="F73" s="761"/>
      <c r="O73" s="2164" t="s">
        <v>1270</v>
      </c>
      <c r="P73" s="2157" t="s">
        <v>1294</v>
      </c>
      <c r="Q73" s="2196" t="e">
        <f ca="1">L58</f>
        <v>#DIV/0!</v>
      </c>
      <c r="R73" s="2196" t="s">
        <v>1295</v>
      </c>
    </row>
    <row r="74" spans="1:18">
      <c r="A74" s="761"/>
      <c r="B74" s="456" t="s">
        <v>1315</v>
      </c>
      <c r="C74" s="2212"/>
      <c r="D74" s="761"/>
      <c r="E74" s="761"/>
      <c r="F74" s="761"/>
      <c r="O74" s="2164" t="s">
        <v>1316</v>
      </c>
      <c r="P74" s="2157" t="str">
        <f>K59</f>
        <v>建筑物剩余耐用年限下的土地年期修正系数Kn</v>
      </c>
      <c r="Q74" s="2196" t="e">
        <f ca="1">L59</f>
        <v>#DIV/0!</v>
      </c>
      <c r="R74" s="2196" t="s">
        <v>1296</v>
      </c>
    </row>
    <row r="75" spans="1:18">
      <c r="A75" s="761"/>
      <c r="B75" s="2213" t="s">
        <v>1317</v>
      </c>
      <c r="C75" s="2214">
        <f ca="1">ROUND(C13*C76,0)</f>
        <v>15391</v>
      </c>
      <c r="D75" s="761"/>
      <c r="E75" s="761"/>
      <c r="F75" s="761"/>
      <c r="K75" s="2143"/>
      <c r="L75" s="761"/>
      <c r="O75" s="2156" t="s">
        <v>1100</v>
      </c>
      <c r="P75" s="2157" t="s">
        <v>1276</v>
      </c>
      <c r="Q75" s="2196">
        <f ca="1">Q65+Q66</f>
        <v>823462</v>
      </c>
      <c r="R75" s="2196" t="s">
        <v>1277</v>
      </c>
    </row>
    <row r="76" spans="1:18">
      <c r="B76" s="546" t="s">
        <v>1318</v>
      </c>
      <c r="C76" s="2215">
        <f ca="1">INDIRECT("'数据-取费表'!j"&amp;$G$1)</f>
        <v>7.4999999999999997E-2</v>
      </c>
      <c r="I76" s="761"/>
      <c r="J76" s="761"/>
      <c r="K76" s="2143"/>
      <c r="L76" s="761"/>
    </row>
    <row r="77" spans="1:18">
      <c r="B77" s="2216" t="s">
        <v>1319</v>
      </c>
      <c r="C77" s="2217"/>
      <c r="I77" s="761"/>
      <c r="J77" s="761"/>
      <c r="K77" s="2143"/>
      <c r="L77" s="761"/>
    </row>
    <row r="78" spans="1:18">
      <c r="B78" s="454" t="s">
        <v>1320</v>
      </c>
      <c r="C78" s="2218"/>
    </row>
    <row r="79" spans="1:18">
      <c r="B79" s="2213" t="s">
        <v>1321</v>
      </c>
      <c r="C79" s="457">
        <f ca="1">1-C80</f>
        <v>0.61099999999999999</v>
      </c>
    </row>
    <row r="80" spans="1:18">
      <c r="B80" s="2213" t="s">
        <v>1322</v>
      </c>
      <c r="C80" s="457">
        <f ca="1">ROUND(C75/C39,3)</f>
        <v>0.38900000000000001</v>
      </c>
    </row>
    <row r="81" spans="2:3">
      <c r="B81" s="454" t="s">
        <v>1323</v>
      </c>
      <c r="C81" s="424"/>
    </row>
    <row r="82" spans="2:3">
      <c r="B82" s="456" t="s">
        <v>1076</v>
      </c>
      <c r="C82" s="458">
        <f ca="1">1-C83</f>
        <v>0.751</v>
      </c>
    </row>
    <row r="83" spans="2:3">
      <c r="B83" s="456" t="s">
        <v>1077</v>
      </c>
      <c r="C83" s="457">
        <f ca="1">ROUND(C13/C40,3)</f>
        <v>0.249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1429</v>
      </c>
      <c r="B1" s="1770"/>
      <c r="C1" s="1771"/>
      <c r="D1" s="1771"/>
      <c r="E1" s="1772"/>
      <c r="F1" s="1773"/>
      <c r="G1" s="1774"/>
      <c r="J1" s="1876" t="s">
        <v>1430</v>
      </c>
      <c r="K1" s="1877"/>
      <c r="L1" s="1877"/>
      <c r="M1" s="1877"/>
      <c r="N1" s="1877"/>
      <c r="O1" s="1877"/>
      <c r="P1" s="1877"/>
      <c r="Q1" s="1877"/>
      <c r="R1" s="1916"/>
      <c r="S1" s="1917"/>
      <c r="T1" s="1917"/>
      <c r="U1" s="1917"/>
    </row>
    <row r="2" spans="1:22" s="1762" customFormat="1" ht="13.15" customHeight="1">
      <c r="A2" s="1775" t="s">
        <v>1139</v>
      </c>
      <c r="B2" s="1776" t="e">
        <f>IF(D2="——",C40,C40+E2)</f>
        <v>#DIV/0!</v>
      </c>
      <c r="C2" s="1771" t="s">
        <v>1140</v>
      </c>
      <c r="D2" s="1777" t="s">
        <v>1431</v>
      </c>
      <c r="E2" s="1778"/>
      <c r="F2" s="1779"/>
      <c r="G2" s="1780"/>
      <c r="H2" s="1781"/>
      <c r="I2" s="1878"/>
      <c r="J2" s="3677" t="s">
        <v>1432</v>
      </c>
      <c r="K2" s="3678"/>
      <c r="L2" s="1879" t="s">
        <v>1433</v>
      </c>
      <c r="M2" s="1879" t="s">
        <v>1434</v>
      </c>
      <c r="N2" s="1879" t="s">
        <v>1435</v>
      </c>
      <c r="O2" s="1879" t="s">
        <v>1436</v>
      </c>
      <c r="P2" s="1879" t="s">
        <v>1437</v>
      </c>
      <c r="Q2" s="1918" t="s">
        <v>1438</v>
      </c>
      <c r="R2" s="1919" t="s">
        <v>1439</v>
      </c>
      <c r="S2" s="1917"/>
      <c r="T2" s="1917"/>
      <c r="U2" s="1917"/>
      <c r="V2" s="1878"/>
    </row>
    <row r="3" spans="1:22" s="1762" customFormat="1" ht="13.15" customHeight="1">
      <c r="A3" s="1782" t="s">
        <v>1141</v>
      </c>
      <c r="B3" s="1783" t="e">
        <f>ROUND(B2*10000/B4,0)</f>
        <v>#DIV/0!</v>
      </c>
      <c r="C3" s="1771" t="s">
        <v>1142</v>
      </c>
      <c r="D3" s="1771"/>
      <c r="E3" s="1784"/>
      <c r="F3" s="1779"/>
      <c r="G3" s="1780"/>
      <c r="H3" s="1781"/>
      <c r="I3" s="1878"/>
      <c r="J3" s="3679" t="s">
        <v>1440</v>
      </c>
      <c r="K3" s="3680"/>
      <c r="L3" s="1880"/>
      <c r="M3" s="1880"/>
      <c r="N3" s="1880"/>
      <c r="O3" s="1880"/>
      <c r="P3" s="1880"/>
      <c r="Q3" s="1920"/>
      <c r="R3" s="1921">
        <f>SUM(L3:Q3)</f>
        <v>0</v>
      </c>
      <c r="S3" s="1917"/>
      <c r="T3" s="1917"/>
      <c r="U3" s="1917"/>
      <c r="V3" s="1878"/>
    </row>
    <row r="4" spans="1:22" s="1762" customFormat="1" ht="13.15" customHeight="1">
      <c r="A4" s="1785" t="s">
        <v>1441</v>
      </c>
      <c r="B4" s="1786"/>
      <c r="C4" s="1771"/>
      <c r="D4" s="1771"/>
      <c r="E4" s="1784"/>
      <c r="F4" s="1779"/>
      <c r="G4" s="1780"/>
      <c r="H4" s="1781"/>
      <c r="I4" s="1878"/>
      <c r="J4" s="3679" t="s">
        <v>1442</v>
      </c>
      <c r="K4" s="3680"/>
      <c r="L4" s="1881"/>
      <c r="M4" s="1881"/>
      <c r="N4" s="1881"/>
      <c r="O4" s="1881"/>
      <c r="P4" s="1881"/>
      <c r="Q4" s="1922"/>
      <c r="R4" s="1923">
        <f>SUM(L4:Q4)</f>
        <v>0</v>
      </c>
      <c r="S4" s="1917"/>
      <c r="T4" s="1917"/>
      <c r="U4" s="1917"/>
      <c r="V4" s="1878"/>
    </row>
    <row r="5" spans="1:22" s="1762" customFormat="1" ht="13.15" customHeight="1">
      <c r="A5" s="1787" t="s">
        <v>1443</v>
      </c>
      <c r="B5" s="1788"/>
      <c r="C5" s="1771"/>
      <c r="D5" s="1789"/>
      <c r="E5" s="1779"/>
      <c r="F5" s="1779"/>
      <c r="G5" s="1780"/>
      <c r="H5" s="1781"/>
      <c r="I5" s="1878"/>
      <c r="J5" s="1882" t="s">
        <v>1444</v>
      </c>
      <c r="K5" s="1883"/>
      <c r="L5" s="1883"/>
      <c r="M5" s="1884"/>
      <c r="N5" s="1884"/>
      <c r="O5" s="1884"/>
      <c r="P5" s="1884"/>
      <c r="Q5" s="1884"/>
      <c r="R5" s="1919">
        <f>SUM(R14,R19,R24,R25,R27,R28)</f>
        <v>0</v>
      </c>
      <c r="S5" s="1917"/>
      <c r="T5" s="1917" t="s">
        <v>1445</v>
      </c>
      <c r="U5" s="1917" t="e">
        <f>ROUND(R5*10000/365/R3,1)</f>
        <v>#DIV/0!</v>
      </c>
      <c r="V5" s="1878"/>
    </row>
    <row r="6" spans="1:22" s="1762" customFormat="1" ht="13.15" customHeight="1">
      <c r="A6" s="3681" t="s">
        <v>1446</v>
      </c>
      <c r="B6" s="3682"/>
      <c r="C6" s="3683"/>
      <c r="D6" s="1790"/>
      <c r="E6" s="1791"/>
      <c r="F6" s="1792"/>
      <c r="G6" s="1793"/>
      <c r="H6" s="1781"/>
      <c r="I6" s="1878"/>
      <c r="J6" s="3690">
        <v>1</v>
      </c>
      <c r="K6" s="3693" t="s">
        <v>1447</v>
      </c>
      <c r="L6" s="1886" t="s">
        <v>1448</v>
      </c>
      <c r="M6" s="1887" t="s">
        <v>1449</v>
      </c>
      <c r="N6" s="1887" t="s">
        <v>1450</v>
      </c>
      <c r="O6" s="1887" t="s">
        <v>1451</v>
      </c>
      <c r="P6" s="1887" t="s">
        <v>1452</v>
      </c>
      <c r="Q6" s="1887" t="s">
        <v>1453</v>
      </c>
      <c r="R6" s="1921" t="s">
        <v>1454</v>
      </c>
      <c r="S6" s="1917"/>
      <c r="T6" s="1917" t="s">
        <v>1455</v>
      </c>
      <c r="U6" s="1917"/>
      <c r="V6" s="1878"/>
    </row>
    <row r="7" spans="1:22" s="1762" customFormat="1" ht="13.15" customHeight="1">
      <c r="A7" s="1794" t="s">
        <v>1456</v>
      </c>
      <c r="B7" s="1795"/>
      <c r="C7" s="1796"/>
      <c r="D7" s="1797">
        <f>SUM(D9,D10,D11,D17,0)</f>
        <v>0</v>
      </c>
      <c r="E7" s="1798" t="e">
        <f>E9+E10+E11+E17</f>
        <v>#DIV/0!</v>
      </c>
      <c r="F7" s="1799"/>
      <c r="G7" s="1800"/>
      <c r="H7" s="1781"/>
      <c r="I7" s="1878"/>
      <c r="J7" s="3690"/>
      <c r="K7" s="3694"/>
      <c r="L7" s="1888" t="s">
        <v>1457</v>
      </c>
      <c r="M7" s="1889"/>
      <c r="N7" s="1786"/>
      <c r="O7" s="1890"/>
      <c r="P7" s="1890"/>
      <c r="Q7" s="1819">
        <v>365</v>
      </c>
      <c r="R7" s="1924">
        <f>ROUND(M7*N7*O7*P7*Q7/10000,0)</f>
        <v>0</v>
      </c>
      <c r="S7" s="1917"/>
      <c r="T7" s="1917" t="s">
        <v>1458</v>
      </c>
      <c r="U7" s="1917"/>
      <c r="V7" s="1878"/>
    </row>
    <row r="8" spans="1:22" s="1762" customFormat="1" ht="13.15" customHeight="1">
      <c r="A8" s="1801" t="s">
        <v>1459</v>
      </c>
      <c r="B8" s="3684" t="s">
        <v>1460</v>
      </c>
      <c r="C8" s="3685"/>
      <c r="D8" s="1804" t="s">
        <v>1461</v>
      </c>
      <c r="E8" s="1805" t="s">
        <v>1462</v>
      </c>
      <c r="F8" s="1806" t="s">
        <v>1463</v>
      </c>
      <c r="G8" s="1807"/>
      <c r="H8" s="1781"/>
      <c r="I8" s="1878"/>
      <c r="J8" s="3690"/>
      <c r="K8" s="3694"/>
      <c r="L8" s="1888" t="s">
        <v>1464</v>
      </c>
      <c r="M8" s="1889"/>
      <c r="N8" s="1786"/>
      <c r="O8" s="1890"/>
      <c r="P8" s="1890"/>
      <c r="Q8" s="1819">
        <v>365</v>
      </c>
      <c r="R8" s="1924">
        <f t="shared" ref="R8:R13" si="0">ROUND(M8*N8*O8*P8*Q8/10000,0)</f>
        <v>0</v>
      </c>
      <c r="S8" s="1917"/>
      <c r="T8" s="1917" t="s">
        <v>1465</v>
      </c>
      <c r="U8" s="1917"/>
      <c r="V8" s="1878"/>
    </row>
    <row r="9" spans="1:22" s="1762" customFormat="1" ht="13.15" customHeight="1">
      <c r="A9" s="1801">
        <v>1</v>
      </c>
      <c r="B9" s="3684" t="s">
        <v>1466</v>
      </c>
      <c r="C9" s="3685"/>
      <c r="D9" s="1804">
        <f>ROUND(D6*E9,0)</f>
        <v>0</v>
      </c>
      <c r="E9" s="1808"/>
      <c r="F9" s="1809" t="s">
        <v>1467</v>
      </c>
      <c r="G9" s="1793"/>
      <c r="H9" s="1781"/>
      <c r="I9" s="1878"/>
      <c r="J9" s="3690"/>
      <c r="K9" s="3694"/>
      <c r="L9" s="1888" t="s">
        <v>1468</v>
      </c>
      <c r="M9" s="1889"/>
      <c r="N9" s="1786"/>
      <c r="O9" s="1890"/>
      <c r="P9" s="1890"/>
      <c r="Q9" s="1819">
        <v>365</v>
      </c>
      <c r="R9" s="1924">
        <f t="shared" si="0"/>
        <v>0</v>
      </c>
      <c r="S9" s="1917"/>
      <c r="T9" s="1917"/>
      <c r="U9" s="1917"/>
      <c r="V9" s="1878"/>
    </row>
    <row r="10" spans="1:22" s="1762" customFormat="1" ht="13.15" customHeight="1">
      <c r="A10" s="1801">
        <v>2</v>
      </c>
      <c r="B10" s="3684" t="s">
        <v>1469</v>
      </c>
      <c r="C10" s="3685"/>
      <c r="D10" s="1804">
        <f>ROUND(D6*E10,0)</f>
        <v>0</v>
      </c>
      <c r="E10" s="1808"/>
      <c r="F10" s="1809" t="s">
        <v>1470</v>
      </c>
      <c r="G10" s="1793"/>
      <c r="H10" s="1781"/>
      <c r="I10" s="1878"/>
      <c r="J10" s="3690"/>
      <c r="K10" s="3694"/>
      <c r="L10" s="1888" t="s">
        <v>1471</v>
      </c>
      <c r="M10" s="1889"/>
      <c r="N10" s="1786"/>
      <c r="O10" s="1890"/>
      <c r="P10" s="1890"/>
      <c r="Q10" s="1819">
        <v>365</v>
      </c>
      <c r="R10" s="1924">
        <f t="shared" si="0"/>
        <v>0</v>
      </c>
      <c r="S10" s="1917"/>
      <c r="T10" s="1917"/>
      <c r="U10" s="1917"/>
      <c r="V10" s="1878"/>
    </row>
    <row r="11" spans="1:22" s="1762" customFormat="1" ht="13.15" customHeight="1">
      <c r="A11" s="1801">
        <v>3</v>
      </c>
      <c r="B11" s="3684" t="s">
        <v>1472</v>
      </c>
      <c r="C11" s="3685"/>
      <c r="D11" s="1804">
        <f>D12+D14+D15+D16</f>
        <v>0</v>
      </c>
      <c r="E11" s="1810" t="e">
        <f>D11/D6</f>
        <v>#DIV/0!</v>
      </c>
      <c r="F11" s="1806"/>
      <c r="G11" s="1807"/>
      <c r="H11" s="1781"/>
      <c r="I11" s="1878"/>
      <c r="J11" s="3690"/>
      <c r="K11" s="3694"/>
      <c r="L11" s="1888" t="s">
        <v>1473</v>
      </c>
      <c r="M11" s="1889"/>
      <c r="N11" s="1786"/>
      <c r="O11" s="1890"/>
      <c r="P11" s="1890"/>
      <c r="Q11" s="1819">
        <v>365</v>
      </c>
      <c r="R11" s="1924">
        <f t="shared" si="0"/>
        <v>0</v>
      </c>
      <c r="S11" s="1917"/>
      <c r="T11" s="1917"/>
      <c r="U11" s="1917"/>
      <c r="V11" s="1878"/>
    </row>
    <row r="12" spans="1:22" s="1762" customFormat="1" ht="13.15" customHeight="1">
      <c r="A12" s="1811" t="s">
        <v>1474</v>
      </c>
      <c r="B12" s="3686" t="s">
        <v>1475</v>
      </c>
      <c r="C12" s="3687"/>
      <c r="D12" s="1814">
        <f>ROUND(D13*1.2%*(1-30%),0)</f>
        <v>0</v>
      </c>
      <c r="E12" s="1815">
        <v>1.2E-2</v>
      </c>
      <c r="F12" s="1806" t="s">
        <v>1476</v>
      </c>
      <c r="G12" s="1807"/>
      <c r="H12" s="1781"/>
      <c r="I12" s="1878"/>
      <c r="J12" s="3690"/>
      <c r="K12" s="3694"/>
      <c r="L12" s="1888" t="s">
        <v>1477</v>
      </c>
      <c r="M12" s="1889"/>
      <c r="N12" s="1786"/>
      <c r="O12" s="1890"/>
      <c r="P12" s="1890"/>
      <c r="Q12" s="1819">
        <v>365</v>
      </c>
      <c r="R12" s="1924">
        <f t="shared" si="0"/>
        <v>0</v>
      </c>
      <c r="S12" s="1917"/>
      <c r="T12" s="1917"/>
      <c r="U12" s="1917"/>
      <c r="V12" s="1878"/>
    </row>
    <row r="13" spans="1:22" s="1762" customFormat="1" ht="13.15" customHeight="1">
      <c r="A13" s="1811"/>
      <c r="B13" s="1812"/>
      <c r="C13" s="1816" t="s">
        <v>1478</v>
      </c>
      <c r="D13" s="1817"/>
      <c r="E13" s="1818"/>
      <c r="F13" s="1806"/>
      <c r="G13" s="1807"/>
      <c r="H13" s="1781"/>
      <c r="I13" s="1878"/>
      <c r="J13" s="3690"/>
      <c r="K13" s="3694"/>
      <c r="L13" s="1888" t="s">
        <v>1479</v>
      </c>
      <c r="M13" s="1889"/>
      <c r="N13" s="1786"/>
      <c r="O13" s="1890"/>
      <c r="P13" s="1890"/>
      <c r="Q13" s="1819">
        <v>365</v>
      </c>
      <c r="R13" s="1924">
        <f t="shared" si="0"/>
        <v>0</v>
      </c>
      <c r="S13" s="1917"/>
      <c r="T13" s="1917"/>
      <c r="U13" s="1917"/>
      <c r="V13" s="1878"/>
    </row>
    <row r="14" spans="1:22" s="1762" customFormat="1" ht="13.15" customHeight="1">
      <c r="A14" s="1811" t="s">
        <v>1480</v>
      </c>
      <c r="B14" s="3686" t="s">
        <v>1481</v>
      </c>
      <c r="C14" s="3687"/>
      <c r="D14" s="1814">
        <f>ROUND(E14*B5/10000,0)</f>
        <v>0</v>
      </c>
      <c r="E14" s="1819"/>
      <c r="F14" s="1806" t="s">
        <v>1482</v>
      </c>
      <c r="G14" s="1807"/>
      <c r="H14" s="1781"/>
      <c r="I14" s="1878"/>
      <c r="J14" s="3690"/>
      <c r="K14" s="3695"/>
      <c r="L14" s="1891" t="s">
        <v>1483</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1484</v>
      </c>
      <c r="B15" s="3686" t="s">
        <v>1485</v>
      </c>
      <c r="C15" s="3687"/>
      <c r="D15" s="1814">
        <f>ROUND(D6*E15,0)</f>
        <v>0</v>
      </c>
      <c r="E15" s="1815">
        <v>5.5E-2</v>
      </c>
      <c r="F15" s="1806" t="s">
        <v>1486</v>
      </c>
      <c r="G15" s="1793"/>
      <c r="H15" s="1781"/>
      <c r="I15" s="1878"/>
      <c r="J15" s="3690">
        <v>2</v>
      </c>
      <c r="K15" s="3693" t="s">
        <v>1487</v>
      </c>
      <c r="L15" s="1888" t="s">
        <v>1488</v>
      </c>
      <c r="M15" s="1889" t="s">
        <v>1489</v>
      </c>
      <c r="N15" s="1889" t="s">
        <v>1490</v>
      </c>
      <c r="O15" s="1890" t="s">
        <v>1491</v>
      </c>
      <c r="P15" s="1890" t="s">
        <v>1453</v>
      </c>
      <c r="Q15" s="1786" t="s">
        <v>124</v>
      </c>
      <c r="R15" s="1926" t="s">
        <v>1454</v>
      </c>
      <c r="S15" s="1917"/>
      <c r="T15" s="1917"/>
      <c r="U15" s="1917"/>
      <c r="V15" s="1878"/>
    </row>
    <row r="16" spans="1:22" s="1762" customFormat="1" ht="13.15" customHeight="1">
      <c r="A16" s="1811" t="s">
        <v>1492</v>
      </c>
      <c r="B16" s="3686" t="s">
        <v>1493</v>
      </c>
      <c r="C16" s="3687"/>
      <c r="D16" s="1820">
        <f>D6*E16</f>
        <v>0</v>
      </c>
      <c r="E16" s="1821"/>
      <c r="F16" s="1809" t="s">
        <v>1494</v>
      </c>
      <c r="G16" s="1793"/>
      <c r="H16" s="1781"/>
      <c r="I16" s="1878"/>
      <c r="J16" s="3690"/>
      <c r="K16" s="3694"/>
      <c r="L16" s="1888" t="s">
        <v>1495</v>
      </c>
      <c r="M16" s="1889"/>
      <c r="N16" s="1889"/>
      <c r="O16" s="1890"/>
      <c r="P16" s="1819">
        <v>365</v>
      </c>
      <c r="Q16" s="1786"/>
      <c r="R16" s="1926">
        <f>ROUND(M16*N16*O16*P16/10000,0)</f>
        <v>0</v>
      </c>
      <c r="S16" s="1917"/>
      <c r="T16" s="1917"/>
      <c r="U16" s="1917"/>
      <c r="V16" s="1878"/>
    </row>
    <row r="17" spans="1:22" s="1762" customFormat="1" ht="13.15" customHeight="1">
      <c r="A17" s="1822">
        <v>4</v>
      </c>
      <c r="B17" s="3688" t="s">
        <v>1496</v>
      </c>
      <c r="C17" s="3689"/>
      <c r="D17" s="1823">
        <f>ROUND(D6*E17,0)</f>
        <v>0</v>
      </c>
      <c r="E17" s="1824"/>
      <c r="F17" s="1825" t="s">
        <v>1497</v>
      </c>
      <c r="G17" s="1793"/>
      <c r="H17" s="1781"/>
      <c r="I17" s="1878"/>
      <c r="J17" s="3690"/>
      <c r="K17" s="3694"/>
      <c r="L17" s="1888" t="s">
        <v>1498</v>
      </c>
      <c r="M17" s="1889"/>
      <c r="N17" s="1889"/>
      <c r="O17" s="1890"/>
      <c r="P17" s="1819">
        <v>365</v>
      </c>
      <c r="Q17" s="1786"/>
      <c r="R17" s="1926">
        <f>ROUND(M17*N17*O17*P17/10000,0)</f>
        <v>0</v>
      </c>
      <c r="S17" s="1917"/>
      <c r="T17" s="1917"/>
      <c r="U17" s="1917"/>
      <c r="V17" s="1878"/>
    </row>
    <row r="18" spans="1:22" s="1762" customFormat="1" ht="13.15" customHeight="1">
      <c r="A18" s="1794" t="s">
        <v>1499</v>
      </c>
      <c r="B18" s="1795"/>
      <c r="C18" s="1795"/>
      <c r="D18" s="1826">
        <f>ROUND(D6*E18,0)</f>
        <v>0</v>
      </c>
      <c r="E18" s="1827"/>
      <c r="F18" s="1828" t="s">
        <v>1500</v>
      </c>
      <c r="G18" s="1793"/>
      <c r="H18" s="1781"/>
      <c r="I18" s="1878"/>
      <c r="J18" s="3690"/>
      <c r="K18" s="3694"/>
      <c r="L18" s="1888" t="s">
        <v>1501</v>
      </c>
      <c r="M18" s="1889"/>
      <c r="N18" s="1889"/>
      <c r="O18" s="1890"/>
      <c r="P18" s="1819">
        <v>365</v>
      </c>
      <c r="Q18" s="1786"/>
      <c r="R18" s="1926">
        <f>ROUND(M18*N18*O18*P18/10000,0)</f>
        <v>0</v>
      </c>
      <c r="S18" s="1917"/>
      <c r="T18" s="1917"/>
      <c r="U18" s="1917"/>
      <c r="V18" s="1878"/>
    </row>
    <row r="19" spans="1:22" s="1762" customFormat="1" ht="13.15" customHeight="1">
      <c r="A19" s="1829" t="s">
        <v>1502</v>
      </c>
      <c r="B19" s="1791"/>
      <c r="C19" s="1791"/>
      <c r="D19" s="1791"/>
      <c r="E19" s="1791"/>
      <c r="F19" s="1792"/>
      <c r="G19" s="1807"/>
      <c r="H19" s="1781"/>
      <c r="I19" s="1878"/>
      <c r="J19" s="3690"/>
      <c r="K19" s="3695"/>
      <c r="L19" s="1891" t="s">
        <v>1483</v>
      </c>
      <c r="M19" s="1892"/>
      <c r="N19" s="1892">
        <f>SUM(N16:N18)</f>
        <v>0</v>
      </c>
      <c r="O19" s="1893"/>
      <c r="P19" s="1894" t="s">
        <v>1503</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90">
        <v>3</v>
      </c>
      <c r="K20" s="3693" t="s">
        <v>1504</v>
      </c>
      <c r="L20" s="1888" t="s">
        <v>1505</v>
      </c>
      <c r="M20" s="1889" t="s">
        <v>1506</v>
      </c>
      <c r="N20" s="1895" t="s">
        <v>1507</v>
      </c>
      <c r="O20" s="1890" t="s">
        <v>1508</v>
      </c>
      <c r="P20" s="1819" t="s">
        <v>1453</v>
      </c>
      <c r="Q20" s="1786" t="s">
        <v>124</v>
      </c>
      <c r="R20" s="1926" t="s">
        <v>1454</v>
      </c>
      <c r="S20" s="1914"/>
      <c r="T20" s="1914"/>
      <c r="U20" s="1914"/>
      <c r="V20" s="1878"/>
    </row>
    <row r="21" spans="1:22" s="1762" customFormat="1" ht="13.15" customHeight="1">
      <c r="A21" s="1794"/>
      <c r="B21" s="1795"/>
      <c r="C21" s="1802" t="s">
        <v>1509</v>
      </c>
      <c r="D21" s="1831" t="s">
        <v>1510</v>
      </c>
      <c r="E21" s="1803" t="s">
        <v>1511</v>
      </c>
      <c r="F21" s="1830"/>
      <c r="G21" s="1807"/>
      <c r="H21" s="1781"/>
      <c r="I21" s="1878"/>
      <c r="J21" s="3690"/>
      <c r="K21" s="3694"/>
      <c r="L21" s="1888" t="s">
        <v>1512</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1513</v>
      </c>
      <c r="D22" s="1833" t="s">
        <v>1514</v>
      </c>
      <c r="E22" s="1834" t="s">
        <v>1515</v>
      </c>
      <c r="F22" s="1830"/>
      <c r="G22" s="1835"/>
      <c r="H22" s="1781"/>
      <c r="I22" s="1878"/>
      <c r="J22" s="3690"/>
      <c r="K22" s="3694"/>
      <c r="L22" s="1888" t="s">
        <v>1516</v>
      </c>
      <c r="M22" s="1889"/>
      <c r="N22" s="1889"/>
      <c r="O22" s="1890"/>
      <c r="P22" s="1819">
        <v>365</v>
      </c>
      <c r="Q22" s="1786"/>
      <c r="R22" s="1928">
        <f>ROUND(M22*N22*O22*P22/10000,0)</f>
        <v>0</v>
      </c>
      <c r="S22" s="1914"/>
      <c r="T22" s="1914"/>
      <c r="U22" s="1914"/>
      <c r="V22" s="1878"/>
    </row>
    <row r="23" spans="1:22" s="1762" customFormat="1" ht="13.15" customHeight="1">
      <c r="A23" s="1836">
        <v>1</v>
      </c>
      <c r="B23" s="1837" t="s">
        <v>1517</v>
      </c>
      <c r="C23" s="1838">
        <f>D6</f>
        <v>0</v>
      </c>
      <c r="D23" s="1839">
        <f>C23*(1+D24)</f>
        <v>0</v>
      </c>
      <c r="E23" s="1840">
        <f>D23*(1+E24)</f>
        <v>0</v>
      </c>
      <c r="F23" s="1841"/>
      <c r="G23" s="1842"/>
      <c r="H23" s="1781"/>
      <c r="I23" s="1878"/>
      <c r="J23" s="3690"/>
      <c r="K23" s="3694"/>
      <c r="L23" s="1888" t="s">
        <v>1518</v>
      </c>
      <c r="M23" s="1889"/>
      <c r="N23" s="1889"/>
      <c r="O23" s="1890"/>
      <c r="P23" s="1819">
        <v>365</v>
      </c>
      <c r="Q23" s="1786"/>
      <c r="R23" s="1928">
        <f>ROUND(M23*N23*O23*P23/10000,0)</f>
        <v>0</v>
      </c>
      <c r="S23" s="1917"/>
      <c r="T23" s="1917"/>
      <c r="U23" s="1917"/>
      <c r="V23" s="1878"/>
    </row>
    <row r="24" spans="1:22" s="1762" customFormat="1" ht="13.15" customHeight="1">
      <c r="A24" s="1843"/>
      <c r="B24" s="1844" t="s">
        <v>1519</v>
      </c>
      <c r="C24" s="1845"/>
      <c r="D24" s="1846"/>
      <c r="E24" s="1847"/>
      <c r="F24" s="1848"/>
      <c r="G24" s="1842"/>
      <c r="H24" s="1781"/>
      <c r="I24" s="1878"/>
      <c r="J24" s="3690"/>
      <c r="K24" s="3695"/>
      <c r="L24" s="1891" t="s">
        <v>1483</v>
      </c>
      <c r="M24" s="1892">
        <f>SUM(M21:M23)</f>
        <v>0</v>
      </c>
      <c r="N24" s="1892"/>
      <c r="O24" s="1893"/>
      <c r="P24" s="1894" t="s">
        <v>1503</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1520</v>
      </c>
      <c r="L25" s="1897"/>
      <c r="M25" s="1897"/>
      <c r="N25" s="1897"/>
      <c r="O25" s="1897"/>
      <c r="P25" s="1898"/>
      <c r="Q25" s="1929">
        <v>0</v>
      </c>
      <c r="R25" s="1927">
        <f>ROUND(R14*Q25,0)</f>
        <v>0</v>
      </c>
      <c r="S25" s="1917"/>
      <c r="T25" s="1917"/>
      <c r="U25" s="1917"/>
      <c r="V25" s="1904"/>
    </row>
    <row r="26" spans="1:22" s="1763" customFormat="1" ht="13.15" customHeight="1">
      <c r="A26" s="1836">
        <v>2</v>
      </c>
      <c r="B26" s="1837" t="s">
        <v>1521</v>
      </c>
      <c r="C26" s="1838">
        <f>D7</f>
        <v>0</v>
      </c>
      <c r="D26" s="1839">
        <f>D23*D27</f>
        <v>0</v>
      </c>
      <c r="E26" s="1840">
        <f>E23*E27</f>
        <v>0</v>
      </c>
      <c r="F26" s="1841"/>
      <c r="G26" s="1842"/>
      <c r="H26" s="1781"/>
      <c r="I26" s="1878"/>
      <c r="J26" s="3691">
        <v>5</v>
      </c>
      <c r="K26" s="1899" t="s">
        <v>1522</v>
      </c>
      <c r="L26" s="1900"/>
      <c r="M26" s="1901"/>
      <c r="N26" s="1902" t="s">
        <v>455</v>
      </c>
      <c r="O26" s="1902" t="s">
        <v>1523</v>
      </c>
      <c r="P26" s="1903" t="s">
        <v>1524</v>
      </c>
      <c r="Q26" s="1903" t="s">
        <v>1525</v>
      </c>
      <c r="R26" s="1921" t="s">
        <v>1454</v>
      </c>
      <c r="S26" s="1930"/>
      <c r="T26" s="1930"/>
      <c r="U26" s="1930"/>
      <c r="V26" s="1904"/>
    </row>
    <row r="27" spans="1:22" s="1762" customFormat="1" ht="13.15" customHeight="1">
      <c r="A27" s="1843"/>
      <c r="B27" s="1844" t="s">
        <v>1526</v>
      </c>
      <c r="C27" s="1849" t="e">
        <f>E7</f>
        <v>#DIV/0!</v>
      </c>
      <c r="D27" s="1846"/>
      <c r="E27" s="1847"/>
      <c r="F27" s="1848"/>
      <c r="G27" s="1842"/>
      <c r="H27" s="1850"/>
      <c r="I27" s="1904"/>
      <c r="J27" s="3692"/>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1527</v>
      </c>
      <c r="F28" s="1848"/>
      <c r="G28" s="1835"/>
      <c r="H28" s="1850"/>
      <c r="I28" s="1904"/>
      <c r="J28" s="1909">
        <v>6</v>
      </c>
      <c r="K28" s="1910" t="s">
        <v>1528</v>
      </c>
      <c r="L28" s="1911" t="s">
        <v>1529</v>
      </c>
      <c r="M28" s="1912"/>
      <c r="N28" s="1911" t="s">
        <v>1530</v>
      </c>
      <c r="O28" s="1913"/>
      <c r="P28" s="1911" t="s">
        <v>1531</v>
      </c>
      <c r="Q28" s="1932">
        <v>1.4999999999999999E-2</v>
      </c>
      <c r="R28" s="1933"/>
      <c r="S28" s="1914"/>
      <c r="T28" s="1914"/>
      <c r="U28" s="1914"/>
      <c r="V28" s="1904"/>
    </row>
    <row r="29" spans="1:22" s="1763" customFormat="1" ht="13.15" customHeight="1">
      <c r="A29" s="1836">
        <v>3</v>
      </c>
      <c r="B29" s="1837" t="s">
        <v>1532</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1526</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1533</v>
      </c>
      <c r="K31" s="1877"/>
      <c r="L31" s="1877"/>
      <c r="M31" s="1877"/>
      <c r="N31" s="1877"/>
      <c r="O31" s="1877"/>
      <c r="P31" s="1877"/>
      <c r="Q31" s="1877"/>
      <c r="R31" s="1916"/>
      <c r="S31" s="1914"/>
      <c r="T31" s="1917"/>
      <c r="U31" s="1917"/>
      <c r="V31" s="1904"/>
    </row>
    <row r="32" spans="1:22" s="1763" customFormat="1" ht="13.15" customHeight="1">
      <c r="A32" s="1836">
        <v>4</v>
      </c>
      <c r="B32" s="1837" t="s">
        <v>1534</v>
      </c>
      <c r="C32" s="1838">
        <f>C23-C26-C29</f>
        <v>0</v>
      </c>
      <c r="D32" s="1839">
        <f>D23-D26-D29</f>
        <v>0</v>
      </c>
      <c r="E32" s="1840">
        <f>E23-E26-E29</f>
        <v>0</v>
      </c>
      <c r="F32" s="1841"/>
      <c r="G32" s="1835"/>
      <c r="H32" s="1781"/>
      <c r="I32" s="1878"/>
      <c r="J32" s="3677" t="s">
        <v>1432</v>
      </c>
      <c r="K32" s="3678"/>
      <c r="L32" s="1879" t="s">
        <v>1433</v>
      </c>
      <c r="M32" s="1879" t="s">
        <v>1434</v>
      </c>
      <c r="N32" s="1879" t="s">
        <v>1435</v>
      </c>
      <c r="O32" s="1879" t="s">
        <v>1436</v>
      </c>
      <c r="P32" s="1879" t="s">
        <v>1437</v>
      </c>
      <c r="Q32" s="1918" t="s">
        <v>1438</v>
      </c>
      <c r="R32" s="1934" t="s">
        <v>1439</v>
      </c>
      <c r="S32" s="1914"/>
      <c r="T32" s="1917"/>
      <c r="U32" s="1917"/>
      <c r="V32" s="1904"/>
    </row>
    <row r="33" spans="1:23" s="1762" customFormat="1" ht="13.15" customHeight="1">
      <c r="A33" s="1836"/>
      <c r="B33" s="1837"/>
      <c r="C33" s="1838"/>
      <c r="D33" s="1853"/>
      <c r="E33" s="1813"/>
      <c r="F33" s="1841"/>
      <c r="G33" s="1835"/>
      <c r="H33" s="1850"/>
      <c r="I33" s="1904"/>
      <c r="J33" s="3679" t="s">
        <v>1440</v>
      </c>
      <c r="K33" s="3680"/>
      <c r="L33" s="1880"/>
      <c r="M33" s="1880"/>
      <c r="N33" s="1880"/>
      <c r="O33" s="1880"/>
      <c r="P33" s="1880"/>
      <c r="Q33" s="1920"/>
      <c r="R33" s="1935">
        <f>SUM(L33:Q33)</f>
        <v>0</v>
      </c>
      <c r="S33" s="1914"/>
      <c r="T33" s="1917"/>
      <c r="U33" s="1917"/>
      <c r="V33" s="1878"/>
    </row>
    <row r="34" spans="1:23" s="1762" customFormat="1" ht="13.15" customHeight="1">
      <c r="A34" s="1836">
        <v>5</v>
      </c>
      <c r="B34" s="1837" t="s">
        <v>1535</v>
      </c>
      <c r="C34" s="1854"/>
      <c r="D34" s="1855"/>
      <c r="E34" s="1856"/>
      <c r="F34" s="1841"/>
      <c r="G34" s="1835"/>
      <c r="H34" s="1850"/>
      <c r="I34" s="1904"/>
      <c r="J34" s="3679" t="s">
        <v>1442</v>
      </c>
      <c r="K34" s="3680"/>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1536</v>
      </c>
      <c r="C35" s="1857"/>
      <c r="D35" s="1858"/>
      <c r="E35" s="1859"/>
      <c r="F35" s="1841"/>
      <c r="G35" s="1860"/>
      <c r="H35" s="1781"/>
      <c r="I35" s="1904"/>
      <c r="J35" s="1882" t="s">
        <v>1444</v>
      </c>
      <c r="K35" s="1883"/>
      <c r="L35" s="1883"/>
      <c r="M35" s="1884"/>
      <c r="N35" s="1884"/>
      <c r="O35" s="1884"/>
      <c r="P35" s="1884"/>
      <c r="Q35" s="1884"/>
      <c r="R35" s="1937">
        <f>R40+R41+R43</f>
        <v>0</v>
      </c>
      <c r="S35" s="1914"/>
      <c r="T35" s="1917" t="s">
        <v>1445</v>
      </c>
      <c r="U35" s="1917"/>
      <c r="V35" s="1878"/>
    </row>
    <row r="36" spans="1:23" s="1762" customFormat="1" ht="13.15" customHeight="1">
      <c r="A36" s="1836">
        <v>7</v>
      </c>
      <c r="B36" s="1861" t="s">
        <v>1537</v>
      </c>
      <c r="C36" s="1862"/>
      <c r="D36" s="1863"/>
      <c r="E36" s="1864"/>
      <c r="F36" s="1865">
        <f>C36+D36+E36</f>
        <v>0</v>
      </c>
      <c r="G36" s="1835"/>
      <c r="H36" s="1781"/>
      <c r="I36" s="1878"/>
      <c r="J36" s="3690">
        <v>1</v>
      </c>
      <c r="K36" s="3693" t="s">
        <v>1538</v>
      </c>
      <c r="L36" s="1886"/>
      <c r="M36" s="1887"/>
      <c r="N36" s="1887"/>
      <c r="O36" s="1887"/>
      <c r="P36" s="1887"/>
      <c r="Q36" s="1887"/>
      <c r="R36" s="1921" t="s">
        <v>1454</v>
      </c>
      <c r="S36" s="1914"/>
      <c r="T36" s="1917" t="s">
        <v>1455</v>
      </c>
      <c r="U36" s="1917"/>
      <c r="V36" s="1878"/>
    </row>
    <row r="37" spans="1:23" s="1762" customFormat="1" ht="13.15" customHeight="1">
      <c r="A37" s="1836"/>
      <c r="B37" s="1837"/>
      <c r="C37" s="1837"/>
      <c r="D37" s="1837"/>
      <c r="E37" s="1837"/>
      <c r="F37" s="1841"/>
      <c r="G37" s="1835"/>
      <c r="H37" s="1781"/>
      <c r="I37" s="1878"/>
      <c r="J37" s="3690"/>
      <c r="K37" s="3694"/>
      <c r="L37" s="1888"/>
      <c r="M37" s="1889"/>
      <c r="N37" s="1786"/>
      <c r="O37" s="1890"/>
      <c r="P37" s="1890"/>
      <c r="Q37" s="1819"/>
      <c r="R37" s="1924"/>
      <c r="S37" s="1914"/>
      <c r="T37" s="1917" t="s">
        <v>1458</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90"/>
      <c r="K38" s="3694"/>
      <c r="L38" s="1888"/>
      <c r="M38" s="1889"/>
      <c r="N38" s="1786"/>
      <c r="O38" s="1890"/>
      <c r="P38" s="1890"/>
      <c r="Q38" s="1819"/>
      <c r="R38" s="1924"/>
      <c r="S38" s="1914"/>
      <c r="T38" s="1917" t="s">
        <v>1465</v>
      </c>
      <c r="U38" s="1917"/>
      <c r="V38" s="1878"/>
    </row>
    <row r="39" spans="1:23" s="1762" customFormat="1" ht="13.15" customHeight="1">
      <c r="A39" s="1836">
        <v>9</v>
      </c>
      <c r="B39" s="1837" t="s">
        <v>1539</v>
      </c>
      <c r="C39" s="1814" t="e">
        <f>C38</f>
        <v>#DIV/0!</v>
      </c>
      <c r="D39" s="1837">
        <f>D38/(1+D34)^C36</f>
        <v>0</v>
      </c>
      <c r="E39" s="1837">
        <f>E38/(1+E34)^(C36+D36)</f>
        <v>0</v>
      </c>
      <c r="F39" s="1841"/>
      <c r="G39" s="1866"/>
      <c r="H39" s="1781"/>
      <c r="I39" s="1878"/>
      <c r="J39" s="3690"/>
      <c r="K39" s="3694"/>
      <c r="L39" s="1888"/>
      <c r="M39" s="1889"/>
      <c r="N39" s="1786"/>
      <c r="O39" s="1890"/>
      <c r="P39" s="1890"/>
      <c r="Q39" s="1819"/>
      <c r="R39" s="1924"/>
      <c r="S39" s="1914"/>
      <c r="T39" s="1917"/>
      <c r="U39" s="1917"/>
      <c r="V39" s="1878"/>
    </row>
    <row r="40" spans="1:23" s="1762" customFormat="1" ht="13.15" customHeight="1">
      <c r="A40" s="1867">
        <v>10</v>
      </c>
      <c r="B40" s="1837" t="s">
        <v>1540</v>
      </c>
      <c r="C40" s="1868" t="e">
        <f>C39+D39+E39</f>
        <v>#DIV/0!</v>
      </c>
      <c r="D40" s="1869"/>
      <c r="E40" s="1869"/>
      <c r="F40" s="1870"/>
      <c r="G40" s="1835"/>
      <c r="H40" s="1781"/>
      <c r="I40" s="1878"/>
      <c r="J40" s="3690"/>
      <c r="K40" s="3695"/>
      <c r="L40" s="1891" t="s">
        <v>1483</v>
      </c>
      <c r="M40" s="1892"/>
      <c r="N40" s="1892"/>
      <c r="O40" s="1893"/>
      <c r="P40" s="1893"/>
      <c r="Q40" s="1925"/>
      <c r="R40" s="1919">
        <f>SUM(R37:R39)</f>
        <v>0</v>
      </c>
      <c r="S40" s="1914"/>
      <c r="T40" s="1917"/>
      <c r="U40" s="1917"/>
      <c r="V40" s="1878"/>
    </row>
    <row r="41" spans="1:23" s="1762" customFormat="1" ht="13.15" customHeight="1">
      <c r="A41" s="1871">
        <v>11</v>
      </c>
      <c r="B41" s="1872" t="s">
        <v>1541</v>
      </c>
      <c r="C41" s="1872" t="e">
        <f>ROUND(C40*10000/B4,0)</f>
        <v>#DIV/0!</v>
      </c>
      <c r="D41" s="1873"/>
      <c r="E41" s="1873"/>
      <c r="F41" s="1874"/>
      <c r="G41" s="1875"/>
      <c r="H41" s="1781"/>
      <c r="I41" s="1878"/>
      <c r="J41" s="1885">
        <v>2</v>
      </c>
      <c r="K41" s="1896" t="s">
        <v>1520</v>
      </c>
      <c r="L41" s="1897"/>
      <c r="M41" s="1897"/>
      <c r="N41" s="1897"/>
      <c r="O41" s="1897"/>
      <c r="P41" s="1898"/>
      <c r="Q41" s="1929"/>
      <c r="R41" s="1927">
        <f>ROUND(R40*Q41,0)</f>
        <v>0</v>
      </c>
      <c r="S41" s="1914"/>
      <c r="T41" s="1917"/>
      <c r="U41" s="1930"/>
      <c r="V41" s="1878"/>
    </row>
    <row r="42" spans="1:23" s="1762" customFormat="1" ht="13.15" customHeight="1">
      <c r="G42" s="1875"/>
      <c r="H42" s="1781"/>
      <c r="I42" s="1878"/>
      <c r="J42" s="3691">
        <v>3</v>
      </c>
      <c r="K42" s="1899" t="s">
        <v>1522</v>
      </c>
      <c r="L42" s="1900"/>
      <c r="M42" s="1901"/>
      <c r="N42" s="1902" t="s">
        <v>455</v>
      </c>
      <c r="O42" s="1902" t="s">
        <v>1523</v>
      </c>
      <c r="P42" s="1903" t="s">
        <v>1524</v>
      </c>
      <c r="Q42" s="1903" t="s">
        <v>1525</v>
      </c>
      <c r="R42" s="1921" t="s">
        <v>1454</v>
      </c>
      <c r="S42" s="1930"/>
      <c r="T42" s="1930"/>
      <c r="U42" s="1917"/>
      <c r="V42" s="1878"/>
    </row>
    <row r="43" spans="1:23" ht="13.15" customHeight="1">
      <c r="A43" s="1762"/>
      <c r="B43" s="1762"/>
      <c r="C43" s="1762"/>
      <c r="D43" s="1762"/>
      <c r="E43" s="1762"/>
      <c r="F43" s="1762"/>
      <c r="I43" s="1766"/>
      <c r="J43" s="3692"/>
      <c r="K43" s="1905"/>
      <c r="L43" s="1906"/>
      <c r="M43" s="1907"/>
      <c r="N43" s="1889"/>
      <c r="O43" s="1889"/>
      <c r="P43" s="1889"/>
      <c r="Q43" s="1929"/>
      <c r="R43" s="1927">
        <f>ROUND(O43*N43*P43*(1-Q43)/10000,0)</f>
        <v>0</v>
      </c>
      <c r="S43" s="1914"/>
      <c r="T43" s="1917"/>
      <c r="V43" s="1768"/>
      <c r="W43" s="1938"/>
    </row>
    <row r="44" spans="1:23" ht="13.15" customHeight="1">
      <c r="J44" s="1909">
        <v>6</v>
      </c>
      <c r="K44" s="1910" t="s">
        <v>1528</v>
      </c>
      <c r="L44" s="1915" t="s">
        <v>1529</v>
      </c>
      <c r="M44" s="1912"/>
      <c r="N44" s="1915" t="s">
        <v>1530</v>
      </c>
      <c r="O44" s="1912"/>
      <c r="P44" s="1915" t="s">
        <v>1531</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1542</v>
      </c>
      <c r="B1" s="1739"/>
      <c r="C1" s="1739"/>
      <c r="D1" s="1739"/>
      <c r="E1" s="1740"/>
      <c r="F1" s="1741"/>
      <c r="G1" s="1742"/>
      <c r="H1" s="1742"/>
      <c r="I1" s="1742"/>
      <c r="J1" s="1742"/>
      <c r="K1" s="1742"/>
      <c r="L1" s="1742"/>
      <c r="M1" s="1742"/>
      <c r="N1" s="1742"/>
      <c r="O1" s="1742"/>
      <c r="P1" s="1742"/>
      <c r="Q1" s="1742"/>
      <c r="R1" s="1742"/>
      <c r="S1" s="1742"/>
    </row>
    <row r="2" spans="1:22" ht="15.75">
      <c r="A2" s="1743" t="s">
        <v>982</v>
      </c>
      <c r="B2" s="1744">
        <f ca="1">SUMIF(B6:B13,"&lt;&gt;#ref!",B6:B13)</f>
        <v>83.124899999999997</v>
      </c>
      <c r="C2" s="1745" t="s">
        <v>1543</v>
      </c>
      <c r="D2" s="1746" t="s">
        <v>1544</v>
      </c>
      <c r="E2" s="1747">
        <f>SUM(E6:E13)</f>
        <v>46.53</v>
      </c>
      <c r="F2" s="1741"/>
      <c r="G2" s="1742"/>
      <c r="H2" s="1742"/>
      <c r="I2" s="1742"/>
      <c r="J2" s="1742"/>
      <c r="K2" s="1742"/>
      <c r="L2" s="1742"/>
      <c r="M2" s="1742"/>
      <c r="N2" s="1742"/>
      <c r="O2" s="1742"/>
      <c r="P2" s="1742"/>
      <c r="Q2" s="1742"/>
      <c r="R2" s="1742"/>
      <c r="S2" s="1742"/>
    </row>
    <row r="3" spans="1:22" ht="15.75">
      <c r="A3" s="1743" t="s">
        <v>984</v>
      </c>
      <c r="B3" s="1748">
        <f ca="1">ROUND(B2*10000/E2,0)</f>
        <v>17865</v>
      </c>
      <c r="C3" s="1745" t="s">
        <v>1545</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1546</v>
      </c>
      <c r="B5" s="3696" t="s">
        <v>1547</v>
      </c>
      <c r="C5" s="3697"/>
      <c r="D5" s="1753"/>
      <c r="E5" s="1754" t="s">
        <v>1548</v>
      </c>
      <c r="F5" s="1755" t="s">
        <v>1549</v>
      </c>
      <c r="G5" s="1742"/>
      <c r="H5" s="1742"/>
      <c r="I5" s="1742"/>
      <c r="J5" s="1742"/>
      <c r="K5" s="1742"/>
      <c r="L5" s="1742"/>
      <c r="M5" s="1742"/>
      <c r="N5" s="1742"/>
      <c r="O5" s="1742"/>
      <c r="P5" s="1742"/>
      <c r="Q5" s="1742"/>
      <c r="R5" s="1742"/>
      <c r="S5" s="1742"/>
    </row>
    <row r="6" spans="1:22">
      <c r="A6" s="1756" t="str">
        <f>'数据-取费表'!AN6</f>
        <v>收益法 (元)</v>
      </c>
      <c r="B6" s="934">
        <f ca="1">IF(F6="是",'数据-取费表'!AO6,0)</f>
        <v>83.124899999999997</v>
      </c>
      <c r="C6" s="1745" t="s">
        <v>1543</v>
      </c>
      <c r="D6" s="1749"/>
      <c r="E6" s="1757">
        <f>IF(OR(A6=0,F6="否"),0,'数据-取费表'!K6+'数据-取费表'!S6)</f>
        <v>46.53</v>
      </c>
      <c r="F6" s="1758" t="s">
        <v>1550</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1543</v>
      </c>
      <c r="D7" s="1749"/>
      <c r="E7" s="1757">
        <f>IF(OR(A7=0,F7="否"),0,'数据-取费表'!K7+'数据-取费表'!S7)</f>
        <v>0</v>
      </c>
      <c r="F7" s="1758" t="s">
        <v>1550</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1543</v>
      </c>
      <c r="D8" s="1749"/>
      <c r="E8" s="1757">
        <f>IF(OR(A8=0,F8="否"),0,'数据-取费表'!K8+'数据-取费表'!S8)</f>
        <v>0</v>
      </c>
      <c r="F8" s="1758" t="s">
        <v>1550</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1543</v>
      </c>
      <c r="D9" s="1749"/>
      <c r="E9" s="1757">
        <f>IF(OR(A9=0,F9="否"),0,'数据-取费表'!K9+'数据-取费表'!S9)</f>
        <v>0</v>
      </c>
      <c r="F9" s="1758" t="s">
        <v>1550</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1543</v>
      </c>
      <c r="D10" s="1749"/>
      <c r="E10" s="1757">
        <f>IF(OR(A10=0,F10="否"),0,'数据-取费表'!K10+'数据-取费表'!S10)</f>
        <v>0</v>
      </c>
      <c r="F10" s="1758" t="s">
        <v>1550</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1543</v>
      </c>
      <c r="D11" s="1749"/>
      <c r="E11" s="1757">
        <f>IF(OR(A11=0,F11="否"),0,'数据-取费表'!K11+'数据-取费表'!S11)</f>
        <v>0</v>
      </c>
      <c r="F11" s="1758" t="s">
        <v>1550</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1543</v>
      </c>
      <c r="D12" s="1749"/>
      <c r="E12" s="1757">
        <f>IF(OR(A12=0,F12="否"),0,'数据-取费表'!K12+'数据-取费表'!S12)</f>
        <v>0</v>
      </c>
      <c r="F12" s="1758" t="s">
        <v>1550</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1543</v>
      </c>
      <c r="D13" s="1761"/>
      <c r="E13" s="1757">
        <f>IF(OR(A13=0,F13="否"),0,'数据-取费表'!K13+'数据-取费表'!S13)</f>
        <v>0</v>
      </c>
      <c r="F13" s="1758" t="s">
        <v>1550</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626" t="s">
        <v>1551</v>
      </c>
      <c r="C1" s="1507" t="s">
        <v>1326</v>
      </c>
      <c r="D1" s="1450"/>
      <c r="E1" s="1627"/>
      <c r="F1" s="1452"/>
      <c r="G1" s="1453" t="s">
        <v>1329</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982</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983</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984</v>
      </c>
      <c r="B3" s="1461">
        <f>IF(C2="——",C49,ROUND(B2*10000/D3,0))</f>
        <v>0</v>
      </c>
      <c r="C3" s="1460" t="s">
        <v>1330</v>
      </c>
      <c r="D3" s="1461">
        <f>IF(D1="",'数据-汇总表'!E3,SUMIF('数据-汇总表'!$C19:$C33,D1,'数据-汇总表'!$E19:$E33))</f>
        <v>46.53</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90" t="s">
        <v>1331</v>
      </c>
      <c r="B4" s="1091"/>
      <c r="C4" s="3626" t="s">
        <v>1332</v>
      </c>
      <c r="D4" s="3627"/>
      <c r="E4" s="3628" t="s">
        <v>1333</v>
      </c>
      <c r="F4" s="3629"/>
      <c r="G4" s="3626" t="s">
        <v>1334</v>
      </c>
      <c r="H4" s="3627"/>
      <c r="I4" s="3626" t="s">
        <v>1335</v>
      </c>
      <c r="J4" s="3627"/>
      <c r="K4" s="1671" t="s">
        <v>1336</v>
      </c>
      <c r="L4" s="1238"/>
      <c r="M4" s="1239"/>
      <c r="N4" s="1239"/>
      <c r="O4" s="1239"/>
      <c r="P4" s="3704" t="s">
        <v>1337</v>
      </c>
      <c r="Q4" s="3705"/>
      <c r="R4" s="3708" t="s">
        <v>1333</v>
      </c>
      <c r="S4" s="3709"/>
      <c r="T4" s="3708" t="s">
        <v>1334</v>
      </c>
      <c r="U4" s="3709"/>
      <c r="V4" s="3676" t="s">
        <v>1335</v>
      </c>
      <c r="W4" s="3676"/>
      <c r="X4" s="1281"/>
      <c r="Y4" s="3708" t="s">
        <v>1337</v>
      </c>
      <c r="Z4" s="3709"/>
      <c r="AA4" s="3703" t="s">
        <v>1333</v>
      </c>
      <c r="AB4" s="3703" t="s">
        <v>1334</v>
      </c>
      <c r="AC4" s="3703" t="s">
        <v>1335</v>
      </c>
    </row>
    <row r="5" spans="1:29" ht="15">
      <c r="A5" s="1092"/>
      <c r="B5" s="1093"/>
      <c r="C5" s="3630" t="s">
        <v>1338</v>
      </c>
      <c r="D5" s="3631"/>
      <c r="E5" s="3698" t="s">
        <v>1552</v>
      </c>
      <c r="F5" s="3633"/>
      <c r="G5" s="3630" t="s">
        <v>1553</v>
      </c>
      <c r="H5" s="3631"/>
      <c r="I5" s="3630" t="s">
        <v>1554</v>
      </c>
      <c r="J5" s="3631"/>
      <c r="K5" s="1672"/>
      <c r="L5" s="1238"/>
      <c r="M5" s="1239"/>
      <c r="N5" s="1239"/>
      <c r="O5" s="1239"/>
      <c r="P5" s="3706"/>
      <c r="Q5" s="3666"/>
      <c r="R5" s="3671"/>
      <c r="S5" s="3672"/>
      <c r="T5" s="3671"/>
      <c r="U5" s="3672"/>
      <c r="V5" s="3676"/>
      <c r="W5" s="3676"/>
      <c r="X5" s="1281"/>
      <c r="Y5" s="3671"/>
      <c r="Z5" s="3672"/>
      <c r="AA5" s="3658"/>
      <c r="AB5" s="3658"/>
      <c r="AC5" s="3658"/>
    </row>
    <row r="6" spans="1:29" ht="15">
      <c r="A6" s="1094"/>
      <c r="B6" s="1095"/>
      <c r="C6" s="3634" t="s">
        <v>1339</v>
      </c>
      <c r="D6" s="3635"/>
      <c r="E6" s="3699" t="s">
        <v>1339</v>
      </c>
      <c r="F6" s="3637"/>
      <c r="G6" s="3634" t="s">
        <v>1339</v>
      </c>
      <c r="H6" s="3635"/>
      <c r="I6" s="3634" t="s">
        <v>1339</v>
      </c>
      <c r="J6" s="3635"/>
      <c r="K6" s="1672" t="s">
        <v>1340</v>
      </c>
      <c r="L6" s="1238"/>
      <c r="M6" s="1239"/>
      <c r="N6" s="1239"/>
      <c r="O6" s="1239"/>
      <c r="P6" s="3707"/>
      <c r="Q6" s="3668"/>
      <c r="R6" s="3671"/>
      <c r="S6" s="3672"/>
      <c r="T6" s="3673"/>
      <c r="U6" s="3674"/>
      <c r="V6" s="3676"/>
      <c r="W6" s="3676"/>
      <c r="X6" s="1281"/>
      <c r="Y6" s="3673"/>
      <c r="Z6" s="3674"/>
      <c r="AA6" s="3659"/>
      <c r="AB6" s="3659"/>
      <c r="AC6" s="3659"/>
    </row>
    <row r="7" spans="1:29" s="1071" customFormat="1" ht="15">
      <c r="A7" s="1096" t="s">
        <v>1341</v>
      </c>
      <c r="B7" s="1097"/>
      <c r="C7" s="1098">
        <f>'数据-取费表'!B2</f>
        <v>45218</v>
      </c>
      <c r="D7" s="1099">
        <v>100</v>
      </c>
      <c r="E7" s="1100"/>
      <c r="F7" s="1101">
        <f>SUMIF(58:58,YEAR(E7)&amp;"-"&amp;MONTH(E7),59:59)</f>
        <v>0</v>
      </c>
      <c r="G7" s="1100"/>
      <c r="H7" s="1099">
        <f>SUMIF(58:58,YEAR(G7)&amp;"-"&amp;MONTH(G7),59:59)</f>
        <v>0</v>
      </c>
      <c r="I7" s="1100"/>
      <c r="J7" s="1099">
        <f>SUMIF(58:58,YEAR(I7)&amp;"-"&amp;MONTH(I7),59:59)</f>
        <v>0</v>
      </c>
      <c r="K7" s="1673"/>
      <c r="L7" s="1241"/>
      <c r="M7" s="1242"/>
      <c r="N7" s="1242"/>
      <c r="O7" s="1242"/>
      <c r="P7" s="3640" t="s">
        <v>1342</v>
      </c>
      <c r="Q7" s="3639"/>
      <c r="R7" s="1282" t="s">
        <v>1343</v>
      </c>
      <c r="S7" s="1283">
        <f t="shared" ref="S7:S15" si="0">F7</f>
        <v>0</v>
      </c>
      <c r="T7" s="1282" t="s">
        <v>1343</v>
      </c>
      <c r="U7" s="1283">
        <f t="shared" ref="U7:U15" si="1">H7</f>
        <v>0</v>
      </c>
      <c r="V7" s="1282" t="s">
        <v>1343</v>
      </c>
      <c r="W7" s="1283">
        <f t="shared" ref="W7:W15" si="2">J7</f>
        <v>0</v>
      </c>
      <c r="X7" s="1284"/>
      <c r="Y7" s="3640" t="s">
        <v>1342</v>
      </c>
      <c r="Z7" s="3641"/>
      <c r="AA7" s="1296" t="e">
        <f>D7/F7</f>
        <v>#DIV/0!</v>
      </c>
      <c r="AB7" s="1296" t="e">
        <f>D7/H7</f>
        <v>#DIV/0!</v>
      </c>
      <c r="AC7" s="1296" t="e">
        <f>D7/J7</f>
        <v>#DIV/0!</v>
      </c>
    </row>
    <row r="8" spans="1:29" s="1071" customFormat="1" ht="15">
      <c r="A8" s="1096" t="s">
        <v>1344</v>
      </c>
      <c r="B8" s="1097"/>
      <c r="C8" s="1103"/>
      <c r="D8" s="1099">
        <v>100</v>
      </c>
      <c r="E8" s="1657"/>
      <c r="F8" s="1101">
        <f>SUMIF(61:61,E8,62:62)-SUMIF(61:61,C8,62:62)+100</f>
        <v>100</v>
      </c>
      <c r="G8" s="1103"/>
      <c r="H8" s="1099">
        <f>SUMIF(61:61,G8,62:62)-SUMIF(61:61,C8,62:62)+100</f>
        <v>100</v>
      </c>
      <c r="I8" s="1657"/>
      <c r="J8" s="1099">
        <f>SUMIF(61:61,I8,62:62)-SUMIF(61:61,C8,62:62)+100</f>
        <v>100</v>
      </c>
      <c r="K8" s="1673"/>
      <c r="L8" s="1241"/>
      <c r="M8" s="1242"/>
      <c r="N8" s="1242"/>
      <c r="O8" s="1242"/>
      <c r="P8" s="3640" t="s">
        <v>1347</v>
      </c>
      <c r="Q8" s="3641"/>
      <c r="R8" s="1282" t="s">
        <v>1343</v>
      </c>
      <c r="S8" s="1283">
        <f t="shared" si="0"/>
        <v>100</v>
      </c>
      <c r="T8" s="1282" t="s">
        <v>1343</v>
      </c>
      <c r="U8" s="1283">
        <f t="shared" si="1"/>
        <v>100</v>
      </c>
      <c r="V8" s="1282" t="s">
        <v>1343</v>
      </c>
      <c r="W8" s="1283">
        <f t="shared" si="2"/>
        <v>100</v>
      </c>
      <c r="X8" s="1284"/>
      <c r="Y8" s="3640" t="s">
        <v>1347</v>
      </c>
      <c r="Z8" s="3641"/>
      <c r="AA8" s="1296">
        <f t="shared" ref="AA8:AA19" si="3">D8/F8</f>
        <v>1</v>
      </c>
      <c r="AB8" s="1296">
        <f t="shared" ref="AB8:AB19" si="4">D8/H8</f>
        <v>1</v>
      </c>
      <c r="AC8" s="1296">
        <f t="shared" ref="AC8:AC19" si="5">D8/J8</f>
        <v>1</v>
      </c>
    </row>
    <row r="9" spans="1:29" s="1071" customFormat="1">
      <c r="A9" s="1104" t="s">
        <v>1348</v>
      </c>
      <c r="B9" s="1105" t="s">
        <v>1349</v>
      </c>
      <c r="C9" s="1462"/>
      <c r="D9" s="1107">
        <v>100</v>
      </c>
      <c r="E9" s="1531"/>
      <c r="F9" s="1464">
        <f>SUMIF(63:63,E9,64:64)-SUMIF(63:63,C9,64:64)+100</f>
        <v>100</v>
      </c>
      <c r="G9" s="1463"/>
      <c r="H9" s="1107">
        <f>SUMIF(63:63,G9,64:64)-SUMIF(63:63,C9,64:64)+100</f>
        <v>100</v>
      </c>
      <c r="I9" s="1463"/>
      <c r="J9" s="1107">
        <f>SUMIF(63:63,I9,64:64)-SUMIF(63:63,C9,64:64)+100</f>
        <v>100</v>
      </c>
      <c r="K9" s="1673"/>
      <c r="L9" s="1241"/>
      <c r="M9" s="1242"/>
      <c r="N9" s="1242"/>
      <c r="O9" s="1242"/>
      <c r="P9" s="3642" t="s">
        <v>1350</v>
      </c>
      <c r="Q9" s="1286" t="str">
        <f t="shared" ref="Q9:Q15" si="6">B9</f>
        <v>用途</v>
      </c>
      <c r="R9" s="1282" t="s">
        <v>1343</v>
      </c>
      <c r="S9" s="1283">
        <f t="shared" si="0"/>
        <v>100</v>
      </c>
      <c r="T9" s="1282" t="s">
        <v>1343</v>
      </c>
      <c r="U9" s="1283">
        <f t="shared" si="1"/>
        <v>100</v>
      </c>
      <c r="V9" s="1282" t="s">
        <v>1343</v>
      </c>
      <c r="W9" s="1283">
        <f t="shared" si="2"/>
        <v>100</v>
      </c>
      <c r="X9" s="1284"/>
      <c r="Y9" s="3612" t="s">
        <v>1351</v>
      </c>
      <c r="Z9" s="1297" t="str">
        <f t="shared" ref="Z9:Z15" si="7">Q9</f>
        <v>用途</v>
      </c>
      <c r="AA9" s="1296">
        <f t="shared" si="3"/>
        <v>1</v>
      </c>
      <c r="AB9" s="1296">
        <f t="shared" si="4"/>
        <v>1</v>
      </c>
      <c r="AC9" s="1296">
        <f t="shared" si="5"/>
        <v>1</v>
      </c>
    </row>
    <row r="10" spans="1:29" s="1072" customFormat="1" ht="27">
      <c r="A10" s="1108"/>
      <c r="B10" s="1109" t="s">
        <v>1352</v>
      </c>
      <c r="C10" s="1465"/>
      <c r="D10" s="1111">
        <v>100</v>
      </c>
      <c r="E10" s="1534"/>
      <c r="F10" s="1466">
        <f>SUMIF(65:65,E10,66:66)-SUMIF(65:65,C10,66:66)+100</f>
        <v>100</v>
      </c>
      <c r="G10" s="1465"/>
      <c r="H10" s="1111">
        <f>SUMIF(65:65,G10,66:66)-SUMIF(65:65,C10,66:66)+100</f>
        <v>100</v>
      </c>
      <c r="I10" s="1465"/>
      <c r="J10" s="1111">
        <f>SUMIF(65:65,I10,66:66)-SUMIF(65:65,C10,66:66)+100</f>
        <v>100</v>
      </c>
      <c r="K10" s="1673"/>
      <c r="L10" s="1245"/>
      <c r="M10" s="1246"/>
      <c r="N10" s="1246"/>
      <c r="O10" s="1246"/>
      <c r="P10" s="3642"/>
      <c r="Q10" s="1286" t="str">
        <f t="shared" si="6"/>
        <v>土地使用年限（年）</v>
      </c>
      <c r="R10" s="1282" t="s">
        <v>1343</v>
      </c>
      <c r="S10" s="1283">
        <f t="shared" si="0"/>
        <v>100</v>
      </c>
      <c r="T10" s="1282" t="s">
        <v>1343</v>
      </c>
      <c r="U10" s="1283">
        <f t="shared" si="1"/>
        <v>100</v>
      </c>
      <c r="V10" s="1282" t="s">
        <v>1343</v>
      </c>
      <c r="W10" s="1283">
        <f t="shared" si="2"/>
        <v>100</v>
      </c>
      <c r="X10" s="1284"/>
      <c r="Y10" s="3612"/>
      <c r="Z10" s="1297" t="str">
        <f t="shared" si="7"/>
        <v>土地使用年限（年）</v>
      </c>
      <c r="AA10" s="1296">
        <f t="shared" si="3"/>
        <v>1</v>
      </c>
      <c r="AB10" s="1296">
        <f t="shared" si="4"/>
        <v>1</v>
      </c>
      <c r="AC10" s="1296">
        <f t="shared" si="5"/>
        <v>1</v>
      </c>
    </row>
    <row r="11" spans="1:29" ht="15">
      <c r="A11" s="1112"/>
      <c r="B11" s="1109" t="s">
        <v>1353</v>
      </c>
      <c r="C11" s="1113"/>
      <c r="D11" s="1111">
        <v>100</v>
      </c>
      <c r="E11" s="1114"/>
      <c r="F11" s="1466" t="e">
        <f>LOOKUP(E11,68:68,69:69)-LOOKUP(C11,68:68,69:69)+100</f>
        <v>#N/A</v>
      </c>
      <c r="G11" s="1113"/>
      <c r="H11" s="1111" t="e">
        <f>LOOKUP(G11,68:68,69:69)-LOOKUP(C11,68:68,69:69)+100</f>
        <v>#N/A</v>
      </c>
      <c r="I11" s="1113"/>
      <c r="J11" s="1111" t="e">
        <f>LOOKUP(I11,68:68,69:69)-LOOKUP(C11,68:68,69:69)+100</f>
        <v>#N/A</v>
      </c>
      <c r="K11" s="1674"/>
      <c r="L11" s="1249"/>
      <c r="M11" s="1239"/>
      <c r="N11" s="1239"/>
      <c r="O11" s="1239"/>
      <c r="P11" s="3642"/>
      <c r="Q11" s="1286" t="str">
        <f t="shared" si="6"/>
        <v>容积率</v>
      </c>
      <c r="R11" s="1282" t="s">
        <v>1343</v>
      </c>
      <c r="S11" s="1283" t="e">
        <f t="shared" si="0"/>
        <v>#N/A</v>
      </c>
      <c r="T11" s="1282" t="s">
        <v>1343</v>
      </c>
      <c r="U11" s="1283" t="e">
        <f t="shared" si="1"/>
        <v>#N/A</v>
      </c>
      <c r="V11" s="1282" t="s">
        <v>1343</v>
      </c>
      <c r="W11" s="1283" t="e">
        <f t="shared" si="2"/>
        <v>#N/A</v>
      </c>
      <c r="X11" s="1284"/>
      <c r="Y11" s="361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66">
        <f>SUMIF(70:70,E12,71:71)-SUMIF(70:70,C12,71:71)+100</f>
        <v>100</v>
      </c>
      <c r="G12" s="1110"/>
      <c r="H12" s="1111">
        <f>SUMIF(70:70,G12,71:71)-SUMIF(70:70,C12,71:71)+100</f>
        <v>100</v>
      </c>
      <c r="I12" s="1110"/>
      <c r="J12" s="1111">
        <f>SUMIF(70:70,I12,71:71)-SUMIF(70:70,C12,71:71)+100</f>
        <v>100</v>
      </c>
      <c r="K12" s="1675"/>
      <c r="L12" s="1241"/>
      <c r="M12" s="1242"/>
      <c r="N12" s="1242"/>
      <c r="O12" s="1242"/>
      <c r="P12" s="3642"/>
      <c r="Q12" s="1286">
        <f t="shared" si="6"/>
        <v>111</v>
      </c>
      <c r="R12" s="1282" t="s">
        <v>1343</v>
      </c>
      <c r="S12" s="1283">
        <f t="shared" si="0"/>
        <v>100</v>
      </c>
      <c r="T12" s="1282" t="s">
        <v>1343</v>
      </c>
      <c r="U12" s="1283">
        <f t="shared" si="1"/>
        <v>100</v>
      </c>
      <c r="V12" s="1282" t="s">
        <v>1343</v>
      </c>
      <c r="W12" s="1283">
        <f t="shared" si="2"/>
        <v>100</v>
      </c>
      <c r="X12" s="1284"/>
      <c r="Y12" s="3612"/>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675"/>
      <c r="L13" s="1251"/>
      <c r="M13" s="1239"/>
      <c r="N13" s="1239"/>
      <c r="O13" s="1239"/>
      <c r="P13" s="3642"/>
      <c r="Q13" s="1286">
        <f t="shared" si="6"/>
        <v>111</v>
      </c>
      <c r="R13" s="1282" t="s">
        <v>1343</v>
      </c>
      <c r="S13" s="1283">
        <f t="shared" si="0"/>
        <v>100</v>
      </c>
      <c r="T13" s="1282" t="s">
        <v>1343</v>
      </c>
      <c r="U13" s="1283">
        <f t="shared" si="1"/>
        <v>100</v>
      </c>
      <c r="V13" s="1282" t="s">
        <v>1343</v>
      </c>
      <c r="W13" s="1283">
        <f t="shared" si="2"/>
        <v>100</v>
      </c>
      <c r="X13" s="1284"/>
      <c r="Y13" s="3612"/>
      <c r="Z13" s="1297">
        <f t="shared" si="7"/>
        <v>111</v>
      </c>
      <c r="AA13" s="1296">
        <f t="shared" si="3"/>
        <v>1</v>
      </c>
      <c r="AB13" s="1296">
        <f t="shared" si="4"/>
        <v>1</v>
      </c>
      <c r="AC13" s="1296">
        <f t="shared" si="5"/>
        <v>1</v>
      </c>
    </row>
    <row r="14" spans="1:29" ht="15">
      <c r="A14" s="1122"/>
      <c r="B14" s="1123">
        <v>111</v>
      </c>
      <c r="C14" s="1124"/>
      <c r="D14" s="1125">
        <v>100</v>
      </c>
      <c r="E14" s="1124"/>
      <c r="F14" s="1486">
        <f>SUMIF(74:74,E14,75:75)-SUMIF(74:74,C14,75:75)+100</f>
        <v>100</v>
      </c>
      <c r="G14" s="1124"/>
      <c r="H14" s="1125">
        <f>SUMIF(74:74,G14,75:75)-SUMIF(74:74,C14,75:75)+100</f>
        <v>100</v>
      </c>
      <c r="I14" s="1124"/>
      <c r="J14" s="1125">
        <f>SUMIF(74:74,I14,75:75)-SUMIF(74:74,C14,75:75)+100</f>
        <v>100</v>
      </c>
      <c r="K14" s="1675"/>
      <c r="L14" s="1251"/>
      <c r="M14" s="1239"/>
      <c r="N14" s="1239"/>
      <c r="O14" s="1239"/>
      <c r="P14" s="3642"/>
      <c r="Q14" s="1286">
        <f t="shared" si="6"/>
        <v>111</v>
      </c>
      <c r="R14" s="1282" t="s">
        <v>1343</v>
      </c>
      <c r="S14" s="1283">
        <f t="shared" si="0"/>
        <v>100</v>
      </c>
      <c r="T14" s="1282" t="s">
        <v>1343</v>
      </c>
      <c r="U14" s="1283">
        <f t="shared" si="1"/>
        <v>100</v>
      </c>
      <c r="V14" s="1282" t="s">
        <v>1343</v>
      </c>
      <c r="W14" s="1283">
        <f t="shared" si="2"/>
        <v>100</v>
      </c>
      <c r="X14" s="1284"/>
      <c r="Y14" s="3612"/>
      <c r="Z14" s="1297">
        <f t="shared" si="7"/>
        <v>111</v>
      </c>
      <c r="AA14" s="1296">
        <f t="shared" si="3"/>
        <v>1</v>
      </c>
      <c r="AB14" s="1296">
        <f t="shared" si="4"/>
        <v>1</v>
      </c>
      <c r="AC14" s="1296">
        <f t="shared" si="5"/>
        <v>1</v>
      </c>
    </row>
    <row r="15" spans="1:29" ht="15">
      <c r="A15" s="1126" t="s">
        <v>1354</v>
      </c>
      <c r="B15" s="1416" t="s">
        <v>1555</v>
      </c>
      <c r="C15" s="1417">
        <f>估价对象房地状况!C3</f>
        <v>0</v>
      </c>
      <c r="D15" s="1129">
        <v>100</v>
      </c>
      <c r="E15" s="1252"/>
      <c r="F15" s="1129">
        <f>SUMIF(76:76,E16,77:77)-SUMIF(76:76,C16,77:77)+100</f>
        <v>100</v>
      </c>
      <c r="G15" s="1130"/>
      <c r="H15" s="1129">
        <f>SUMIF(76:76,G16,77:77)-SUMIF(76:76,C16,77:77)+100</f>
        <v>100</v>
      </c>
      <c r="I15" s="1130"/>
      <c r="J15" s="1129">
        <f>SUMIF(76:76,I16,77:77)-SUMIF(76:76,C16,77:77)+100</f>
        <v>100</v>
      </c>
      <c r="K15" s="1676"/>
      <c r="L15" s="1251"/>
      <c r="M15" s="1239"/>
      <c r="N15" s="1239"/>
      <c r="O15" s="1239"/>
      <c r="P15" s="3645" t="s">
        <v>1356</v>
      </c>
      <c r="Q15" s="664" t="str">
        <f t="shared" si="6"/>
        <v>居住社区成熟度</v>
      </c>
      <c r="R15" s="1287" t="s">
        <v>1343</v>
      </c>
      <c r="S15" s="1288">
        <f t="shared" si="0"/>
        <v>100</v>
      </c>
      <c r="T15" s="1287" t="s">
        <v>1343</v>
      </c>
      <c r="U15" s="1288">
        <f t="shared" si="1"/>
        <v>100</v>
      </c>
      <c r="V15" s="1287" t="s">
        <v>1343</v>
      </c>
      <c r="W15" s="1288">
        <f t="shared" si="2"/>
        <v>100</v>
      </c>
      <c r="X15" s="1281"/>
      <c r="Y15" s="3650" t="s">
        <v>1356</v>
      </c>
      <c r="Z15" s="1271" t="str">
        <f t="shared" si="7"/>
        <v>居住社区成熟度</v>
      </c>
      <c r="AA15" s="1298">
        <f t="shared" si="3"/>
        <v>1</v>
      </c>
      <c r="AB15" s="1298">
        <f t="shared" si="4"/>
        <v>1</v>
      </c>
      <c r="AC15" s="1298">
        <f t="shared" si="5"/>
        <v>1</v>
      </c>
    </row>
    <row r="16" spans="1:29" ht="15">
      <c r="A16" s="1112"/>
      <c r="B16" s="1418"/>
      <c r="C16" s="1132"/>
      <c r="D16" s="1133"/>
      <c r="E16" s="1254"/>
      <c r="F16" s="1133"/>
      <c r="G16" s="1141"/>
      <c r="H16" s="1135"/>
      <c r="I16" s="1141"/>
      <c r="J16" s="1133"/>
      <c r="K16" s="1677"/>
      <c r="L16" s="1251"/>
      <c r="M16" s="1239"/>
      <c r="N16" s="1239"/>
      <c r="O16" s="1239"/>
      <c r="P16" s="3646"/>
      <c r="Q16" s="664"/>
      <c r="R16" s="1287"/>
      <c r="S16" s="1288"/>
      <c r="T16" s="1287"/>
      <c r="U16" s="1288"/>
      <c r="V16" s="1287"/>
      <c r="W16" s="1288"/>
      <c r="X16" s="1281"/>
      <c r="Y16" s="3651"/>
      <c r="Z16" s="1271"/>
      <c r="AA16" s="1298">
        <v>1</v>
      </c>
      <c r="AB16" s="1298">
        <v>1</v>
      </c>
      <c r="AC16" s="1298">
        <v>1</v>
      </c>
    </row>
    <row r="17" spans="1:29" ht="15">
      <c r="A17" s="1112"/>
      <c r="B17" s="1419" t="s">
        <v>1358</v>
      </c>
      <c r="C17" s="1137">
        <f>估价对象房地状况!C6</f>
        <v>0</v>
      </c>
      <c r="D17" s="1135">
        <v>100</v>
      </c>
      <c r="E17" s="1253"/>
      <c r="F17" s="1135">
        <f>SUMIF(78:78,E18,79:79)-SUMIF(78:78,C18,79:79)+100</f>
        <v>100</v>
      </c>
      <c r="G17" s="1138"/>
      <c r="H17" s="1139">
        <f>SUMIF(78:78,G18,79:79)-SUMIF(78:78,C18,79:79)+100</f>
        <v>100</v>
      </c>
      <c r="I17" s="1138"/>
      <c r="J17" s="1139">
        <f>SUMIF(78:78,I18,79:79)-SUMIF(78:78,C18,79:79)+100</f>
        <v>100</v>
      </c>
      <c r="K17" s="1676"/>
      <c r="L17" s="1251"/>
      <c r="M17" s="1239"/>
      <c r="N17" s="1239"/>
      <c r="O17" s="1239"/>
      <c r="P17" s="3646"/>
      <c r="Q17" s="664" t="str">
        <f>B17</f>
        <v>交通便捷度</v>
      </c>
      <c r="R17" s="1287" t="s">
        <v>1343</v>
      </c>
      <c r="S17" s="1288">
        <f>F17</f>
        <v>100</v>
      </c>
      <c r="T17" s="1287" t="s">
        <v>1343</v>
      </c>
      <c r="U17" s="1288">
        <f>H17</f>
        <v>100</v>
      </c>
      <c r="V17" s="1287" t="s">
        <v>1343</v>
      </c>
      <c r="W17" s="1288">
        <f>J17</f>
        <v>100</v>
      </c>
      <c r="X17" s="1281"/>
      <c r="Y17" s="3651"/>
      <c r="Z17" s="1271" t="str">
        <f>Q17</f>
        <v>交通便捷度</v>
      </c>
      <c r="AA17" s="1298">
        <f t="shared" si="3"/>
        <v>1</v>
      </c>
      <c r="AB17" s="1298">
        <f t="shared" si="4"/>
        <v>1</v>
      </c>
      <c r="AC17" s="1298">
        <f t="shared" si="5"/>
        <v>1</v>
      </c>
    </row>
    <row r="18" spans="1:29" ht="15">
      <c r="A18" s="1112"/>
      <c r="B18" s="1160"/>
      <c r="C18" s="1420"/>
      <c r="D18" s="1135"/>
      <c r="E18" s="1429"/>
      <c r="F18" s="1135"/>
      <c r="G18" s="1421"/>
      <c r="H18" s="1133"/>
      <c r="I18" s="1421"/>
      <c r="J18" s="1133"/>
      <c r="K18" s="1677"/>
      <c r="L18" s="1251"/>
      <c r="M18" s="1239"/>
      <c r="N18" s="1239"/>
      <c r="O18" s="1239"/>
      <c r="P18" s="3646"/>
      <c r="Q18" s="664"/>
      <c r="R18" s="1287"/>
      <c r="S18" s="1288"/>
      <c r="T18" s="1287"/>
      <c r="U18" s="1288"/>
      <c r="V18" s="1287"/>
      <c r="W18" s="1288"/>
      <c r="X18" s="1281"/>
      <c r="Y18" s="3651"/>
      <c r="Z18" s="1271"/>
      <c r="AA18" s="1298">
        <v>1</v>
      </c>
      <c r="AB18" s="1298">
        <v>1</v>
      </c>
      <c r="AC18" s="1298">
        <v>1</v>
      </c>
    </row>
    <row r="19" spans="1:29" ht="15">
      <c r="A19" s="1112"/>
      <c r="B19" s="1419" t="s">
        <v>1359</v>
      </c>
      <c r="C19" s="1137">
        <f>估价对象房地状况!C7</f>
        <v>0</v>
      </c>
      <c r="D19" s="1139">
        <v>100</v>
      </c>
      <c r="E19" s="1430"/>
      <c r="F19" s="1139">
        <f>SUMIF(80:80,E20,81:81)-SUMIF(80:80,C20,81:81)+100</f>
        <v>100</v>
      </c>
      <c r="G19" s="1422"/>
      <c r="H19" s="1135">
        <f>SUMIF(80:80,G20,81:81)-SUMIF(80:80,C20,81:81)+100</f>
        <v>100</v>
      </c>
      <c r="I19" s="1422"/>
      <c r="J19" s="1135">
        <f>SUMIF(80:80,I20,81:81)-SUMIF(80:80,C20,81:81)+100</f>
        <v>100</v>
      </c>
      <c r="K19" s="1676"/>
      <c r="L19" s="1251"/>
      <c r="M19" s="1239"/>
      <c r="N19" s="1239"/>
      <c r="O19" s="1239"/>
      <c r="P19" s="3646"/>
      <c r="Q19" s="664" t="str">
        <f>B19</f>
        <v>公共配套设施</v>
      </c>
      <c r="R19" s="1287" t="s">
        <v>1343</v>
      </c>
      <c r="S19" s="1288">
        <f>F19</f>
        <v>100</v>
      </c>
      <c r="T19" s="1287" t="s">
        <v>1343</v>
      </c>
      <c r="U19" s="1288">
        <f>H19</f>
        <v>100</v>
      </c>
      <c r="V19" s="1287" t="s">
        <v>1343</v>
      </c>
      <c r="W19" s="1288">
        <f>J19</f>
        <v>100</v>
      </c>
      <c r="X19" s="1281"/>
      <c r="Y19" s="3651"/>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77"/>
      <c r="L20" s="1251"/>
      <c r="M20" s="1239"/>
      <c r="N20" s="1239"/>
      <c r="O20" s="1239"/>
      <c r="P20" s="3646"/>
      <c r="Q20" s="664"/>
      <c r="R20" s="1287"/>
      <c r="S20" s="1288"/>
      <c r="T20" s="1287"/>
      <c r="U20" s="1288"/>
      <c r="V20" s="1287"/>
      <c r="W20" s="1288"/>
      <c r="X20" s="1281"/>
      <c r="Y20" s="3651"/>
      <c r="Z20" s="1271"/>
      <c r="AA20" s="1298">
        <v>1</v>
      </c>
      <c r="AB20" s="1298">
        <v>1</v>
      </c>
      <c r="AC20" s="1298">
        <v>1</v>
      </c>
    </row>
    <row r="21" spans="1:29" ht="15">
      <c r="A21" s="1112"/>
      <c r="B21" s="1423" t="s">
        <v>1360</v>
      </c>
      <c r="C21" s="1137">
        <f>估价对象房地状况!C8</f>
        <v>0</v>
      </c>
      <c r="D21" s="1135">
        <v>100</v>
      </c>
      <c r="E21" s="1430"/>
      <c r="F21" s="1139">
        <f>SUMIF(82:82,E22,83:83)-SUMIF(82:82,C22,83:83)+100</f>
        <v>100</v>
      </c>
      <c r="G21" s="1422"/>
      <c r="H21" s="1135">
        <f>SUMIF(82:82,G22,83:83)-SUMIF(82:82,C22,83:83)+100</f>
        <v>100</v>
      </c>
      <c r="I21" s="1422"/>
      <c r="J21" s="1135">
        <f>SUMIF(82:82,I22,83:83)-SUMIF(82:82,C22,83:83)+100</f>
        <v>100</v>
      </c>
      <c r="K21" s="1676"/>
      <c r="L21" s="1251"/>
      <c r="M21" s="1239"/>
      <c r="N21" s="1239"/>
      <c r="O21" s="1239"/>
      <c r="P21" s="3646"/>
      <c r="Q21" s="664" t="str">
        <f>B21</f>
        <v>基础设施水平</v>
      </c>
      <c r="R21" s="1287" t="s">
        <v>1343</v>
      </c>
      <c r="S21" s="1288">
        <f>F21</f>
        <v>100</v>
      </c>
      <c r="T21" s="1287" t="s">
        <v>1343</v>
      </c>
      <c r="U21" s="1288">
        <f>H21</f>
        <v>100</v>
      </c>
      <c r="V21" s="1287" t="s">
        <v>1343</v>
      </c>
      <c r="W21" s="1288">
        <f>J21</f>
        <v>100</v>
      </c>
      <c r="X21" s="1281"/>
      <c r="Y21" s="3651"/>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133"/>
      <c r="G22" s="1134"/>
      <c r="H22" s="1133"/>
      <c r="I22" s="1132"/>
      <c r="J22" s="1133"/>
      <c r="K22" s="1678"/>
      <c r="L22" s="1251"/>
      <c r="M22" s="1239"/>
      <c r="N22" s="1239"/>
      <c r="O22" s="1239"/>
      <c r="P22" s="3646"/>
      <c r="Q22" s="664"/>
      <c r="R22" s="1287"/>
      <c r="S22" s="1288"/>
      <c r="T22" s="1287"/>
      <c r="U22" s="1288"/>
      <c r="V22" s="1287"/>
      <c r="W22" s="1288"/>
      <c r="X22" s="1281"/>
      <c r="Y22" s="3651"/>
      <c r="Z22" s="1271"/>
      <c r="AA22" s="1298">
        <v>1</v>
      </c>
      <c r="AB22" s="1298">
        <v>1</v>
      </c>
      <c r="AC22" s="1298">
        <v>1</v>
      </c>
    </row>
    <row r="23" spans="1:29" ht="15">
      <c r="A23" s="1112"/>
      <c r="B23" s="1419" t="s">
        <v>1556</v>
      </c>
      <c r="C23" s="1137">
        <f>估价对象房地状况!C9</f>
        <v>0</v>
      </c>
      <c r="D23" s="1135">
        <v>100</v>
      </c>
      <c r="E23" s="1253"/>
      <c r="F23" s="1135">
        <f>SUMIF(84:84,E24,85:85)-SUMIF(84:84,C24,85:85)+100</f>
        <v>100</v>
      </c>
      <c r="G23" s="1138"/>
      <c r="H23" s="1135">
        <f>SUMIF(84:84,G24,85:85)-SUMIF(84:84,C24,85:85)+100</f>
        <v>100</v>
      </c>
      <c r="I23" s="1138"/>
      <c r="J23" s="1135">
        <f>SUMIF(84:84,I24,85:85)-SUMIF(84:84,C24,85:85)+100</f>
        <v>100</v>
      </c>
      <c r="K23" s="1676"/>
      <c r="L23" s="1251"/>
      <c r="M23" s="1239"/>
      <c r="N23" s="1239"/>
      <c r="O23" s="1239"/>
      <c r="P23" s="3646"/>
      <c r="Q23" s="664" t="str">
        <f>B23</f>
        <v>自然及人文环境</v>
      </c>
      <c r="R23" s="1287" t="s">
        <v>1343</v>
      </c>
      <c r="S23" s="1288">
        <f>F23</f>
        <v>100</v>
      </c>
      <c r="T23" s="1287" t="s">
        <v>1343</v>
      </c>
      <c r="U23" s="1288">
        <f>H23</f>
        <v>100</v>
      </c>
      <c r="V23" s="1287" t="s">
        <v>1343</v>
      </c>
      <c r="W23" s="1288">
        <f>J23</f>
        <v>100</v>
      </c>
      <c r="X23" s="1281"/>
      <c r="Y23" s="3651"/>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77"/>
      <c r="L24" s="1251"/>
      <c r="M24" s="1239"/>
      <c r="N24" s="1239"/>
      <c r="O24" s="1239"/>
      <c r="P24" s="3646"/>
      <c r="Q24" s="664"/>
      <c r="R24" s="1287"/>
      <c r="S24" s="1288"/>
      <c r="T24" s="1287"/>
      <c r="U24" s="1288"/>
      <c r="V24" s="1287"/>
      <c r="W24" s="1288"/>
      <c r="X24" s="1281"/>
      <c r="Y24" s="3651"/>
      <c r="Z24" s="1271"/>
      <c r="AA24" s="1298">
        <v>1</v>
      </c>
      <c r="AB24" s="1298">
        <v>1</v>
      </c>
      <c r="AC24" s="1298">
        <v>1</v>
      </c>
    </row>
    <row r="25" spans="1:29" ht="15">
      <c r="A25" s="1112"/>
      <c r="B25" s="1109" t="s">
        <v>1557</v>
      </c>
      <c r="C25" s="1483"/>
      <c r="D25" s="1121">
        <v>100</v>
      </c>
      <c r="E25" s="1164"/>
      <c r="F25" s="1121">
        <f>SUMIF(86:86,E25,87:87)-SUMIF(86:86,C25,87:87)+100</f>
        <v>100</v>
      </c>
      <c r="G25" s="1658"/>
      <c r="H25" s="1121">
        <f>SUMIF(86:86,G25,87:87)-SUMIF(86:86,C25,87:87)+100</f>
        <v>100</v>
      </c>
      <c r="I25" s="1658"/>
      <c r="J25" s="1121">
        <f>SUMIF(86:86,I25,87:87)-SUMIF(86:86,C25,87:87)+100</f>
        <v>100</v>
      </c>
      <c r="K25" s="1674"/>
      <c r="L25" s="1251"/>
      <c r="M25" s="1239"/>
      <c r="N25" s="1239"/>
      <c r="O25" s="1239"/>
      <c r="P25" s="3646"/>
      <c r="Q25" s="664" t="str">
        <f t="shared" ref="Q25:Q46" si="11">B25</f>
        <v>楼层-1</v>
      </c>
      <c r="R25" s="1287" t="s">
        <v>1343</v>
      </c>
      <c r="S25" s="1288">
        <f t="shared" ref="S25:S46" si="12">F25</f>
        <v>100</v>
      </c>
      <c r="T25" s="1287" t="s">
        <v>1343</v>
      </c>
      <c r="U25" s="1288">
        <f t="shared" ref="U25:U46" si="13">H25</f>
        <v>100</v>
      </c>
      <c r="V25" s="1287" t="s">
        <v>1343</v>
      </c>
      <c r="W25" s="1288">
        <f t="shared" ref="W25:W46" si="14">J25</f>
        <v>100</v>
      </c>
      <c r="X25" s="1281"/>
      <c r="Y25" s="3651"/>
      <c r="Z25" s="1271" t="str">
        <f>Q25</f>
        <v>楼层-1</v>
      </c>
      <c r="AA25" s="1298">
        <f t="shared" ref="AA25:AA46" si="15">D25/F25</f>
        <v>1</v>
      </c>
      <c r="AB25" s="1298">
        <f t="shared" ref="AB25:AB46" si="16">D25/H25</f>
        <v>1</v>
      </c>
      <c r="AC25" s="1298">
        <f t="shared" ref="AC25:AC46" si="17">D25/J25</f>
        <v>1</v>
      </c>
    </row>
    <row r="26" spans="1:29" ht="15">
      <c r="A26" s="1112"/>
      <c r="B26" s="1109" t="s">
        <v>1366</v>
      </c>
      <c r="C26" s="1483"/>
      <c r="D26" s="1121">
        <v>100</v>
      </c>
      <c r="E26" s="1164"/>
      <c r="F26" s="1121">
        <f>SUMIF(88:88,E26,89:89)-SUMIF(88:88,C26,89:89)+100</f>
        <v>100</v>
      </c>
      <c r="G26" s="1658"/>
      <c r="H26" s="1121">
        <f>SUMIF(88:88,G26,89:89)-SUMIF(88:88,C26,89:89)+100</f>
        <v>100</v>
      </c>
      <c r="I26" s="1658"/>
      <c r="J26" s="1121">
        <f>SUMIF(88:88,I26,89:89)-SUMIF(88:88,C26,89:89)+100</f>
        <v>100</v>
      </c>
      <c r="K26" s="1674"/>
      <c r="L26" s="1251"/>
      <c r="M26" s="1239"/>
      <c r="N26" s="1239"/>
      <c r="O26" s="1239"/>
      <c r="P26" s="3646"/>
      <c r="Q26" s="664" t="str">
        <f t="shared" si="11"/>
        <v>朝向</v>
      </c>
      <c r="R26" s="1287" t="s">
        <v>1343</v>
      </c>
      <c r="S26" s="1288">
        <f t="shared" si="12"/>
        <v>100</v>
      </c>
      <c r="T26" s="1287" t="s">
        <v>1343</v>
      </c>
      <c r="U26" s="1288">
        <f t="shared" si="13"/>
        <v>100</v>
      </c>
      <c r="V26" s="1287" t="s">
        <v>1343</v>
      </c>
      <c r="W26" s="1288">
        <f t="shared" si="14"/>
        <v>100</v>
      </c>
      <c r="X26" s="1281"/>
      <c r="Y26" s="3651"/>
      <c r="Z26" s="1271" t="str">
        <f>Q26</f>
        <v>朝向</v>
      </c>
      <c r="AA26" s="1298">
        <f t="shared" si="15"/>
        <v>1</v>
      </c>
      <c r="AB26" s="1298">
        <f t="shared" si="16"/>
        <v>1</v>
      </c>
      <c r="AC26" s="1298">
        <f t="shared" si="17"/>
        <v>1</v>
      </c>
    </row>
    <row r="27" spans="1:29" s="1071" customFormat="1" ht="15">
      <c r="A27" s="1115"/>
      <c r="B27" s="1424">
        <v>111</v>
      </c>
      <c r="C27" s="1110"/>
      <c r="D27" s="1585">
        <v>100</v>
      </c>
      <c r="E27" s="1414"/>
      <c r="F27" s="1585">
        <f>SUMIF(90:90,E27,91:91)-SUMIF(90:90,C27,91:91)+100</f>
        <v>100</v>
      </c>
      <c r="G27" s="1415"/>
      <c r="H27" s="1585">
        <f>SUMIF(90:90,G27,91:91)-SUMIF(90:90,C27,91:91)+100</f>
        <v>100</v>
      </c>
      <c r="I27" s="1415"/>
      <c r="J27" s="1585">
        <f>SUMIF(90:90,I27,91:91)-SUMIF(90:90,C27,91:91)+100</f>
        <v>100</v>
      </c>
      <c r="K27" s="1675"/>
      <c r="L27" s="1241"/>
      <c r="M27" s="1242"/>
      <c r="N27" s="1242"/>
      <c r="O27" s="1242"/>
      <c r="P27" s="3646"/>
      <c r="Q27" s="1286">
        <f t="shared" si="11"/>
        <v>111</v>
      </c>
      <c r="R27" s="1282" t="s">
        <v>1343</v>
      </c>
      <c r="S27" s="1283">
        <f t="shared" si="12"/>
        <v>100</v>
      </c>
      <c r="T27" s="1282" t="s">
        <v>1343</v>
      </c>
      <c r="U27" s="1283">
        <f t="shared" si="13"/>
        <v>100</v>
      </c>
      <c r="V27" s="1282" t="s">
        <v>1343</v>
      </c>
      <c r="W27" s="1283">
        <f t="shared" si="14"/>
        <v>100</v>
      </c>
      <c r="X27" s="1284"/>
      <c r="Y27" s="3651"/>
      <c r="Z27" s="1297">
        <f>Q27</f>
        <v>111</v>
      </c>
      <c r="AA27" s="1298">
        <f t="shared" si="15"/>
        <v>1</v>
      </c>
      <c r="AB27" s="1298">
        <f t="shared" si="16"/>
        <v>1</v>
      </c>
      <c r="AC27" s="1298">
        <f t="shared" si="17"/>
        <v>1</v>
      </c>
    </row>
    <row r="28" spans="1:29" ht="15">
      <c r="A28" s="1112"/>
      <c r="B28" s="1424">
        <v>111</v>
      </c>
      <c r="C28" s="1120"/>
      <c r="D28" s="1121">
        <v>100</v>
      </c>
      <c r="E28" s="1120"/>
      <c r="F28" s="1121">
        <f>SUMIF(92:92,E28,93:93)-SUMIF(92:92,C28,93:93)+100</f>
        <v>100</v>
      </c>
      <c r="G28" s="1659"/>
      <c r="H28" s="1121">
        <f>SUMIF(92:92,G28,93:93)-SUMIF(92:92,C28,93:93)+100</f>
        <v>100</v>
      </c>
      <c r="I28" s="1120"/>
      <c r="J28" s="1121">
        <f>SUMIF(92:92,I28,93:93)-SUMIF(92:92,C28,93:93)+100</f>
        <v>100</v>
      </c>
      <c r="K28" s="1675"/>
      <c r="L28" s="1251"/>
      <c r="M28" s="1239"/>
      <c r="N28" s="1239"/>
      <c r="O28" s="1239"/>
      <c r="P28" s="3646"/>
      <c r="Q28" s="664">
        <f t="shared" si="11"/>
        <v>111</v>
      </c>
      <c r="R28" s="1287" t="s">
        <v>1343</v>
      </c>
      <c r="S28" s="1288">
        <f t="shared" si="12"/>
        <v>100</v>
      </c>
      <c r="T28" s="1287" t="s">
        <v>1343</v>
      </c>
      <c r="U28" s="1288">
        <f t="shared" si="13"/>
        <v>100</v>
      </c>
      <c r="V28" s="1287" t="s">
        <v>1343</v>
      </c>
      <c r="W28" s="1288">
        <f t="shared" si="14"/>
        <v>100</v>
      </c>
      <c r="X28" s="1281"/>
      <c r="Y28" s="3651"/>
      <c r="Z28" s="1271">
        <f t="shared" ref="Z28:Z46" si="18">Q28</f>
        <v>111</v>
      </c>
      <c r="AA28" s="1298">
        <f t="shared" si="15"/>
        <v>1</v>
      </c>
      <c r="AB28" s="1298">
        <f t="shared" si="16"/>
        <v>1</v>
      </c>
      <c r="AC28" s="1298">
        <f t="shared" si="17"/>
        <v>1</v>
      </c>
    </row>
    <row r="29" spans="1:29" ht="15">
      <c r="A29" s="1112"/>
      <c r="B29" s="1424">
        <v>111</v>
      </c>
      <c r="C29" s="1120"/>
      <c r="D29" s="1121">
        <v>100</v>
      </c>
      <c r="E29" s="1120"/>
      <c r="F29" s="1121">
        <f>SUMIF(94:94,E29,95:95)-SUMIF(94:94,C29,95:95)+100</f>
        <v>100</v>
      </c>
      <c r="G29" s="1659"/>
      <c r="H29" s="1121">
        <f>SUMIF(94:94,G29,95:95)-SUMIF(94:94,C29,95:95)+100</f>
        <v>100</v>
      </c>
      <c r="I29" s="1120"/>
      <c r="J29" s="1121">
        <f>SUMIF(94:94,I29,95:95)-SUMIF(94:94,C29,95:95)+100</f>
        <v>100</v>
      </c>
      <c r="K29" s="1675"/>
      <c r="L29" s="1251"/>
      <c r="M29" s="1239"/>
      <c r="N29" s="1239"/>
      <c r="O29" s="1239"/>
      <c r="P29" s="3646"/>
      <c r="Q29" s="664">
        <f t="shared" si="11"/>
        <v>111</v>
      </c>
      <c r="R29" s="1287" t="s">
        <v>1343</v>
      </c>
      <c r="S29" s="1288">
        <f t="shared" si="12"/>
        <v>100</v>
      </c>
      <c r="T29" s="1287" t="s">
        <v>1343</v>
      </c>
      <c r="U29" s="1288">
        <f t="shared" si="13"/>
        <v>100</v>
      </c>
      <c r="V29" s="1287" t="s">
        <v>1343</v>
      </c>
      <c r="W29" s="1288">
        <f t="shared" si="14"/>
        <v>100</v>
      </c>
      <c r="X29" s="1281"/>
      <c r="Y29" s="3651"/>
      <c r="Z29" s="1271">
        <f t="shared" si="18"/>
        <v>111</v>
      </c>
      <c r="AA29" s="1298">
        <f t="shared" si="15"/>
        <v>1</v>
      </c>
      <c r="AB29" s="1298">
        <f t="shared" si="16"/>
        <v>1</v>
      </c>
      <c r="AC29" s="1298">
        <f t="shared" si="17"/>
        <v>1</v>
      </c>
    </row>
    <row r="30" spans="1:29" ht="15">
      <c r="A30" s="1112"/>
      <c r="B30" s="1424">
        <v>111</v>
      </c>
      <c r="C30" s="1120"/>
      <c r="D30" s="1121">
        <v>100</v>
      </c>
      <c r="E30" s="1120"/>
      <c r="F30" s="1121">
        <f>SUMIF(96:96,E30,97:97)-SUMIF(96:96,C30,97:97)+100</f>
        <v>100</v>
      </c>
      <c r="G30" s="1659"/>
      <c r="H30" s="1121">
        <f>SUMIF(96:96,G30,97:97)-SUMIF(96:96,C30,97:97)+100</f>
        <v>100</v>
      </c>
      <c r="I30" s="1120"/>
      <c r="J30" s="1121">
        <f>SUMIF(96:96,I30,97:97)-SUMIF(96:96,C30,97:97)+100</f>
        <v>100</v>
      </c>
      <c r="K30" s="1675"/>
      <c r="L30" s="1251"/>
      <c r="M30" s="1239"/>
      <c r="N30" s="1239"/>
      <c r="O30" s="1239"/>
      <c r="P30" s="3646"/>
      <c r="Q30" s="664">
        <f t="shared" si="11"/>
        <v>111</v>
      </c>
      <c r="R30" s="1287" t="s">
        <v>1343</v>
      </c>
      <c r="S30" s="1288">
        <f t="shared" si="12"/>
        <v>100</v>
      </c>
      <c r="T30" s="1287" t="s">
        <v>1343</v>
      </c>
      <c r="U30" s="1288">
        <f t="shared" si="13"/>
        <v>100</v>
      </c>
      <c r="V30" s="1287" t="s">
        <v>1343</v>
      </c>
      <c r="W30" s="1288">
        <f t="shared" si="14"/>
        <v>100</v>
      </c>
      <c r="X30" s="1281"/>
      <c r="Y30" s="3651"/>
      <c r="Z30" s="1271">
        <f t="shared" si="18"/>
        <v>111</v>
      </c>
      <c r="AA30" s="1298">
        <f t="shared" si="15"/>
        <v>1</v>
      </c>
      <c r="AB30" s="1298">
        <f t="shared" si="16"/>
        <v>1</v>
      </c>
      <c r="AC30" s="1298">
        <f t="shared" si="17"/>
        <v>1</v>
      </c>
    </row>
    <row r="31" spans="1:29" ht="15">
      <c r="A31" s="1122"/>
      <c r="B31" s="1424">
        <v>111</v>
      </c>
      <c r="C31" s="1124"/>
      <c r="D31" s="1125">
        <v>100</v>
      </c>
      <c r="E31" s="1124"/>
      <c r="F31" s="1125">
        <f>SUMIF(98:98,E31,99:99)-SUMIF(98:98,C31,99:99)+100</f>
        <v>100</v>
      </c>
      <c r="G31" s="1660"/>
      <c r="H31" s="1125">
        <f>SUMIF(98:98,G31,99:99)-SUMIF(98:98,C31,99:99)+100</f>
        <v>100</v>
      </c>
      <c r="I31" s="1124"/>
      <c r="J31" s="1125">
        <f>SUMIF(98:98,I31,99:99)-SUMIF(98:98,C31,99:99)+100</f>
        <v>100</v>
      </c>
      <c r="K31" s="1675"/>
      <c r="L31" s="1251"/>
      <c r="M31" s="1239"/>
      <c r="N31" s="1239"/>
      <c r="O31" s="1239"/>
      <c r="P31" s="3646"/>
      <c r="Q31" s="664">
        <f t="shared" si="11"/>
        <v>111</v>
      </c>
      <c r="R31" s="1287" t="s">
        <v>1343</v>
      </c>
      <c r="S31" s="1288">
        <f t="shared" si="12"/>
        <v>100</v>
      </c>
      <c r="T31" s="1287" t="s">
        <v>1343</v>
      </c>
      <c r="U31" s="1288">
        <f t="shared" si="13"/>
        <v>100</v>
      </c>
      <c r="V31" s="1287" t="s">
        <v>1343</v>
      </c>
      <c r="W31" s="1288">
        <f t="shared" si="14"/>
        <v>100</v>
      </c>
      <c r="X31" s="1281"/>
      <c r="Y31" s="3651"/>
      <c r="Z31" s="1271">
        <f t="shared" si="18"/>
        <v>111</v>
      </c>
      <c r="AA31" s="1298">
        <f t="shared" si="15"/>
        <v>1</v>
      </c>
      <c r="AB31" s="1298">
        <f t="shared" si="16"/>
        <v>1</v>
      </c>
      <c r="AC31" s="1298">
        <f t="shared" si="17"/>
        <v>1</v>
      </c>
    </row>
    <row r="32" spans="1:29" ht="15">
      <c r="A32" s="1126" t="s">
        <v>1367</v>
      </c>
      <c r="B32" s="1105" t="s">
        <v>1368</v>
      </c>
      <c r="C32" s="1631"/>
      <c r="D32" s="1162">
        <v>100</v>
      </c>
      <c r="E32" s="1661"/>
      <c r="F32" s="1473">
        <f>SUMIF(100:100,E32,101:101)-SUMIF(100:100,C32,101:101)+100</f>
        <v>100</v>
      </c>
      <c r="G32" s="1631"/>
      <c r="H32" s="1162">
        <f>SUMIF(100:100,G32,101:101)-SUMIF(100:100,C32,101:101)+100</f>
        <v>100</v>
      </c>
      <c r="I32" s="1661"/>
      <c r="J32" s="1121">
        <f>SUMIF(100:100,I32,101:101)-SUMIF(100:100,C32,101:101)+100</f>
        <v>100</v>
      </c>
      <c r="K32" s="1674"/>
      <c r="L32" s="1251"/>
      <c r="M32" s="1239"/>
      <c r="N32" s="1239"/>
      <c r="O32" s="1239"/>
      <c r="P32" s="3647" t="s">
        <v>1369</v>
      </c>
      <c r="Q32" s="664" t="str">
        <f t="shared" si="11"/>
        <v>建筑类型</v>
      </c>
      <c r="R32" s="1287" t="s">
        <v>1343</v>
      </c>
      <c r="S32" s="1288">
        <f t="shared" si="12"/>
        <v>100</v>
      </c>
      <c r="T32" s="1287" t="s">
        <v>1343</v>
      </c>
      <c r="U32" s="1288">
        <f t="shared" si="13"/>
        <v>100</v>
      </c>
      <c r="V32" s="1287" t="s">
        <v>1343</v>
      </c>
      <c r="W32" s="1288">
        <f t="shared" si="14"/>
        <v>100</v>
      </c>
      <c r="X32" s="1281"/>
      <c r="Y32" s="3652" t="s">
        <v>1369</v>
      </c>
      <c r="Z32" s="1271" t="str">
        <f t="shared" si="18"/>
        <v>建筑类型</v>
      </c>
      <c r="AA32" s="1298">
        <f t="shared" si="15"/>
        <v>1</v>
      </c>
      <c r="AB32" s="1298">
        <f t="shared" si="16"/>
        <v>1</v>
      </c>
      <c r="AC32" s="1298">
        <f t="shared" si="17"/>
        <v>1</v>
      </c>
    </row>
    <row r="33" spans="1:29" s="1073" customFormat="1" ht="15">
      <c r="A33" s="1168"/>
      <c r="B33" s="1109" t="s">
        <v>1370</v>
      </c>
      <c r="C33" s="1467"/>
      <c r="D33" s="1111">
        <v>100</v>
      </c>
      <c r="E33" s="1114"/>
      <c r="F33" s="1466" t="e">
        <f>LOOKUP(E33,103:103,104:104)-LOOKUP(C33,103:103,104:104)+100</f>
        <v>#N/A</v>
      </c>
      <c r="G33" s="1113"/>
      <c r="H33" s="1111" t="e">
        <f>LOOKUP(G33,103:103,104:104)-LOOKUP(C33,103:103,104:104)+100</f>
        <v>#N/A</v>
      </c>
      <c r="I33" s="1114"/>
      <c r="J33" s="1111" t="e">
        <f>LOOKUP(I33,103:103,104:104)-LOOKUP(C33,103:103,104:104)+100</f>
        <v>#N/A</v>
      </c>
      <c r="K33" s="1675"/>
      <c r="L33" s="1249"/>
      <c r="M33" s="1258"/>
      <c r="N33" s="1258"/>
      <c r="O33" s="1258"/>
      <c r="P33" s="3648"/>
      <c r="Q33" s="1512" t="str">
        <f t="shared" si="11"/>
        <v>项目建筑规模</v>
      </c>
      <c r="R33" s="1289" t="s">
        <v>1343</v>
      </c>
      <c r="S33" s="1290" t="e">
        <f t="shared" si="12"/>
        <v>#N/A</v>
      </c>
      <c r="T33" s="1289" t="s">
        <v>1343</v>
      </c>
      <c r="U33" s="1290" t="e">
        <f t="shared" si="13"/>
        <v>#N/A</v>
      </c>
      <c r="V33" s="1289" t="s">
        <v>1343</v>
      </c>
      <c r="W33" s="1290" t="e">
        <f t="shared" si="14"/>
        <v>#N/A</v>
      </c>
      <c r="X33" s="1291"/>
      <c r="Y33" s="3652"/>
      <c r="Z33" s="1299" t="str">
        <f t="shared" si="18"/>
        <v>项目建筑规模</v>
      </c>
      <c r="AA33" s="1298" t="e">
        <f t="shared" si="15"/>
        <v>#N/A</v>
      </c>
      <c r="AB33" s="1298" t="e">
        <f t="shared" si="16"/>
        <v>#N/A</v>
      </c>
      <c r="AC33" s="1298" t="e">
        <f t="shared" si="17"/>
        <v>#N/A</v>
      </c>
    </row>
    <row r="34" spans="1:29" ht="15">
      <c r="A34" s="1163"/>
      <c r="B34" s="1109" t="s">
        <v>1371</v>
      </c>
      <c r="C34" s="1632"/>
      <c r="D34" s="1121">
        <v>100</v>
      </c>
      <c r="E34" s="1662"/>
      <c r="F34" s="1473">
        <f>SUMIF(105:105,E34,106:106)-SUMIF(105:105,C34,106:106)+100</f>
        <v>100</v>
      </c>
      <c r="G34" s="1632"/>
      <c r="H34" s="1121">
        <f>SUMIF(105:105,G34,106:106)-SUMIF(105:105,C34,106:106)+100</f>
        <v>100</v>
      </c>
      <c r="I34" s="1662"/>
      <c r="J34" s="1121">
        <f>SUMIF(105:105,I34,106:106)-SUMIF(105:105,C34,106:106)+100</f>
        <v>100</v>
      </c>
      <c r="K34" s="1674"/>
      <c r="L34" s="1251"/>
      <c r="M34" s="1239"/>
      <c r="N34" s="1239"/>
      <c r="O34" s="1239"/>
      <c r="P34" s="3648"/>
      <c r="Q34" s="664" t="str">
        <f t="shared" si="11"/>
        <v>建筑结构</v>
      </c>
      <c r="R34" s="1287" t="s">
        <v>1343</v>
      </c>
      <c r="S34" s="1288">
        <f t="shared" si="12"/>
        <v>100</v>
      </c>
      <c r="T34" s="1287" t="s">
        <v>1343</v>
      </c>
      <c r="U34" s="1288">
        <f t="shared" si="13"/>
        <v>100</v>
      </c>
      <c r="V34" s="1287" t="s">
        <v>1343</v>
      </c>
      <c r="W34" s="1288">
        <f t="shared" si="14"/>
        <v>100</v>
      </c>
      <c r="X34" s="1281"/>
      <c r="Y34" s="3652"/>
      <c r="Z34" s="1271" t="str">
        <f t="shared" si="18"/>
        <v>建筑结构</v>
      </c>
      <c r="AA34" s="1298">
        <f t="shared" si="15"/>
        <v>1</v>
      </c>
      <c r="AB34" s="1298">
        <f t="shared" si="16"/>
        <v>1</v>
      </c>
      <c r="AC34" s="1298">
        <f t="shared" si="17"/>
        <v>1</v>
      </c>
    </row>
    <row r="35" spans="1:29" ht="15">
      <c r="A35" s="1163"/>
      <c r="B35" s="1109" t="s">
        <v>1558</v>
      </c>
      <c r="C35" s="1164"/>
      <c r="D35" s="1121">
        <v>100</v>
      </c>
      <c r="E35" s="1658"/>
      <c r="F35" s="1473">
        <f>SUMIF(107:107,E35,108:108)-SUMIF(107:107,C35,108:108)+100</f>
        <v>100</v>
      </c>
      <c r="G35" s="1164"/>
      <c r="H35" s="1121">
        <f>SUMIF(107:107,G35,108:108)-SUMIF(107:107,C35,108:108)+100</f>
        <v>100</v>
      </c>
      <c r="I35" s="1658"/>
      <c r="J35" s="1121">
        <f>SUMIF(107:107,I35,108:108)-SUMIF(107:107,C35,108:108)+100</f>
        <v>100</v>
      </c>
      <c r="K35" s="1674"/>
      <c r="L35" s="1251"/>
      <c r="M35" s="1239"/>
      <c r="N35" s="1239"/>
      <c r="O35" s="1239"/>
      <c r="P35" s="3648"/>
      <c r="Q35" s="664" t="str">
        <f t="shared" si="11"/>
        <v>建筑品质</v>
      </c>
      <c r="R35" s="1287" t="s">
        <v>1343</v>
      </c>
      <c r="S35" s="1288">
        <f t="shared" si="12"/>
        <v>100</v>
      </c>
      <c r="T35" s="1287" t="s">
        <v>1343</v>
      </c>
      <c r="U35" s="1288">
        <f t="shared" si="13"/>
        <v>100</v>
      </c>
      <c r="V35" s="1287" t="s">
        <v>1343</v>
      </c>
      <c r="W35" s="1288">
        <f t="shared" si="14"/>
        <v>100</v>
      </c>
      <c r="X35" s="1281"/>
      <c r="Y35" s="3652"/>
      <c r="Z35" s="1271" t="str">
        <f t="shared" si="18"/>
        <v>建筑品质</v>
      </c>
      <c r="AA35" s="1298">
        <f t="shared" si="15"/>
        <v>1</v>
      </c>
      <c r="AB35" s="1298">
        <f t="shared" si="16"/>
        <v>1</v>
      </c>
      <c r="AC35" s="1298">
        <f t="shared" si="17"/>
        <v>1</v>
      </c>
    </row>
    <row r="36" spans="1:29" ht="15">
      <c r="A36" s="1163"/>
      <c r="B36" s="1109" t="s">
        <v>1373</v>
      </c>
      <c r="C36" s="1164"/>
      <c r="D36" s="1121">
        <v>100</v>
      </c>
      <c r="E36" s="1658"/>
      <c r="F36" s="1473">
        <f>SUMIF(109:109,E36,110:110)-SUMIF(109:109,C36,110:110)+100</f>
        <v>100</v>
      </c>
      <c r="G36" s="1164"/>
      <c r="H36" s="1121">
        <f>SUMIF(109:109,G36,110:110)-SUMIF(109:109,C36,110:110)+100</f>
        <v>100</v>
      </c>
      <c r="I36" s="1658"/>
      <c r="J36" s="1121">
        <f>SUMIF(109:109,I36,110:110)-SUMIF(109:109,C36,110:110)+100</f>
        <v>100</v>
      </c>
      <c r="K36" s="1674"/>
      <c r="L36" s="1251"/>
      <c r="M36" s="1239"/>
      <c r="N36" s="1239"/>
      <c r="O36" s="1239"/>
      <c r="P36" s="3648"/>
      <c r="Q36" s="664" t="str">
        <f t="shared" si="11"/>
        <v>公共部分装修</v>
      </c>
      <c r="R36" s="1287" t="s">
        <v>1343</v>
      </c>
      <c r="S36" s="1288">
        <f t="shared" si="12"/>
        <v>100</v>
      </c>
      <c r="T36" s="1287" t="s">
        <v>1343</v>
      </c>
      <c r="U36" s="1288">
        <f t="shared" si="13"/>
        <v>100</v>
      </c>
      <c r="V36" s="1287" t="s">
        <v>1343</v>
      </c>
      <c r="W36" s="1288">
        <f t="shared" si="14"/>
        <v>100</v>
      </c>
      <c r="X36" s="1281"/>
      <c r="Y36" s="3652"/>
      <c r="Z36" s="1271" t="str">
        <f t="shared" si="18"/>
        <v>公共部分装修</v>
      </c>
      <c r="AA36" s="1298">
        <f t="shared" si="15"/>
        <v>1</v>
      </c>
      <c r="AB36" s="1298">
        <f t="shared" si="16"/>
        <v>1</v>
      </c>
      <c r="AC36" s="1298">
        <f t="shared" si="17"/>
        <v>1</v>
      </c>
    </row>
    <row r="37" spans="1:29" s="1071" customFormat="1" ht="15">
      <c r="A37" s="1165"/>
      <c r="B37" s="1109" t="s">
        <v>636</v>
      </c>
      <c r="C37" s="1480"/>
      <c r="D37" s="1111">
        <v>100</v>
      </c>
      <c r="E37" s="1480"/>
      <c r="F37" s="1466" t="e">
        <f>LOOKUP(E37,112:112,113:113)-LOOKUP(C37,112:112,113:113)+100</f>
        <v>#N/A</v>
      </c>
      <c r="G37" s="1482"/>
      <c r="H37" s="1111" t="e">
        <f>LOOKUP(G37,112:112,113:113)-LOOKUP(C37,112:112,113:113)+100</f>
        <v>#N/A</v>
      </c>
      <c r="I37" s="1481"/>
      <c r="J37" s="1111" t="e">
        <f>LOOKUP(I37,112:112,113:113)-LOOKUP(C37,112:112,113:113)+100</f>
        <v>#N/A</v>
      </c>
      <c r="K37" s="1674"/>
      <c r="L37" s="1241"/>
      <c r="M37" s="1242"/>
      <c r="N37" s="1242"/>
      <c r="O37" s="1242"/>
      <c r="P37" s="3648"/>
      <c r="Q37" s="1286" t="str">
        <f t="shared" si="11"/>
        <v>成新度</v>
      </c>
      <c r="R37" s="1282" t="s">
        <v>1343</v>
      </c>
      <c r="S37" s="1283" t="e">
        <f t="shared" si="12"/>
        <v>#N/A</v>
      </c>
      <c r="T37" s="1282" t="s">
        <v>1343</v>
      </c>
      <c r="U37" s="1283" t="e">
        <f t="shared" si="13"/>
        <v>#N/A</v>
      </c>
      <c r="V37" s="1282" t="s">
        <v>1343</v>
      </c>
      <c r="W37" s="1283" t="e">
        <f t="shared" si="14"/>
        <v>#N/A</v>
      </c>
      <c r="X37" s="1284"/>
      <c r="Y37" s="3652"/>
      <c r="Z37" s="1297" t="str">
        <f t="shared" si="18"/>
        <v>成新度</v>
      </c>
      <c r="AA37" s="1296" t="e">
        <f t="shared" si="15"/>
        <v>#N/A</v>
      </c>
      <c r="AB37" s="1296" t="e">
        <f t="shared" si="16"/>
        <v>#N/A</v>
      </c>
      <c r="AC37" s="1296" t="e">
        <f t="shared" si="17"/>
        <v>#N/A</v>
      </c>
    </row>
    <row r="38" spans="1:29" ht="15">
      <c r="A38" s="1163"/>
      <c r="B38" s="1109" t="s">
        <v>1377</v>
      </c>
      <c r="C38" s="1164"/>
      <c r="D38" s="1121">
        <v>100</v>
      </c>
      <c r="E38" s="1658"/>
      <c r="F38" s="1473">
        <f>SUMIF(114:114,E38,115:115)-SUMIF(114:114,C38,115:115)+100</f>
        <v>100</v>
      </c>
      <c r="G38" s="1164"/>
      <c r="H38" s="1121">
        <f>SUMIF(114:114,G38,115:115)-SUMIF(114:114,C38,115:115)+100</f>
        <v>100</v>
      </c>
      <c r="I38" s="1658"/>
      <c r="J38" s="1121">
        <f>SUMIF(114:114,I38,115:115)-SUMIF(114:114,C38,115:115)+100</f>
        <v>100</v>
      </c>
      <c r="K38" s="1674"/>
      <c r="L38" s="1251"/>
      <c r="M38" s="1239"/>
      <c r="N38" s="1239"/>
      <c r="O38" s="1239"/>
      <c r="P38" s="3648" t="s">
        <v>1369</v>
      </c>
      <c r="Q38" s="664" t="str">
        <f t="shared" si="11"/>
        <v>物业管理</v>
      </c>
      <c r="R38" s="1287" t="s">
        <v>1343</v>
      </c>
      <c r="S38" s="1288">
        <f t="shared" si="12"/>
        <v>100</v>
      </c>
      <c r="T38" s="1287" t="s">
        <v>1343</v>
      </c>
      <c r="U38" s="1288">
        <f t="shared" si="13"/>
        <v>100</v>
      </c>
      <c r="V38" s="1287" t="s">
        <v>1343</v>
      </c>
      <c r="W38" s="1288">
        <f t="shared" si="14"/>
        <v>100</v>
      </c>
      <c r="X38" s="1281"/>
      <c r="Y38" s="3652" t="s">
        <v>1369</v>
      </c>
      <c r="Z38" s="1271" t="str">
        <f t="shared" si="18"/>
        <v>物业管理</v>
      </c>
      <c r="AA38" s="1298">
        <f t="shared" si="15"/>
        <v>1</v>
      </c>
      <c r="AB38" s="1298">
        <f t="shared" si="16"/>
        <v>1</v>
      </c>
      <c r="AC38" s="1298">
        <f t="shared" si="17"/>
        <v>1</v>
      </c>
    </row>
    <row r="39" spans="1:29" ht="15">
      <c r="A39" s="1163"/>
      <c r="B39" s="1109" t="s">
        <v>1379</v>
      </c>
      <c r="C39" s="1164"/>
      <c r="D39" s="1121">
        <v>100</v>
      </c>
      <c r="E39" s="1658"/>
      <c r="F39" s="1473">
        <f>SUMIF(116:116,E39,117:117)-SUMIF(116:116,C39,117:117)+100</f>
        <v>100</v>
      </c>
      <c r="G39" s="1164"/>
      <c r="H39" s="1121">
        <f>SUMIF(116:116,G39,117:117)-SUMIF(116:116,C39,117:117)+100</f>
        <v>100</v>
      </c>
      <c r="I39" s="1658"/>
      <c r="J39" s="1121">
        <f>SUMIF(116:116,I39,117:117)-SUMIF(116:116,C39,117:117)+100</f>
        <v>100</v>
      </c>
      <c r="K39" s="1674"/>
      <c r="L39" s="1251"/>
      <c r="M39" s="1239"/>
      <c r="N39" s="1239"/>
      <c r="O39" s="1239"/>
      <c r="P39" s="3648"/>
      <c r="Q39" s="664" t="str">
        <f t="shared" si="11"/>
        <v>市政基础设施</v>
      </c>
      <c r="R39" s="1287" t="s">
        <v>1343</v>
      </c>
      <c r="S39" s="1288">
        <f t="shared" si="12"/>
        <v>100</v>
      </c>
      <c r="T39" s="1287" t="s">
        <v>1343</v>
      </c>
      <c r="U39" s="1288">
        <f t="shared" si="13"/>
        <v>100</v>
      </c>
      <c r="V39" s="1287" t="s">
        <v>1343</v>
      </c>
      <c r="W39" s="1288">
        <f t="shared" si="14"/>
        <v>100</v>
      </c>
      <c r="X39" s="1281"/>
      <c r="Y39" s="3652"/>
      <c r="Z39" s="1271" t="str">
        <f t="shared" si="18"/>
        <v>市政基础设施</v>
      </c>
      <c r="AA39" s="1298">
        <f t="shared" si="15"/>
        <v>1</v>
      </c>
      <c r="AB39" s="1298">
        <f t="shared" si="16"/>
        <v>1</v>
      </c>
      <c r="AC39" s="1298">
        <f t="shared" si="17"/>
        <v>1</v>
      </c>
    </row>
    <row r="40" spans="1:29" ht="15">
      <c r="A40" s="1163"/>
      <c r="B40" s="1109" t="s">
        <v>1559</v>
      </c>
      <c r="C40" s="1164"/>
      <c r="D40" s="1121">
        <v>100</v>
      </c>
      <c r="E40" s="1658"/>
      <c r="F40" s="1473">
        <f>SUMIF(118:118,E40,119:119)-SUMIF(118:118,C40,119:119)+100</f>
        <v>100</v>
      </c>
      <c r="G40" s="1164"/>
      <c r="H40" s="1121">
        <f>SUMIF(118:118,G40,119:119)-SUMIF(118:118,C40,119:119)+100</f>
        <v>100</v>
      </c>
      <c r="I40" s="1658"/>
      <c r="J40" s="1121">
        <f>SUMIF(118:118,I40,119:119)-SUMIF(118:118,C40,119:119)+100</f>
        <v>100</v>
      </c>
      <c r="K40" s="1674"/>
      <c r="L40" s="1251"/>
      <c r="M40" s="1239"/>
      <c r="N40" s="1239"/>
      <c r="O40" s="1239"/>
      <c r="P40" s="3648"/>
      <c r="Q40" s="664" t="str">
        <f t="shared" si="11"/>
        <v>房型</v>
      </c>
      <c r="R40" s="1287" t="s">
        <v>1343</v>
      </c>
      <c r="S40" s="1288">
        <f t="shared" si="12"/>
        <v>100</v>
      </c>
      <c r="T40" s="1287" t="s">
        <v>1343</v>
      </c>
      <c r="U40" s="1288">
        <f t="shared" si="13"/>
        <v>100</v>
      </c>
      <c r="V40" s="1287" t="s">
        <v>1343</v>
      </c>
      <c r="W40" s="1288">
        <f t="shared" si="14"/>
        <v>100</v>
      </c>
      <c r="X40" s="1281"/>
      <c r="Y40" s="3652"/>
      <c r="Z40" s="1271" t="str">
        <f t="shared" si="18"/>
        <v>房型</v>
      </c>
      <c r="AA40" s="1298">
        <f t="shared" si="15"/>
        <v>1</v>
      </c>
      <c r="AB40" s="1298">
        <f t="shared" si="16"/>
        <v>1</v>
      </c>
      <c r="AC40" s="1298">
        <f t="shared" si="17"/>
        <v>1</v>
      </c>
    </row>
    <row r="41" spans="1:29" s="1073" customFormat="1" ht="28.5">
      <c r="A41" s="1168"/>
      <c r="B41" s="1109" t="s">
        <v>1560</v>
      </c>
      <c r="C41" s="1467"/>
      <c r="D41" s="1111">
        <v>100</v>
      </c>
      <c r="E41" s="1114"/>
      <c r="F41" s="1466">
        <f>SUMIF(120:120,E41,121:121)-SUMIF(120:120,C41,121:121)+100</f>
        <v>100</v>
      </c>
      <c r="G41" s="1113"/>
      <c r="H41" s="1111">
        <f>SUMIF(120:120,G41,121:121)-SUMIF(120:120,C41,121:121)+100</f>
        <v>100</v>
      </c>
      <c r="I41" s="1152"/>
      <c r="J41" s="1121">
        <f>SUMIF(120:120,I41,121:121)-SUMIF(120:120,C41,121:121)+100</f>
        <v>100</v>
      </c>
      <c r="K41" s="1675"/>
      <c r="L41" s="1249"/>
      <c r="M41" s="1258"/>
      <c r="N41" s="1258"/>
      <c r="O41" s="1258"/>
      <c r="P41" s="3648"/>
      <c r="Q41" s="1512" t="str">
        <f t="shared" si="11"/>
        <v>单套/主力户型建筑面积</v>
      </c>
      <c r="R41" s="1289" t="s">
        <v>1343</v>
      </c>
      <c r="S41" s="1290">
        <f t="shared" si="12"/>
        <v>100</v>
      </c>
      <c r="T41" s="1289" t="s">
        <v>1343</v>
      </c>
      <c r="U41" s="1290">
        <f t="shared" si="13"/>
        <v>100</v>
      </c>
      <c r="V41" s="1289" t="s">
        <v>1343</v>
      </c>
      <c r="W41" s="1290">
        <f t="shared" si="14"/>
        <v>100</v>
      </c>
      <c r="X41" s="1291"/>
      <c r="Y41" s="3652"/>
      <c r="Z41" s="1299" t="str">
        <f t="shared" si="18"/>
        <v>单套/主力户型建筑面积</v>
      </c>
      <c r="AA41" s="1298">
        <f t="shared" si="15"/>
        <v>1</v>
      </c>
      <c r="AB41" s="1298">
        <f t="shared" si="16"/>
        <v>1</v>
      </c>
      <c r="AC41" s="1298">
        <f t="shared" si="17"/>
        <v>1</v>
      </c>
    </row>
    <row r="42" spans="1:29" ht="15">
      <c r="A42" s="1163"/>
      <c r="B42" s="1109" t="s">
        <v>1382</v>
      </c>
      <c r="C42" s="1164"/>
      <c r="D42" s="1121">
        <v>100</v>
      </c>
      <c r="E42" s="1658"/>
      <c r="F42" s="1473">
        <f>SUMIF(122:122,E42,123:123)-SUMIF(122:122,C42,123:123)+100</f>
        <v>100</v>
      </c>
      <c r="G42" s="1164"/>
      <c r="H42" s="1121">
        <f>SUMIF(122:122,G42,123:123)-SUMIF(122:122,C42,123:123)+100</f>
        <v>100</v>
      </c>
      <c r="I42" s="1658"/>
      <c r="J42" s="1121">
        <f>SUMIF(122:122,I42,123:123)-SUMIF(122:122,C42,123:123)+100</f>
        <v>100</v>
      </c>
      <c r="K42" s="1674"/>
      <c r="L42" s="1251"/>
      <c r="M42" s="1239"/>
      <c r="N42" s="1239"/>
      <c r="O42" s="1239"/>
      <c r="P42" s="3648"/>
      <c r="Q42" s="664" t="str">
        <f t="shared" si="11"/>
        <v>内部装修</v>
      </c>
      <c r="R42" s="1287" t="s">
        <v>1343</v>
      </c>
      <c r="S42" s="1288">
        <f t="shared" si="12"/>
        <v>100</v>
      </c>
      <c r="T42" s="1287" t="s">
        <v>1343</v>
      </c>
      <c r="U42" s="1288">
        <f t="shared" si="13"/>
        <v>100</v>
      </c>
      <c r="V42" s="1287" t="s">
        <v>1343</v>
      </c>
      <c r="W42" s="1288">
        <f t="shared" si="14"/>
        <v>100</v>
      </c>
      <c r="X42" s="1281"/>
      <c r="Y42" s="3652"/>
      <c r="Z42" s="1271" t="str">
        <f t="shared" si="18"/>
        <v>内部装修</v>
      </c>
      <c r="AA42" s="1298">
        <f t="shared" si="15"/>
        <v>1</v>
      </c>
      <c r="AB42" s="1298">
        <f t="shared" si="16"/>
        <v>1</v>
      </c>
      <c r="AC42" s="1298">
        <f t="shared" si="17"/>
        <v>1</v>
      </c>
    </row>
    <row r="43" spans="1:29" ht="15">
      <c r="A43" s="1163"/>
      <c r="B43" s="1109" t="s">
        <v>1384</v>
      </c>
      <c r="C43" s="1164"/>
      <c r="D43" s="1121">
        <v>100</v>
      </c>
      <c r="E43" s="1658"/>
      <c r="F43" s="1473">
        <f>SUMIF(124:124,E43,125:125)-SUMIF(124:124,C43,125:125)+100</f>
        <v>100</v>
      </c>
      <c r="G43" s="1164"/>
      <c r="H43" s="1121">
        <f>SUMIF(124:124,G43,125:125)-SUMIF(124:124,C43,125:125)+100</f>
        <v>100</v>
      </c>
      <c r="I43" s="1658"/>
      <c r="J43" s="1121">
        <f>SUMIF(124:124,I43,125:125)-SUMIF(124:124,C43,125:125)+100</f>
        <v>100</v>
      </c>
      <c r="K43" s="1674"/>
      <c r="L43" s="1251"/>
      <c r="M43" s="1239"/>
      <c r="N43" s="1239"/>
      <c r="O43" s="1239"/>
      <c r="P43" s="3648"/>
      <c r="Q43" s="664" t="str">
        <f t="shared" si="11"/>
        <v>内部装修维护情况</v>
      </c>
      <c r="R43" s="1287" t="s">
        <v>1343</v>
      </c>
      <c r="S43" s="1288">
        <f t="shared" si="12"/>
        <v>100</v>
      </c>
      <c r="T43" s="1287" t="s">
        <v>1343</v>
      </c>
      <c r="U43" s="1288">
        <f t="shared" si="13"/>
        <v>100</v>
      </c>
      <c r="V43" s="1287" t="s">
        <v>1343</v>
      </c>
      <c r="W43" s="1288">
        <f t="shared" si="14"/>
        <v>100</v>
      </c>
      <c r="X43" s="1281"/>
      <c r="Y43" s="3652"/>
      <c r="Z43" s="1271" t="str">
        <f t="shared" si="18"/>
        <v>内部装修维护情况</v>
      </c>
      <c r="AA43" s="1298">
        <f t="shared" si="15"/>
        <v>1</v>
      </c>
      <c r="AB43" s="1298">
        <f t="shared" si="16"/>
        <v>1</v>
      </c>
      <c r="AC43" s="1298">
        <f t="shared" si="17"/>
        <v>1</v>
      </c>
    </row>
    <row r="44" spans="1:29" s="1071" customFormat="1" ht="15">
      <c r="A44" s="1165"/>
      <c r="B44" s="1424">
        <v>111</v>
      </c>
      <c r="C44" s="1467"/>
      <c r="D44" s="1111">
        <v>100</v>
      </c>
      <c r="E44" s="1467"/>
      <c r="F44" s="1466">
        <f>SUMIF(126:126,E44,127:127)-SUMIF(126:126,C44,127:127)+100</f>
        <v>100</v>
      </c>
      <c r="G44" s="1467"/>
      <c r="H44" s="1111">
        <f>SUMIF(126:126,G44,127:127)-SUMIF(126:126,C44,127:127)+100</f>
        <v>100</v>
      </c>
      <c r="I44" s="1467"/>
      <c r="J44" s="1111">
        <f>SUMIF(126:126,I44,127:127)-SUMIF(126:126,C44,127:127)+100</f>
        <v>100</v>
      </c>
      <c r="K44" s="1675"/>
      <c r="L44" s="1241"/>
      <c r="M44" s="1242"/>
      <c r="N44" s="1242"/>
      <c r="O44" s="1242"/>
      <c r="P44" s="3648"/>
      <c r="Q44" s="1286">
        <f t="shared" si="11"/>
        <v>111</v>
      </c>
      <c r="R44" s="1282" t="s">
        <v>1343</v>
      </c>
      <c r="S44" s="1283">
        <f t="shared" si="12"/>
        <v>100</v>
      </c>
      <c r="T44" s="1282" t="s">
        <v>1343</v>
      </c>
      <c r="U44" s="1283">
        <f t="shared" si="13"/>
        <v>100</v>
      </c>
      <c r="V44" s="1282" t="s">
        <v>1343</v>
      </c>
      <c r="W44" s="1283">
        <f t="shared" si="14"/>
        <v>100</v>
      </c>
      <c r="X44" s="1284"/>
      <c r="Y44" s="3652"/>
      <c r="Z44" s="1297">
        <f t="shared" si="18"/>
        <v>111</v>
      </c>
      <c r="AA44" s="1296">
        <f t="shared" si="15"/>
        <v>1</v>
      </c>
      <c r="AB44" s="1296">
        <f t="shared" si="16"/>
        <v>1</v>
      </c>
      <c r="AC44" s="1296">
        <f t="shared" si="17"/>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675"/>
      <c r="L45" s="1251"/>
      <c r="M45" s="1239"/>
      <c r="N45" s="1239"/>
      <c r="O45" s="1239"/>
      <c r="P45" s="3648"/>
      <c r="Q45" s="664">
        <f t="shared" si="11"/>
        <v>111</v>
      </c>
      <c r="R45" s="1287" t="s">
        <v>1343</v>
      </c>
      <c r="S45" s="1288">
        <f t="shared" si="12"/>
        <v>100</v>
      </c>
      <c r="T45" s="1287" t="s">
        <v>1343</v>
      </c>
      <c r="U45" s="1288">
        <f t="shared" si="13"/>
        <v>100</v>
      </c>
      <c r="V45" s="1287" t="s">
        <v>1343</v>
      </c>
      <c r="W45" s="1288">
        <f t="shared" si="14"/>
        <v>100</v>
      </c>
      <c r="X45" s="1281"/>
      <c r="Y45" s="3652"/>
      <c r="Z45" s="1271">
        <f t="shared" si="18"/>
        <v>111</v>
      </c>
      <c r="AA45" s="1298">
        <f t="shared" si="15"/>
        <v>1</v>
      </c>
      <c r="AB45" s="1298">
        <f t="shared" si="16"/>
        <v>1</v>
      </c>
      <c r="AC45" s="1298">
        <f t="shared" si="17"/>
        <v>1</v>
      </c>
    </row>
    <row r="46" spans="1:29" ht="15">
      <c r="A46" s="1485"/>
      <c r="B46" s="1123">
        <v>111</v>
      </c>
      <c r="C46" s="1124"/>
      <c r="D46" s="1125">
        <v>100</v>
      </c>
      <c r="E46" s="1124"/>
      <c r="F46" s="1486">
        <f>SUMIF(130:130,E46,131:131)-SUMIF(130:130,C46,131:131)+100</f>
        <v>100</v>
      </c>
      <c r="G46" s="1124"/>
      <c r="H46" s="1125">
        <f>SUMIF(130:130,G46,131:131)-SUMIF(130:130,C46,131:131)+100</f>
        <v>100</v>
      </c>
      <c r="I46" s="1124"/>
      <c r="J46" s="1125">
        <f>SUMIF(130:130,I46,131:131)-SUMIF(130:130,C46,131:131)+100</f>
        <v>100</v>
      </c>
      <c r="K46" s="1675"/>
      <c r="L46" s="1251"/>
      <c r="M46" s="1239"/>
      <c r="N46" s="1239"/>
      <c r="O46" s="1239"/>
      <c r="P46" s="3649"/>
      <c r="Q46" s="664">
        <f t="shared" si="11"/>
        <v>111</v>
      </c>
      <c r="R46" s="1287" t="s">
        <v>1343</v>
      </c>
      <c r="S46" s="1288">
        <f t="shared" si="12"/>
        <v>100</v>
      </c>
      <c r="T46" s="1287" t="s">
        <v>1343</v>
      </c>
      <c r="U46" s="1288">
        <f t="shared" si="13"/>
        <v>100</v>
      </c>
      <c r="V46" s="1287" t="s">
        <v>1343</v>
      </c>
      <c r="W46" s="1288">
        <f t="shared" si="14"/>
        <v>100</v>
      </c>
      <c r="X46" s="1281"/>
      <c r="Y46" s="3653"/>
      <c r="Z46" s="1271">
        <f t="shared" si="18"/>
        <v>111</v>
      </c>
      <c r="AA46" s="1298">
        <f t="shared" si="15"/>
        <v>1</v>
      </c>
      <c r="AB46" s="1298">
        <f t="shared" si="16"/>
        <v>1</v>
      </c>
      <c r="AC46" s="1298">
        <f t="shared" si="17"/>
        <v>1</v>
      </c>
    </row>
    <row r="47" spans="1:29" ht="15">
      <c r="A47" s="1170" t="s">
        <v>1385</v>
      </c>
      <c r="B47" s="1487"/>
      <c r="C47" s="1488" t="s">
        <v>124</v>
      </c>
      <c r="D47" s="1489"/>
      <c r="E47" s="1490"/>
      <c r="F47" s="1491"/>
      <c r="G47" s="1492"/>
      <c r="H47" s="1493"/>
      <c r="I47" s="1490"/>
      <c r="J47" s="1493"/>
      <c r="K47" s="1679"/>
      <c r="L47" s="1263"/>
      <c r="M47" s="1187"/>
      <c r="N47" s="1239"/>
      <c r="O47" s="1187"/>
      <c r="P47" s="3643" t="str">
        <f>A47</f>
        <v>成交单价（元/平方米）</v>
      </c>
      <c r="Q47" s="3643"/>
      <c r="R47" s="3644">
        <f>E47</f>
        <v>0</v>
      </c>
      <c r="S47" s="3644"/>
      <c r="T47" s="3644">
        <f>G47</f>
        <v>0</v>
      </c>
      <c r="U47" s="3644"/>
      <c r="V47" s="3644">
        <f>I47</f>
        <v>0</v>
      </c>
      <c r="W47" s="3644"/>
      <c r="X47" s="1227"/>
      <c r="Y47" s="1300"/>
      <c r="Z47" s="1227"/>
      <c r="AA47" s="1227"/>
      <c r="AB47" s="1227"/>
      <c r="AC47" s="1227"/>
    </row>
    <row r="48" spans="1:29" ht="15">
      <c r="A48" s="1178" t="s">
        <v>1386</v>
      </c>
      <c r="B48" s="1494"/>
      <c r="C48" s="1495" t="e">
        <f>R49</f>
        <v>#DIV/0!</v>
      </c>
      <c r="D48" s="1181" t="s">
        <v>1387</v>
      </c>
      <c r="E48" s="1496" t="e">
        <f>R48</f>
        <v>#DIV/0!</v>
      </c>
      <c r="F48" s="1182"/>
      <c r="G48" s="1495" t="e">
        <f>T48</f>
        <v>#DIV/0!</v>
      </c>
      <c r="H48" s="1182"/>
      <c r="I48" s="1496" t="e">
        <f>V48</f>
        <v>#DIV/0!</v>
      </c>
      <c r="J48" s="1182"/>
      <c r="K48" s="1680">
        <f>F48+H48+J48</f>
        <v>0</v>
      </c>
      <c r="L48" s="1263"/>
      <c r="M48" s="1187"/>
      <c r="N48" s="1187"/>
      <c r="O48" s="1187"/>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227"/>
      <c r="Y48" s="1227"/>
      <c r="Z48" s="1227"/>
      <c r="AA48" s="1227"/>
      <c r="AB48" s="1227"/>
      <c r="AC48" s="1227"/>
    </row>
    <row r="49" spans="1:29" ht="15">
      <c r="A49" s="1184" t="s">
        <v>1388</v>
      </c>
      <c r="B49" s="1185"/>
      <c r="C49" s="1663" t="e">
        <f>R49</f>
        <v>#DIV/0!</v>
      </c>
      <c r="D49" s="1497"/>
      <c r="E49" s="1497"/>
      <c r="F49" s="1497"/>
      <c r="G49" s="1497"/>
      <c r="H49" s="1497"/>
      <c r="I49" s="1497"/>
      <c r="J49" s="1497"/>
      <c r="K49" s="1681"/>
      <c r="L49" s="1263"/>
      <c r="M49" s="1187"/>
      <c r="N49" s="1187"/>
      <c r="O49" s="1187"/>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1389</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1390</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1391</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82"/>
    </row>
    <row r="55" spans="1:29" s="1074" customFormat="1">
      <c r="A55" s="1192"/>
      <c r="B55" s="1193"/>
      <c r="C55" s="1498"/>
      <c r="D55" s="1192"/>
      <c r="E55" s="1192"/>
      <c r="F55" s="1192"/>
      <c r="G55" s="1192"/>
      <c r="H55" s="1192"/>
      <c r="I55" s="1192"/>
      <c r="J55" s="1192"/>
      <c r="K55" s="1269"/>
      <c r="L55" s="1270"/>
      <c r="M55" s="1192"/>
      <c r="N55" s="1192"/>
      <c r="O55" s="1192"/>
      <c r="P55" s="1682"/>
    </row>
    <row r="56" spans="1:29">
      <c r="A56" s="1187"/>
      <c r="B56" s="1193"/>
      <c r="C56" s="1498"/>
      <c r="D56" s="1187"/>
      <c r="E56" s="1187"/>
      <c r="F56" s="1187"/>
      <c r="G56" s="1187"/>
      <c r="H56" s="1187"/>
      <c r="I56" s="1187"/>
      <c r="J56" s="1187"/>
      <c r="K56" s="1267"/>
      <c r="L56" s="1268"/>
      <c r="M56" s="1187"/>
      <c r="N56" s="1187"/>
      <c r="O56" s="1187"/>
    </row>
    <row r="57" spans="1:29" ht="21">
      <c r="A57" s="1226" t="s">
        <v>1392</v>
      </c>
      <c r="B57" s="1227"/>
      <c r="C57" s="1228"/>
      <c r="D57" s="1228"/>
      <c r="E57" s="1228"/>
      <c r="F57" s="1229"/>
      <c r="G57" s="1229"/>
      <c r="H57" s="1228"/>
      <c r="I57" s="1228"/>
      <c r="J57" s="1228"/>
      <c r="K57" s="1442"/>
      <c r="L57" s="1443"/>
      <c r="M57" s="1279"/>
      <c r="N57" s="1279"/>
      <c r="O57" s="1279"/>
      <c r="P57" s="1683"/>
      <c r="Q57" s="1607"/>
    </row>
    <row r="58" spans="1:29" s="1076" customFormat="1" ht="15">
      <c r="A58" s="1499" t="s">
        <v>1341</v>
      </c>
      <c r="B58" s="1500"/>
      <c r="C58" s="1664" t="str">
        <f>YEAR(C7)&amp;"-"&amp;MONTH(C7)</f>
        <v>2023-10</v>
      </c>
      <c r="D58" s="1502">
        <f>EDATE(C58,-1)</f>
        <v>45170</v>
      </c>
      <c r="E58" s="1502">
        <f>EDATE(D58,-1)</f>
        <v>45139</v>
      </c>
      <c r="F58" s="1502">
        <f t="shared" ref="F58:O58" si="19">EDATE(E58,-1)</f>
        <v>45108</v>
      </c>
      <c r="G58" s="1502">
        <f t="shared" si="19"/>
        <v>45078</v>
      </c>
      <c r="H58" s="1502">
        <f t="shared" si="19"/>
        <v>45047</v>
      </c>
      <c r="I58" s="1502">
        <f t="shared" si="19"/>
        <v>45017</v>
      </c>
      <c r="J58" s="1502">
        <f t="shared" si="19"/>
        <v>44986</v>
      </c>
      <c r="K58" s="1502">
        <f t="shared" si="19"/>
        <v>44958</v>
      </c>
      <c r="L58" s="1502">
        <f t="shared" si="19"/>
        <v>44927</v>
      </c>
      <c r="M58" s="1502">
        <f t="shared" si="19"/>
        <v>44896</v>
      </c>
      <c r="N58" s="1502">
        <f t="shared" si="19"/>
        <v>44866</v>
      </c>
      <c r="O58" s="1502">
        <f t="shared" si="19"/>
        <v>44835</v>
      </c>
      <c r="P58" s="1684"/>
    </row>
    <row r="59" spans="1:29" s="1071" customFormat="1" ht="15">
      <c r="A59" s="1503"/>
      <c r="B59" s="1665"/>
      <c r="C59" s="1504">
        <v>100</v>
      </c>
      <c r="D59" s="1635"/>
      <c r="E59" s="1315"/>
      <c r="F59" s="1315"/>
      <c r="G59" s="1315"/>
      <c r="H59" s="1315"/>
      <c r="I59" s="1315"/>
      <c r="J59" s="1315"/>
      <c r="K59" s="1315"/>
      <c r="L59" s="1315"/>
      <c r="M59" s="1511"/>
      <c r="N59" s="1315"/>
      <c r="O59" s="1511"/>
      <c r="P59" s="1685"/>
    </row>
    <row r="60" spans="1:29" s="1071" customFormat="1" ht="15">
      <c r="A60" s="1306" t="s">
        <v>1393</v>
      </c>
      <c r="B60" s="1307"/>
      <c r="C60" s="1308"/>
      <c r="D60" s="1309"/>
      <c r="E60" s="1309"/>
      <c r="F60" s="1309"/>
      <c r="G60" s="1309"/>
      <c r="H60" s="1309"/>
      <c r="I60" s="1309"/>
      <c r="J60" s="1309"/>
      <c r="K60" s="1309"/>
      <c r="L60" s="1309"/>
      <c r="M60" s="1355"/>
      <c r="N60" s="1309"/>
      <c r="O60" s="1355"/>
      <c r="P60" s="1685"/>
      <c r="Q60" s="1607"/>
    </row>
    <row r="61" spans="1:29" s="1071" customFormat="1" ht="15">
      <c r="A61" s="1310" t="s">
        <v>1344</v>
      </c>
      <c r="B61" s="1311"/>
      <c r="C61" s="1312" t="s">
        <v>1394</v>
      </c>
      <c r="D61" s="1313"/>
      <c r="E61" s="1313"/>
      <c r="F61" s="1313"/>
      <c r="G61" s="1313"/>
      <c r="H61" s="1313"/>
      <c r="I61" s="1313"/>
      <c r="J61" s="1313"/>
      <c r="K61" s="1313"/>
      <c r="L61" s="1357"/>
      <c r="M61" s="1358"/>
      <c r="N61" s="1610"/>
      <c r="O61" s="1610"/>
      <c r="P61" s="1686"/>
      <c r="Q61" s="1607"/>
    </row>
    <row r="62" spans="1:29" s="1071" customFormat="1" ht="15">
      <c r="A62" s="1310"/>
      <c r="B62" s="1311"/>
      <c r="C62" s="1635">
        <v>100</v>
      </c>
      <c r="D62" s="1315"/>
      <c r="E62" s="1315"/>
      <c r="F62" s="1315"/>
      <c r="G62" s="1315"/>
      <c r="H62" s="1315"/>
      <c r="I62" s="1315"/>
      <c r="J62" s="1315"/>
      <c r="K62" s="1315"/>
      <c r="L62" s="1315"/>
      <c r="M62" s="1361"/>
      <c r="N62" s="1610"/>
      <c r="O62" s="1610"/>
      <c r="P62" s="1685"/>
      <c r="Q62" s="1607"/>
    </row>
    <row r="63" spans="1:29">
      <c r="A63" s="1316" t="s">
        <v>1395</v>
      </c>
      <c r="B63" s="1317" t="s">
        <v>1349</v>
      </c>
      <c r="C63" s="1337">
        <f>C9</f>
        <v>0</v>
      </c>
      <c r="D63" s="1260"/>
      <c r="E63" s="1260"/>
      <c r="F63" s="1260"/>
      <c r="G63" s="1260"/>
      <c r="H63" s="1260"/>
      <c r="I63" s="1260"/>
      <c r="J63" s="1260"/>
      <c r="K63" s="1362"/>
      <c r="L63" s="1363"/>
      <c r="M63" s="1364"/>
      <c r="N63" s="1612"/>
      <c r="O63" s="1612"/>
      <c r="P63" s="1687"/>
      <c r="Q63" s="1607"/>
    </row>
    <row r="64" spans="1:29" ht="15">
      <c r="A64" s="1318"/>
      <c r="B64" s="1319"/>
      <c r="C64" s="964">
        <v>100</v>
      </c>
      <c r="D64" s="964"/>
      <c r="E64" s="964"/>
      <c r="F64" s="964"/>
      <c r="G64" s="964"/>
      <c r="H64" s="964"/>
      <c r="I64" s="964"/>
      <c r="J64" s="964"/>
      <c r="K64" s="964"/>
      <c r="L64" s="964"/>
      <c r="M64" s="1367"/>
      <c r="N64" s="1614"/>
      <c r="O64" s="1614"/>
      <c r="P64" s="1687"/>
      <c r="Q64" s="1607"/>
    </row>
    <row r="65" spans="1:17" ht="27">
      <c r="A65" s="1318"/>
      <c r="B65" s="1320" t="s">
        <v>1352</v>
      </c>
      <c r="C65" s="1344"/>
      <c r="D65" s="1344"/>
      <c r="E65" s="1344"/>
      <c r="F65" s="1344"/>
      <c r="G65" s="1344"/>
      <c r="H65" s="1344"/>
      <c r="I65" s="1344"/>
      <c r="J65" s="1344"/>
      <c r="K65" s="1344"/>
      <c r="L65" s="1344"/>
      <c r="M65" s="1344"/>
      <c r="N65" s="1614"/>
      <c r="O65" s="1614"/>
      <c r="P65" s="1687"/>
      <c r="Q65" s="1607"/>
    </row>
    <row r="66" spans="1:17" ht="15">
      <c r="A66" s="1318"/>
      <c r="B66" s="1322"/>
      <c r="C66" s="964"/>
      <c r="D66" s="964"/>
      <c r="E66" s="964"/>
      <c r="F66" s="964"/>
      <c r="G66" s="964"/>
      <c r="H66" s="964"/>
      <c r="I66" s="964"/>
      <c r="J66" s="964"/>
      <c r="K66" s="964"/>
      <c r="L66" s="964"/>
      <c r="M66" s="1367"/>
      <c r="N66" s="1614"/>
      <c r="O66" s="1614"/>
      <c r="P66" s="1687"/>
      <c r="Q66" s="1607"/>
    </row>
    <row r="67" spans="1:17" ht="15">
      <c r="A67" s="1318"/>
      <c r="B67" s="1324" t="s">
        <v>1353</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3" t="str">
        <f>M68&amp;"（含）"&amp;"-"&amp;P68</f>
        <v>（含）-</v>
      </c>
      <c r="N67" s="1614"/>
      <c r="O67" s="1614"/>
      <c r="P67" s="1687"/>
      <c r="Q67" s="1607"/>
    </row>
    <row r="68" spans="1:17" ht="15">
      <c r="A68" s="1318"/>
      <c r="B68" s="1326"/>
      <c r="C68" s="1118"/>
      <c r="D68" s="1118"/>
      <c r="E68" s="1118"/>
      <c r="F68" s="1118"/>
      <c r="G68" s="1118"/>
      <c r="H68" s="1118"/>
      <c r="I68" s="1118"/>
      <c r="J68" s="1118"/>
      <c r="K68" s="1373"/>
      <c r="L68" s="1374"/>
      <c r="M68" s="1375"/>
      <c r="N68" s="1612"/>
      <c r="O68" s="1612"/>
      <c r="P68" s="1687"/>
      <c r="Q68" s="1607"/>
    </row>
    <row r="69" spans="1:17" ht="15">
      <c r="A69" s="1318"/>
      <c r="B69" s="1319"/>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2">
        <f t="shared" si="21"/>
        <v>100</v>
      </c>
      <c r="N69" s="1614"/>
      <c r="O69" s="1614"/>
      <c r="P69" s="1687"/>
      <c r="Q69" s="1607"/>
    </row>
    <row r="70" spans="1:17" s="1073" customFormat="1" ht="15">
      <c r="A70" s="1327"/>
      <c r="B70" s="1320">
        <f>B12</f>
        <v>111</v>
      </c>
      <c r="C70" s="1328"/>
      <c r="D70" s="1328"/>
      <c r="E70" s="1328"/>
      <c r="F70" s="1328"/>
      <c r="G70" s="1328"/>
      <c r="H70" s="1329"/>
      <c r="I70" s="1329"/>
      <c r="J70" s="1329"/>
      <c r="K70" s="1329"/>
      <c r="L70" s="1376"/>
      <c r="M70" s="1377"/>
      <c r="N70" s="1615"/>
      <c r="O70" s="1615"/>
      <c r="P70" s="1691"/>
      <c r="Q70" s="1617"/>
    </row>
    <row r="71" spans="1:17" s="1073" customFormat="1" ht="15">
      <c r="A71" s="1327"/>
      <c r="B71" s="1322"/>
      <c r="C71" s="963"/>
      <c r="D71" s="964"/>
      <c r="E71" s="964"/>
      <c r="F71" s="964"/>
      <c r="G71" s="964"/>
      <c r="H71" s="964"/>
      <c r="I71" s="964"/>
      <c r="J71" s="964"/>
      <c r="K71" s="964"/>
      <c r="L71" s="964"/>
      <c r="M71" s="1367"/>
      <c r="N71" s="1614"/>
      <c r="O71" s="1614"/>
      <c r="P71" s="1691"/>
      <c r="Q71" s="1617"/>
    </row>
    <row r="72" spans="1:17" s="1073" customFormat="1" ht="15">
      <c r="A72" s="1327"/>
      <c r="B72" s="1320">
        <f>B13</f>
        <v>111</v>
      </c>
      <c r="C72" s="1328"/>
      <c r="D72" s="1328"/>
      <c r="E72" s="1328"/>
      <c r="F72" s="1328"/>
      <c r="G72" s="1328"/>
      <c r="H72" s="1329"/>
      <c r="I72" s="1329"/>
      <c r="J72" s="1329"/>
      <c r="K72" s="1329"/>
      <c r="L72" s="1376"/>
      <c r="M72" s="1377"/>
      <c r="N72" s="1615"/>
      <c r="O72" s="1615"/>
      <c r="P72" s="1692"/>
      <c r="Q72" s="1623"/>
    </row>
    <row r="73" spans="1:17" s="1073" customFormat="1" ht="15">
      <c r="A73" s="1327"/>
      <c r="B73" s="1322"/>
      <c r="C73" s="963"/>
      <c r="D73" s="963"/>
      <c r="E73" s="963"/>
      <c r="F73" s="963"/>
      <c r="G73" s="963"/>
      <c r="H73" s="1330"/>
      <c r="I73" s="1330"/>
      <c r="J73" s="1330"/>
      <c r="K73" s="1330"/>
      <c r="L73" s="1330"/>
      <c r="M73" s="1380"/>
      <c r="N73" s="1615"/>
      <c r="O73" s="1615"/>
      <c r="P73" s="1691"/>
      <c r="Q73" s="1617"/>
    </row>
    <row r="74" spans="1:17" s="1073" customFormat="1" ht="15">
      <c r="A74" s="1327"/>
      <c r="B74" s="1324">
        <f>B14</f>
        <v>111</v>
      </c>
      <c r="C74" s="1328"/>
      <c r="D74" s="1328"/>
      <c r="E74" s="1328"/>
      <c r="F74" s="1328"/>
      <c r="G74" s="1313"/>
      <c r="H74" s="1331"/>
      <c r="I74" s="1331"/>
      <c r="J74" s="1331"/>
      <c r="K74" s="1331"/>
      <c r="L74" s="1381"/>
      <c r="M74" s="1382"/>
      <c r="N74" s="1615"/>
      <c r="O74" s="1615"/>
      <c r="P74" s="1693"/>
      <c r="Q74" s="1617"/>
    </row>
    <row r="75" spans="1:17" s="1073" customFormat="1" ht="15">
      <c r="A75" s="1332"/>
      <c r="B75" s="1333"/>
      <c r="C75" s="1334"/>
      <c r="D75" s="1334"/>
      <c r="E75" s="1334"/>
      <c r="F75" s="1334"/>
      <c r="G75" s="1334"/>
      <c r="H75" s="1335"/>
      <c r="I75" s="1335"/>
      <c r="J75" s="1335"/>
      <c r="K75" s="1335"/>
      <c r="L75" s="1335"/>
      <c r="M75" s="1384"/>
      <c r="N75" s="1615"/>
      <c r="O75" s="1615"/>
      <c r="P75" s="1691"/>
      <c r="Q75" s="1617"/>
    </row>
    <row r="76" spans="1:17">
      <c r="A76" s="1316" t="s">
        <v>1354</v>
      </c>
      <c r="B76" s="1317" t="s">
        <v>1555</v>
      </c>
      <c r="C76" s="1336" t="s">
        <v>1396</v>
      </c>
      <c r="D76" s="1336" t="s">
        <v>1397</v>
      </c>
      <c r="E76" s="1336" t="s">
        <v>1398</v>
      </c>
      <c r="F76" s="1336" t="s">
        <v>1399</v>
      </c>
      <c r="G76" s="1336" t="s">
        <v>1400</v>
      </c>
      <c r="H76" s="1337"/>
      <c r="I76" s="1337"/>
      <c r="J76" s="1337"/>
      <c r="K76" s="1385"/>
      <c r="L76" s="1386"/>
      <c r="M76" s="1387"/>
      <c r="N76" s="1612"/>
      <c r="O76" s="1612"/>
      <c r="P76" s="1694"/>
      <c r="Q76" s="1607"/>
    </row>
    <row r="77" spans="1:17" ht="15">
      <c r="A77" s="1318"/>
      <c r="B77" s="1322"/>
      <c r="C77" s="1323">
        <v>100</v>
      </c>
      <c r="D77" s="1323">
        <f>C77-$K15</f>
        <v>100</v>
      </c>
      <c r="E77" s="1323">
        <f>D77-$K15</f>
        <v>100</v>
      </c>
      <c r="F77" s="1323">
        <f>E77-$K15</f>
        <v>100</v>
      </c>
      <c r="G77" s="1323">
        <f>F77-$K15</f>
        <v>100</v>
      </c>
      <c r="H77" s="1323"/>
      <c r="I77" s="1323"/>
      <c r="J77" s="1323"/>
      <c r="K77" s="1323"/>
      <c r="L77" s="1323"/>
      <c r="M77" s="1372"/>
      <c r="N77" s="1614"/>
      <c r="O77" s="1614"/>
      <c r="P77" s="1687"/>
      <c r="Q77" s="1607"/>
    </row>
    <row r="78" spans="1:17" ht="15">
      <c r="A78" s="1318"/>
      <c r="B78" s="1320" t="s">
        <v>1358</v>
      </c>
      <c r="C78" s="1338" t="s">
        <v>1396</v>
      </c>
      <c r="D78" s="1338" t="s">
        <v>1397</v>
      </c>
      <c r="E78" s="1338" t="s">
        <v>1398</v>
      </c>
      <c r="F78" s="1338" t="s">
        <v>1399</v>
      </c>
      <c r="G78" s="1338" t="s">
        <v>1400</v>
      </c>
      <c r="H78" s="1321"/>
      <c r="I78" s="1321"/>
      <c r="J78" s="1321"/>
      <c r="K78" s="1369"/>
      <c r="L78" s="1370"/>
      <c r="M78" s="1371"/>
      <c r="N78" s="1612"/>
      <c r="O78" s="1612"/>
      <c r="P78" s="1687"/>
      <c r="Q78" s="1607"/>
    </row>
    <row r="79" spans="1:17" ht="15">
      <c r="A79" s="1318"/>
      <c r="B79" s="1322"/>
      <c r="C79" s="1323">
        <v>100</v>
      </c>
      <c r="D79" s="1323">
        <f>C79-$K17</f>
        <v>100</v>
      </c>
      <c r="E79" s="1323">
        <f>D79-$K17</f>
        <v>100</v>
      </c>
      <c r="F79" s="1323">
        <f>E79-$K17</f>
        <v>100</v>
      </c>
      <c r="G79" s="1323">
        <f>F79-$K17</f>
        <v>100</v>
      </c>
      <c r="H79" s="1323"/>
      <c r="I79" s="1323"/>
      <c r="J79" s="1323"/>
      <c r="K79" s="1323"/>
      <c r="L79" s="1323"/>
      <c r="M79" s="1372"/>
      <c r="N79" s="1614"/>
      <c r="O79" s="1614"/>
      <c r="P79" s="1687"/>
      <c r="Q79" s="1607"/>
    </row>
    <row r="80" spans="1:17" ht="15">
      <c r="A80" s="1318"/>
      <c r="B80" s="1320" t="s">
        <v>1359</v>
      </c>
      <c r="C80" s="1338" t="s">
        <v>1396</v>
      </c>
      <c r="D80" s="1338" t="s">
        <v>1397</v>
      </c>
      <c r="E80" s="1338" t="s">
        <v>1398</v>
      </c>
      <c r="F80" s="1338" t="s">
        <v>1399</v>
      </c>
      <c r="G80" s="1338" t="s">
        <v>1400</v>
      </c>
      <c r="H80" s="1321"/>
      <c r="I80" s="1321"/>
      <c r="J80" s="1321"/>
      <c r="K80" s="1369"/>
      <c r="L80" s="1370"/>
      <c r="M80" s="1371"/>
      <c r="N80" s="1612"/>
      <c r="O80" s="1612"/>
      <c r="P80" s="1687"/>
      <c r="Q80" s="1607"/>
    </row>
    <row r="81" spans="1:17" ht="15">
      <c r="A81" s="1318"/>
      <c r="B81" s="1322"/>
      <c r="C81" s="1323">
        <v>100</v>
      </c>
      <c r="D81" s="1323">
        <f>C81-$K19</f>
        <v>100</v>
      </c>
      <c r="E81" s="1323">
        <f>D81-$K19</f>
        <v>100</v>
      </c>
      <c r="F81" s="1323">
        <f>E81-$K19</f>
        <v>100</v>
      </c>
      <c r="G81" s="1323">
        <f>F81-$K19</f>
        <v>100</v>
      </c>
      <c r="H81" s="1323"/>
      <c r="I81" s="1323"/>
      <c r="J81" s="1323"/>
      <c r="K81" s="1323"/>
      <c r="L81" s="1323"/>
      <c r="M81" s="1372"/>
      <c r="N81" s="1614"/>
      <c r="O81" s="1614"/>
      <c r="P81" s="1687"/>
      <c r="Q81" s="1607"/>
    </row>
    <row r="82" spans="1:17" ht="15">
      <c r="A82" s="1318"/>
      <c r="B82" s="1324" t="s">
        <v>1360</v>
      </c>
      <c r="C82" s="1321" t="s">
        <v>1401</v>
      </c>
      <c r="D82" s="1321" t="s">
        <v>1402</v>
      </c>
      <c r="E82" s="1321" t="s">
        <v>1403</v>
      </c>
      <c r="F82" s="1321" t="s">
        <v>1404</v>
      </c>
      <c r="G82" s="1321" t="s">
        <v>1405</v>
      </c>
      <c r="H82" s="1321"/>
      <c r="I82" s="1321"/>
      <c r="J82" s="1321"/>
      <c r="K82" s="1321"/>
      <c r="L82" s="1321"/>
      <c r="M82" s="1516"/>
      <c r="N82" s="1614"/>
      <c r="O82" s="1614"/>
      <c r="P82" s="1687"/>
      <c r="Q82" s="1607"/>
    </row>
    <row r="83" spans="1:17" ht="15">
      <c r="A83" s="1318"/>
      <c r="B83" s="1324"/>
      <c r="C83" s="1343">
        <v>100</v>
      </c>
      <c r="D83" s="1343">
        <f>C83-$K21</f>
        <v>100</v>
      </c>
      <c r="E83" s="1343">
        <f t="shared" ref="E83:G83" si="22">D83-$K21</f>
        <v>100</v>
      </c>
      <c r="F83" s="1343">
        <f t="shared" si="22"/>
        <v>100</v>
      </c>
      <c r="G83" s="1343">
        <f t="shared" si="22"/>
        <v>100</v>
      </c>
      <c r="H83" s="1343"/>
      <c r="I83" s="1343"/>
      <c r="J83" s="1343"/>
      <c r="K83" s="1343"/>
      <c r="L83" s="1343"/>
      <c r="M83" s="1135"/>
      <c r="N83" s="1614"/>
      <c r="O83" s="1614"/>
      <c r="P83" s="1687"/>
      <c r="Q83" s="1607"/>
    </row>
    <row r="84" spans="1:17" ht="15">
      <c r="A84" s="1318"/>
      <c r="B84" s="1320" t="s">
        <v>1556</v>
      </c>
      <c r="C84" s="1338" t="s">
        <v>1396</v>
      </c>
      <c r="D84" s="1338" t="s">
        <v>1397</v>
      </c>
      <c r="E84" s="1338" t="s">
        <v>1398</v>
      </c>
      <c r="F84" s="1338" t="s">
        <v>1399</v>
      </c>
      <c r="G84" s="1338" t="s">
        <v>1400</v>
      </c>
      <c r="H84" s="1321"/>
      <c r="I84" s="1321"/>
      <c r="J84" s="1321"/>
      <c r="K84" s="1369"/>
      <c r="L84" s="1370"/>
      <c r="M84" s="1371"/>
      <c r="N84" s="1612"/>
      <c r="O84" s="1612"/>
      <c r="P84" s="1687"/>
      <c r="Q84" s="1607"/>
    </row>
    <row r="85" spans="1:17" ht="15">
      <c r="A85" s="1318"/>
      <c r="B85" s="1322"/>
      <c r="C85" s="1323">
        <v>100</v>
      </c>
      <c r="D85" s="1323">
        <f>C85-$K23</f>
        <v>100</v>
      </c>
      <c r="E85" s="1323">
        <f>D85-$K23</f>
        <v>100</v>
      </c>
      <c r="F85" s="1323">
        <f>E85-$K23</f>
        <v>100</v>
      </c>
      <c r="G85" s="1323">
        <f>F85-$K23</f>
        <v>100</v>
      </c>
      <c r="H85" s="1323"/>
      <c r="I85" s="1323"/>
      <c r="J85" s="1323"/>
      <c r="K85" s="1323"/>
      <c r="L85" s="1323"/>
      <c r="M85" s="1372"/>
      <c r="N85" s="1614"/>
      <c r="O85" s="1614"/>
      <c r="P85" s="1687"/>
      <c r="Q85" s="1607"/>
    </row>
    <row r="86" spans="1:17" s="1071" customFormat="1" ht="15">
      <c r="A86" s="1339"/>
      <c r="B86" s="1320" t="s">
        <v>1557</v>
      </c>
      <c r="C86" s="1328"/>
      <c r="D86" s="1328"/>
      <c r="E86" s="1328"/>
      <c r="F86" s="1328"/>
      <c r="G86" s="1328"/>
      <c r="H86" s="1328"/>
      <c r="I86" s="1328"/>
      <c r="J86" s="1328"/>
      <c r="K86" s="1328"/>
      <c r="L86" s="1517"/>
      <c r="M86" s="1518"/>
      <c r="N86" s="1610"/>
      <c r="O86" s="1610"/>
      <c r="P86" s="1687"/>
      <c r="Q86" s="1607"/>
    </row>
    <row r="87" spans="1:17" s="1071" customFormat="1" ht="15">
      <c r="A87" s="1339"/>
      <c r="B87" s="1322"/>
      <c r="C87" s="1340">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71" customFormat="1" ht="15">
      <c r="A88" s="1339"/>
      <c r="B88" s="1320" t="s">
        <v>1366</v>
      </c>
      <c r="C88" s="1328"/>
      <c r="D88" s="1328"/>
      <c r="E88" s="1328"/>
      <c r="F88" s="1648"/>
      <c r="G88" s="1328"/>
      <c r="H88" s="1328"/>
      <c r="I88" s="1328"/>
      <c r="J88" s="1328"/>
      <c r="K88" s="1328"/>
      <c r="L88" s="1328"/>
      <c r="M88" s="1518"/>
      <c r="N88" s="1610"/>
      <c r="O88" s="1610"/>
      <c r="P88" s="1687"/>
      <c r="Q88" s="1607"/>
    </row>
    <row r="89" spans="1:17" s="1071" customFormat="1" ht="15">
      <c r="A89" s="1339"/>
      <c r="B89" s="1322"/>
      <c r="C89" s="1340">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3" customFormat="1" ht="15">
      <c r="A90" s="1327"/>
      <c r="B90" s="1320">
        <f>B27</f>
        <v>111</v>
      </c>
      <c r="C90" s="1328"/>
      <c r="D90" s="1328"/>
      <c r="E90" s="1328"/>
      <c r="F90" s="1328"/>
      <c r="G90" s="1328"/>
      <c r="H90" s="1329"/>
      <c r="I90" s="1329"/>
      <c r="J90" s="1329"/>
      <c r="K90" s="1329"/>
      <c r="L90" s="1376"/>
      <c r="M90" s="1377"/>
      <c r="N90" s="1615"/>
      <c r="O90" s="1615"/>
      <c r="P90" s="1691"/>
      <c r="Q90" s="1617"/>
    </row>
    <row r="91" spans="1:17" s="1073" customFormat="1" ht="15">
      <c r="A91" s="1327"/>
      <c r="B91" s="1322"/>
      <c r="C91" s="963"/>
      <c r="D91" s="963"/>
      <c r="E91" s="963"/>
      <c r="F91" s="963"/>
      <c r="G91" s="963"/>
      <c r="H91" s="1330"/>
      <c r="I91" s="1330"/>
      <c r="J91" s="1330"/>
      <c r="K91" s="1330"/>
      <c r="L91" s="1330"/>
      <c r="M91" s="1380"/>
      <c r="N91" s="1615"/>
      <c r="O91" s="1615"/>
      <c r="P91" s="1691"/>
      <c r="Q91" s="1617"/>
    </row>
    <row r="92" spans="1:17" ht="15">
      <c r="A92" s="1318"/>
      <c r="B92" s="1320">
        <f>B28</f>
        <v>111</v>
      </c>
      <c r="C92" s="1328"/>
      <c r="D92" s="1328"/>
      <c r="E92" s="1328"/>
      <c r="F92" s="1328"/>
      <c r="G92" s="1344"/>
      <c r="H92" s="1344"/>
      <c r="I92" s="1344"/>
      <c r="J92" s="1344"/>
      <c r="K92" s="1395"/>
      <c r="L92" s="1396"/>
      <c r="M92" s="1397"/>
      <c r="N92" s="1612"/>
      <c r="O92" s="1612"/>
      <c r="P92" s="1687"/>
      <c r="Q92" s="1607"/>
    </row>
    <row r="93" spans="1:17" ht="15">
      <c r="A93" s="1318"/>
      <c r="B93" s="1322"/>
      <c r="C93" s="963"/>
      <c r="D93" s="964"/>
      <c r="E93" s="964"/>
      <c r="F93" s="964"/>
      <c r="G93" s="964"/>
      <c r="H93" s="964"/>
      <c r="I93" s="964"/>
      <c r="J93" s="964"/>
      <c r="K93" s="964"/>
      <c r="L93" s="964"/>
      <c r="M93" s="1367"/>
      <c r="N93" s="1614"/>
      <c r="O93" s="1614"/>
      <c r="P93" s="1687"/>
      <c r="Q93" s="1607"/>
    </row>
    <row r="94" spans="1:17" ht="15">
      <c r="A94" s="1318"/>
      <c r="B94" s="1320">
        <f>B29</f>
        <v>111</v>
      </c>
      <c r="C94" s="1328"/>
      <c r="D94" s="1328"/>
      <c r="E94" s="1328"/>
      <c r="F94" s="1328"/>
      <c r="G94" s="1344"/>
      <c r="H94" s="1344"/>
      <c r="I94" s="1344"/>
      <c r="J94" s="1344"/>
      <c r="K94" s="1395"/>
      <c r="L94" s="1396"/>
      <c r="M94" s="1397"/>
      <c r="N94" s="1612"/>
      <c r="O94" s="1612"/>
      <c r="P94" s="1687"/>
      <c r="Q94" s="1607"/>
    </row>
    <row r="95" spans="1:17" ht="15">
      <c r="A95" s="1318"/>
      <c r="B95" s="1322"/>
      <c r="C95" s="963"/>
      <c r="D95" s="963"/>
      <c r="E95" s="963"/>
      <c r="F95" s="963"/>
      <c r="G95" s="964"/>
      <c r="H95" s="964"/>
      <c r="I95" s="964"/>
      <c r="J95" s="964"/>
      <c r="K95" s="964"/>
      <c r="L95" s="964"/>
      <c r="M95" s="1367"/>
      <c r="N95" s="1614"/>
      <c r="O95" s="1614"/>
      <c r="P95" s="1687"/>
      <c r="Q95" s="1607"/>
    </row>
    <row r="96" spans="1:17" ht="15">
      <c r="A96" s="1318"/>
      <c r="B96" s="1320">
        <f>B30</f>
        <v>111</v>
      </c>
      <c r="C96" s="1328"/>
      <c r="D96" s="1328"/>
      <c r="E96" s="1328"/>
      <c r="F96" s="1328"/>
      <c r="G96" s="1344"/>
      <c r="H96" s="1344"/>
      <c r="I96" s="1344"/>
      <c r="J96" s="1344"/>
      <c r="K96" s="1395"/>
      <c r="L96" s="1396"/>
      <c r="M96" s="1397"/>
      <c r="N96" s="1612"/>
      <c r="O96" s="1612"/>
      <c r="P96" s="1687"/>
      <c r="Q96" s="1607"/>
    </row>
    <row r="97" spans="1:17" ht="15">
      <c r="A97" s="1318"/>
      <c r="B97" s="1322"/>
      <c r="C97" s="1334"/>
      <c r="D97" s="1334"/>
      <c r="E97" s="1334"/>
      <c r="F97" s="1334"/>
      <c r="G97" s="964"/>
      <c r="H97" s="964"/>
      <c r="I97" s="964"/>
      <c r="J97" s="964"/>
      <c r="K97" s="964"/>
      <c r="L97" s="964"/>
      <c r="M97" s="1367"/>
      <c r="N97" s="1614"/>
      <c r="O97" s="1614"/>
      <c r="P97" s="1687"/>
      <c r="Q97" s="1607"/>
    </row>
    <row r="98" spans="1:17" ht="15">
      <c r="A98" s="1318"/>
      <c r="B98" s="1324">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6" t="s">
        <v>1367</v>
      </c>
      <c r="B100" s="1317" t="s">
        <v>1368</v>
      </c>
      <c r="C100" s="1260"/>
      <c r="D100" s="1260"/>
      <c r="E100" s="1260"/>
      <c r="F100" s="1260"/>
      <c r="G100" s="1260"/>
      <c r="H100" s="1260"/>
      <c r="I100" s="1260"/>
      <c r="J100" s="1260"/>
      <c r="K100" s="1362"/>
      <c r="L100" s="1363"/>
      <c r="M100" s="1364"/>
      <c r="N100" s="1612"/>
      <c r="O100" s="1612"/>
      <c r="P100" s="1687"/>
      <c r="Q100" s="1607"/>
    </row>
    <row r="101" spans="1:17" ht="15">
      <c r="A101" s="1318"/>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8"/>
      <c r="B102" s="1320" t="s">
        <v>1370</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3" customFormat="1">
      <c r="A103" s="1347"/>
      <c r="B103" s="1348"/>
      <c r="C103" s="959"/>
      <c r="D103" s="959"/>
      <c r="E103" s="959"/>
      <c r="F103" s="959"/>
      <c r="G103" s="959"/>
      <c r="H103" s="959"/>
      <c r="I103" s="959"/>
      <c r="J103" s="1402"/>
      <c r="K103" s="1402"/>
      <c r="L103" s="1403"/>
      <c r="M103" s="1404"/>
      <c r="N103" s="1615"/>
      <c r="O103" s="1615"/>
      <c r="P103" s="1691"/>
      <c r="Q103" s="1617"/>
    </row>
    <row r="104" spans="1:17" s="1073" customFormat="1" ht="15">
      <c r="A104" s="1327"/>
      <c r="B104" s="1322"/>
      <c r="C104" s="963"/>
      <c r="D104" s="964"/>
      <c r="E104" s="964"/>
      <c r="F104" s="964"/>
      <c r="G104" s="964"/>
      <c r="H104" s="964"/>
      <c r="I104" s="964"/>
      <c r="J104" s="964"/>
      <c r="K104" s="964"/>
      <c r="L104" s="964"/>
      <c r="M104" s="964"/>
      <c r="N104" s="1614"/>
      <c r="O104" s="1614"/>
      <c r="P104" s="1691"/>
      <c r="Q104" s="1617"/>
    </row>
    <row r="105" spans="1:17">
      <c r="A105" s="1350"/>
      <c r="B105" s="1320" t="s">
        <v>1371</v>
      </c>
      <c r="C105" s="1328"/>
      <c r="D105" s="1328"/>
      <c r="E105" s="1344"/>
      <c r="F105" s="1344"/>
      <c r="G105" s="1344"/>
      <c r="H105" s="1344"/>
      <c r="I105" s="1344"/>
      <c r="J105" s="1344"/>
      <c r="K105" s="1395"/>
      <c r="L105" s="1396"/>
      <c r="M105" s="1397"/>
      <c r="N105" s="1612"/>
      <c r="O105" s="1612"/>
      <c r="P105" s="1687"/>
      <c r="Q105" s="1607"/>
    </row>
    <row r="106" spans="1:17" ht="15">
      <c r="A106" s="1318"/>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0"/>
      <c r="B107" s="1320" t="s">
        <v>1558</v>
      </c>
      <c r="C107" s="1344"/>
      <c r="D107" s="1344"/>
      <c r="E107" s="1344"/>
      <c r="F107" s="1344"/>
      <c r="G107" s="1344"/>
      <c r="H107" s="1344"/>
      <c r="I107" s="1344"/>
      <c r="J107" s="1344"/>
      <c r="K107" s="1395"/>
      <c r="L107" s="1396"/>
      <c r="M107" s="1397"/>
      <c r="N107" s="1612"/>
      <c r="O107" s="1612"/>
      <c r="P107" s="1687"/>
      <c r="Q107" s="1607"/>
    </row>
    <row r="108" spans="1:17" ht="15">
      <c r="A108" s="1318"/>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0"/>
      <c r="B109" s="1320" t="s">
        <v>1373</v>
      </c>
      <c r="C109" s="1328"/>
      <c r="D109" s="1328"/>
      <c r="E109" s="1328"/>
      <c r="F109" s="1344"/>
      <c r="G109" s="1344"/>
      <c r="H109" s="1344"/>
      <c r="I109" s="1344"/>
      <c r="J109" s="1344"/>
      <c r="K109" s="1395"/>
      <c r="L109" s="1396"/>
      <c r="M109" s="1397"/>
      <c r="N109" s="1612"/>
      <c r="O109" s="1612"/>
      <c r="P109" s="1687"/>
      <c r="Q109" s="1607"/>
    </row>
    <row r="110" spans="1:17" ht="15">
      <c r="A110" s="1318"/>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3" customFormat="1">
      <c r="A111" s="1347"/>
      <c r="B111" s="1320"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3" customFormat="1">
      <c r="A112" s="1347"/>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3" customFormat="1" ht="15">
      <c r="A113" s="1327"/>
      <c r="B113" s="1322"/>
      <c r="C113" s="1340">
        <v>100</v>
      </c>
      <c r="D113" s="1323">
        <f>C113+$K37</f>
        <v>100</v>
      </c>
      <c r="E113" s="1323">
        <f>D113+$K37</f>
        <v>100</v>
      </c>
      <c r="F113" s="1323">
        <f>E113+$K37</f>
        <v>100</v>
      </c>
      <c r="G113" s="1323">
        <f>F113+$K37</f>
        <v>100</v>
      </c>
      <c r="H113" s="1323">
        <f>G113+$K37</f>
        <v>100</v>
      </c>
      <c r="I113" s="1340"/>
      <c r="J113" s="1342"/>
      <c r="K113" s="1342"/>
      <c r="L113" s="1342"/>
      <c r="M113" s="1393"/>
      <c r="N113" s="1615"/>
      <c r="O113" s="1615"/>
      <c r="P113" s="1691"/>
      <c r="Q113" s="1617"/>
    </row>
    <row r="114" spans="1:17">
      <c r="A114" s="1350"/>
      <c r="B114" s="1320" t="s">
        <v>1377</v>
      </c>
      <c r="C114" s="1328"/>
      <c r="D114" s="1328"/>
      <c r="E114" s="1344"/>
      <c r="F114" s="1344"/>
      <c r="G114" s="1344"/>
      <c r="H114" s="1344"/>
      <c r="I114" s="1344"/>
      <c r="J114" s="1344"/>
      <c r="K114" s="1395"/>
      <c r="L114" s="1396"/>
      <c r="M114" s="1397"/>
      <c r="N114" s="1612"/>
      <c r="O114" s="1612"/>
      <c r="P114" s="1687"/>
      <c r="Q114" s="1607"/>
    </row>
    <row r="115" spans="1:17" ht="15">
      <c r="A115" s="1318"/>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0"/>
      <c r="B116" s="1320" t="s">
        <v>1379</v>
      </c>
      <c r="C116" s="1328"/>
      <c r="D116" s="1328"/>
      <c r="E116" s="1328"/>
      <c r="F116" s="1328"/>
      <c r="G116" s="1328"/>
      <c r="H116" s="1344"/>
      <c r="I116" s="1344"/>
      <c r="J116" s="1344"/>
      <c r="K116" s="1395"/>
      <c r="L116" s="1396"/>
      <c r="M116" s="1397"/>
      <c r="N116" s="1612"/>
      <c r="O116" s="1612"/>
      <c r="P116" s="1687"/>
      <c r="Q116" s="1607"/>
    </row>
    <row r="117" spans="1:17" ht="15">
      <c r="A117" s="1318"/>
      <c r="B117" s="1322"/>
      <c r="C117" s="1323">
        <v>100</v>
      </c>
      <c r="D117" s="1323">
        <f>C117-$K39</f>
        <v>100</v>
      </c>
      <c r="E117" s="1323">
        <f>D117-$K39</f>
        <v>100</v>
      </c>
      <c r="F117" s="1323">
        <f>E117-$K39</f>
        <v>100</v>
      </c>
      <c r="G117" s="1323">
        <f>F117-$K39</f>
        <v>100</v>
      </c>
      <c r="H117" s="1323"/>
      <c r="I117" s="1323"/>
      <c r="J117" s="1323"/>
      <c r="K117" s="1323"/>
      <c r="L117" s="1323"/>
      <c r="M117" s="1372"/>
      <c r="N117" s="1614"/>
      <c r="O117" s="1614"/>
      <c r="P117" s="1687"/>
      <c r="Q117" s="1607"/>
    </row>
    <row r="118" spans="1:17">
      <c r="A118" s="1350"/>
      <c r="B118" s="1320" t="s">
        <v>1559</v>
      </c>
      <c r="C118" s="1344"/>
      <c r="D118" s="1344"/>
      <c r="E118" s="1344"/>
      <c r="F118" s="1344"/>
      <c r="G118" s="1344"/>
      <c r="H118" s="1344"/>
      <c r="I118" s="1344"/>
      <c r="J118" s="1344"/>
      <c r="K118" s="1395"/>
      <c r="L118" s="1396"/>
      <c r="M118" s="1397"/>
      <c r="N118" s="1612"/>
      <c r="O118" s="1612"/>
      <c r="P118" s="1687"/>
      <c r="Q118" s="1607"/>
    </row>
    <row r="119" spans="1:17" ht="15">
      <c r="A119" s="1318"/>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3" customFormat="1" ht="27.75">
      <c r="A120" s="1347"/>
      <c r="B120" s="1320" t="s">
        <v>1560</v>
      </c>
      <c r="C120" s="1328"/>
      <c r="D120" s="1328"/>
      <c r="E120" s="1328"/>
      <c r="F120" s="1328"/>
      <c r="G120" s="1328"/>
      <c r="H120" s="1328"/>
      <c r="I120" s="1328"/>
      <c r="J120" s="1328"/>
      <c r="K120" s="1328"/>
      <c r="L120" s="1517"/>
      <c r="M120" s="1518"/>
      <c r="N120" s="1615"/>
      <c r="O120" s="1615"/>
      <c r="P120" s="1691"/>
      <c r="Q120" s="1617"/>
    </row>
    <row r="121" spans="1:17" s="1073" customFormat="1" ht="15">
      <c r="A121" s="1327"/>
      <c r="B121" s="1319"/>
      <c r="C121" s="963"/>
      <c r="D121" s="964"/>
      <c r="E121" s="964"/>
      <c r="F121" s="964"/>
      <c r="G121" s="964"/>
      <c r="H121" s="964"/>
      <c r="I121" s="964"/>
      <c r="J121" s="964"/>
      <c r="K121" s="964"/>
      <c r="L121" s="964"/>
      <c r="M121" s="964"/>
      <c r="N121" s="1615"/>
      <c r="O121" s="1615"/>
      <c r="P121" s="1691"/>
      <c r="Q121" s="1617"/>
    </row>
    <row r="122" spans="1:17">
      <c r="A122" s="1350"/>
      <c r="B122" s="1320" t="s">
        <v>1382</v>
      </c>
      <c r="C122" s="1328"/>
      <c r="D122" s="1328"/>
      <c r="E122" s="1328"/>
      <c r="F122" s="1344"/>
      <c r="G122" s="1344"/>
      <c r="H122" s="1344"/>
      <c r="I122" s="1344"/>
      <c r="J122" s="1344"/>
      <c r="K122" s="1395"/>
      <c r="L122" s="1396"/>
      <c r="M122" s="1397"/>
      <c r="N122" s="1612"/>
      <c r="O122" s="1612"/>
      <c r="P122" s="1687"/>
      <c r="Q122" s="1607"/>
    </row>
    <row r="123" spans="1:17" ht="15">
      <c r="A123" s="1318"/>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0"/>
      <c r="B124" s="1320" t="s">
        <v>1384</v>
      </c>
      <c r="C124" s="1338" t="s">
        <v>1396</v>
      </c>
      <c r="D124" s="1338" t="s">
        <v>1397</v>
      </c>
      <c r="E124" s="1338" t="s">
        <v>1398</v>
      </c>
      <c r="F124" s="1338" t="s">
        <v>1399</v>
      </c>
      <c r="G124" s="1338" t="s">
        <v>1400</v>
      </c>
      <c r="H124" s="1321"/>
      <c r="I124" s="1321"/>
      <c r="J124" s="1321"/>
      <c r="K124" s="1369"/>
      <c r="L124" s="1370"/>
      <c r="M124" s="1371"/>
      <c r="N124" s="1612"/>
      <c r="O124" s="1612"/>
      <c r="P124" s="1691"/>
      <c r="Q124" s="1607"/>
    </row>
    <row r="125" spans="1:17" ht="15">
      <c r="A125" s="1318"/>
      <c r="B125" s="1322"/>
      <c r="C125" s="1323">
        <v>100</v>
      </c>
      <c r="D125" s="1323">
        <f>C125-$K43</f>
        <v>100</v>
      </c>
      <c r="E125" s="1323">
        <f>D125-$K43</f>
        <v>100</v>
      </c>
      <c r="F125" s="1323">
        <f>E125-$K43</f>
        <v>100</v>
      </c>
      <c r="G125" s="1323">
        <f>F125-$K43</f>
        <v>100</v>
      </c>
      <c r="H125" s="1323"/>
      <c r="I125" s="1323"/>
      <c r="J125" s="1323"/>
      <c r="K125" s="1323"/>
      <c r="L125" s="1323"/>
      <c r="M125" s="1372"/>
      <c r="N125" s="1614"/>
      <c r="O125" s="1614"/>
      <c r="P125" s="1687"/>
      <c r="Q125" s="1607"/>
    </row>
    <row r="126" spans="1:17" s="1073" customFormat="1">
      <c r="A126" s="1347"/>
      <c r="B126" s="1320">
        <f>B44</f>
        <v>111</v>
      </c>
      <c r="C126" s="1328"/>
      <c r="D126" s="1328"/>
      <c r="E126" s="1328"/>
      <c r="F126" s="1328"/>
      <c r="G126" s="1328"/>
      <c r="H126" s="1329"/>
      <c r="I126" s="1329"/>
      <c r="J126" s="1329"/>
      <c r="K126" s="1329"/>
      <c r="L126" s="1376"/>
      <c r="M126" s="1377"/>
      <c r="N126" s="1615"/>
      <c r="O126" s="1615"/>
      <c r="P126" s="1691"/>
      <c r="Q126" s="1617"/>
    </row>
    <row r="127" spans="1:17" s="1073" customFormat="1" ht="15">
      <c r="A127" s="1327"/>
      <c r="B127" s="1322"/>
      <c r="C127" s="963"/>
      <c r="D127" s="964"/>
      <c r="E127" s="964"/>
      <c r="F127" s="964"/>
      <c r="G127" s="963"/>
      <c r="H127" s="1330"/>
      <c r="I127" s="1330"/>
      <c r="J127" s="1330"/>
      <c r="K127" s="1330"/>
      <c r="L127" s="1330"/>
      <c r="M127" s="1380"/>
      <c r="N127" s="1615"/>
      <c r="O127" s="1615"/>
      <c r="P127" s="1691"/>
      <c r="Q127" s="1617"/>
    </row>
    <row r="128" spans="1:17">
      <c r="A128" s="1350"/>
      <c r="B128" s="1320">
        <f>B45</f>
        <v>111</v>
      </c>
      <c r="C128" s="1328"/>
      <c r="D128" s="1328"/>
      <c r="E128" s="1328"/>
      <c r="F128" s="1328"/>
      <c r="G128" s="1344"/>
      <c r="H128" s="1344"/>
      <c r="I128" s="1344"/>
      <c r="J128" s="1344"/>
      <c r="K128" s="1395"/>
      <c r="L128" s="1396"/>
      <c r="M128" s="1397"/>
      <c r="N128" s="1612"/>
      <c r="O128" s="1612"/>
      <c r="P128" s="1687"/>
      <c r="Q128" s="1607"/>
    </row>
    <row r="129" spans="1:17" ht="15">
      <c r="A129" s="1318"/>
      <c r="B129" s="1322"/>
      <c r="C129" s="963"/>
      <c r="D129" s="963"/>
      <c r="E129" s="963"/>
      <c r="F129" s="963"/>
      <c r="G129" s="964"/>
      <c r="H129" s="964"/>
      <c r="I129" s="964"/>
      <c r="J129" s="964"/>
      <c r="K129" s="964"/>
      <c r="L129" s="964"/>
      <c r="M129" s="1367"/>
      <c r="N129" s="1614"/>
      <c r="O129" s="1614"/>
      <c r="P129" s="1687"/>
      <c r="Q129" s="1607"/>
    </row>
    <row r="130" spans="1:17">
      <c r="A130" s="1350"/>
      <c r="B130" s="1324">
        <f>B46</f>
        <v>111</v>
      </c>
      <c r="C130" s="1328"/>
      <c r="D130" s="1328"/>
      <c r="E130" s="1328"/>
      <c r="F130" s="1328"/>
      <c r="G130" s="1345"/>
      <c r="H130" s="1345"/>
      <c r="I130" s="1345"/>
      <c r="J130" s="1345"/>
      <c r="K130" s="1313"/>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1561</v>
      </c>
    </row>
    <row r="137" spans="1:17" ht="15">
      <c r="B137" s="1699" t="s">
        <v>1562</v>
      </c>
      <c r="C137" s="1700"/>
      <c r="D137" s="1700"/>
      <c r="E137" s="1700"/>
      <c r="F137" s="1700"/>
      <c r="G137" s="1701"/>
      <c r="H137" s="1702"/>
      <c r="I137" s="1727" t="s">
        <v>1563</v>
      </c>
      <c r="J137" s="1700"/>
      <c r="K137" s="1728"/>
    </row>
    <row r="138" spans="1:17" ht="15">
      <c r="B138" s="1703"/>
      <c r="C138" s="1704" t="s">
        <v>1564</v>
      </c>
      <c r="D138" s="1704" t="s">
        <v>1565</v>
      </c>
      <c r="E138" s="1705" t="s">
        <v>1566</v>
      </c>
      <c r="F138" s="1706" t="s">
        <v>1567</v>
      </c>
      <c r="G138" s="1704" t="s">
        <v>1565</v>
      </c>
      <c r="H138" s="1707" t="s">
        <v>1566</v>
      </c>
      <c r="I138" s="1729"/>
      <c r="J138" s="1704" t="s">
        <v>1568</v>
      </c>
      <c r="K138" s="1707" t="s">
        <v>1569</v>
      </c>
    </row>
    <row r="139" spans="1:17" ht="15">
      <c r="B139" s="1708">
        <v>6</v>
      </c>
      <c r="C139" s="1709">
        <v>96</v>
      </c>
      <c r="D139" s="1710" t="s">
        <v>1570</v>
      </c>
      <c r="E139" s="1711">
        <v>100</v>
      </c>
      <c r="F139" s="1712">
        <v>102.5</v>
      </c>
      <c r="G139" s="1710" t="s">
        <v>1570</v>
      </c>
      <c r="H139" s="1713">
        <v>105</v>
      </c>
      <c r="I139" s="1730" t="s">
        <v>1571</v>
      </c>
      <c r="J139" s="1709">
        <v>20</v>
      </c>
      <c r="K139" s="1731">
        <f>C145/(J139-2)</f>
        <v>4.0555555555555596E-3</v>
      </c>
    </row>
    <row r="140" spans="1:17" ht="15">
      <c r="B140" s="1714">
        <v>5</v>
      </c>
      <c r="C140" s="1715">
        <v>100</v>
      </c>
      <c r="D140" s="1715"/>
      <c r="E140" s="1716"/>
      <c r="F140" s="1717">
        <v>102</v>
      </c>
      <c r="G140" s="1715"/>
      <c r="H140" s="1718"/>
      <c r="I140" s="1732" t="s">
        <v>1572</v>
      </c>
      <c r="J140" s="455">
        <f>ROUNDUP((J139-1)/2,0)</f>
        <v>10</v>
      </c>
      <c r="K140" s="1733">
        <v>100</v>
      </c>
    </row>
    <row r="141" spans="1:17" ht="15">
      <c r="B141" s="1714">
        <v>4</v>
      </c>
      <c r="C141" s="1715">
        <v>102</v>
      </c>
      <c r="D141" s="1715"/>
      <c r="E141" s="1716"/>
      <c r="F141" s="1717">
        <v>101.5</v>
      </c>
      <c r="G141" s="1715"/>
      <c r="H141" s="1718"/>
      <c r="I141" s="1732" t="s">
        <v>1573</v>
      </c>
      <c r="J141" s="455">
        <v>1</v>
      </c>
      <c r="K141" s="1734">
        <f>ROUND(100+(J141-J140)*K139*100,1)</f>
        <v>96.4</v>
      </c>
    </row>
    <row r="142" spans="1:17" ht="15">
      <c r="B142" s="1714">
        <v>3</v>
      </c>
      <c r="C142" s="1715">
        <v>103</v>
      </c>
      <c r="D142" s="1715"/>
      <c r="E142" s="1716"/>
      <c r="F142" s="1717">
        <v>101</v>
      </c>
      <c r="G142" s="1715"/>
      <c r="H142" s="1718"/>
      <c r="I142" s="1732" t="s">
        <v>1574</v>
      </c>
      <c r="J142" s="455">
        <f>J139</f>
        <v>20</v>
      </c>
      <c r="K142" s="1735">
        <v>95</v>
      </c>
    </row>
    <row r="143" spans="1:17" ht="15">
      <c r="B143" s="1714">
        <v>2</v>
      </c>
      <c r="C143" s="1715">
        <v>100</v>
      </c>
      <c r="D143" s="1715"/>
      <c r="E143" s="1716"/>
      <c r="F143" s="1717">
        <v>100.5</v>
      </c>
      <c r="G143" s="1715"/>
      <c r="H143" s="1718"/>
      <c r="I143" s="1732" t="s">
        <v>1575</v>
      </c>
      <c r="J143" s="1715">
        <v>15</v>
      </c>
      <c r="K143" s="1734">
        <f>ROUND(100+(J143-J140)*K139*100,1)</f>
        <v>102</v>
      </c>
    </row>
    <row r="144" spans="1:17" ht="15">
      <c r="B144" s="1714">
        <v>1</v>
      </c>
      <c r="C144" s="1715">
        <v>98</v>
      </c>
      <c r="D144" s="1719" t="s">
        <v>1576</v>
      </c>
      <c r="E144" s="1716">
        <v>102</v>
      </c>
      <c r="F144" s="1720">
        <v>100</v>
      </c>
      <c r="G144" s="1719" t="s">
        <v>1576</v>
      </c>
      <c r="H144" s="1718">
        <v>105</v>
      </c>
      <c r="I144" s="1732" t="s">
        <v>1575</v>
      </c>
      <c r="J144" s="1715">
        <v>18</v>
      </c>
      <c r="K144" s="1734">
        <f>ROUND(100+(J144-J140)*K139*100,1)</f>
        <v>103.2</v>
      </c>
    </row>
    <row r="145" spans="2:11" ht="15">
      <c r="B145" s="1721" t="s">
        <v>1577</v>
      </c>
      <c r="C145" s="1722">
        <f>ROUND(MAX(C139:C144)/MIN(C139:C144)-1,3)</f>
        <v>7.2999999999999995E-2</v>
      </c>
      <c r="D145" s="1723"/>
      <c r="E145" s="1723"/>
      <c r="F145" s="1724" t="s">
        <v>1578</v>
      </c>
      <c r="G145" s="1725"/>
      <c r="H145" s="1726"/>
      <c r="I145" s="1736" t="s">
        <v>1575</v>
      </c>
      <c r="J145" s="1737">
        <v>8</v>
      </c>
      <c r="K145" s="1738">
        <f>ROUND(100+(J145-J140)*K139*100,1)</f>
        <v>99.2</v>
      </c>
    </row>
    <row r="147" spans="2:11">
      <c r="B147" s="1698" t="s">
        <v>1579</v>
      </c>
    </row>
    <row r="148" spans="2:11">
      <c r="B148" s="1698" t="s">
        <v>1580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626" t="s">
        <v>1581</v>
      </c>
      <c r="C1" s="1507" t="s">
        <v>1326</v>
      </c>
      <c r="D1" s="1450"/>
      <c r="E1" s="1627"/>
      <c r="F1" s="1452"/>
      <c r="G1" s="1453" t="s">
        <v>1329</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70" customFormat="1" ht="28.5" customHeight="1">
      <c r="A2" s="1455" t="s">
        <v>982</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983</v>
      </c>
      <c r="F2" s="1459"/>
      <c r="G2" s="1086"/>
      <c r="H2" s="1086"/>
      <c r="I2" s="1086"/>
      <c r="J2" s="1086"/>
      <c r="K2" s="1086"/>
      <c r="L2" s="1235"/>
      <c r="M2" s="1236"/>
      <c r="N2" s="1236"/>
      <c r="O2" s="1236"/>
      <c r="P2" s="1637"/>
      <c r="Q2" s="1588"/>
      <c r="R2" s="1588"/>
      <c r="S2" s="1588"/>
      <c r="T2" s="1588"/>
      <c r="U2" s="1588"/>
      <c r="V2" s="1588"/>
      <c r="W2" s="1588"/>
      <c r="X2" s="1588"/>
      <c r="Y2" s="1588"/>
      <c r="Z2" s="1588"/>
      <c r="AA2" s="1588"/>
      <c r="AB2" s="1588"/>
      <c r="AC2" s="1647"/>
    </row>
    <row r="3" spans="1:29" s="1070" customFormat="1" ht="28.5" customHeight="1">
      <c r="A3" s="381" t="s">
        <v>984</v>
      </c>
      <c r="B3" s="1088">
        <f>IF(C2="——",C49,ROUND(B2*10000/D3,0))</f>
        <v>0</v>
      </c>
      <c r="C3" s="1460" t="s">
        <v>1330</v>
      </c>
      <c r="D3" s="1461">
        <f>IF(D1="",'数据-汇总表'!E3,SUMIF('数据-汇总表'!$C19:$C33,D1,'数据-汇总表'!$E19:$E33))</f>
        <v>46.53</v>
      </c>
      <c r="E3" s="1629"/>
      <c r="F3" s="1087"/>
      <c r="G3" s="1086"/>
      <c r="H3" s="1086"/>
      <c r="I3" s="1086"/>
      <c r="J3" s="1086"/>
      <c r="K3" s="1234"/>
      <c r="L3" s="1235"/>
      <c r="M3" s="1236"/>
      <c r="N3" s="1236"/>
      <c r="O3" s="1236"/>
      <c r="P3" s="1637"/>
      <c r="Q3" s="1588"/>
      <c r="R3" s="1588"/>
      <c r="S3" s="1588"/>
      <c r="T3" s="1588"/>
      <c r="U3" s="1588"/>
      <c r="V3" s="1588"/>
      <c r="W3" s="1588"/>
      <c r="X3" s="1588"/>
      <c r="Y3" s="1588"/>
      <c r="Z3" s="1588"/>
      <c r="AA3" s="1588"/>
      <c r="AB3" s="1588"/>
      <c r="AC3" s="1629"/>
    </row>
    <row r="4" spans="1:29" ht="15">
      <c r="A4" s="1090" t="s">
        <v>1331</v>
      </c>
      <c r="B4" s="1091"/>
      <c r="C4" s="3626" t="s">
        <v>1332</v>
      </c>
      <c r="D4" s="3627"/>
      <c r="E4" s="3628" t="s">
        <v>1333</v>
      </c>
      <c r="F4" s="3629"/>
      <c r="G4" s="3626" t="s">
        <v>1334</v>
      </c>
      <c r="H4" s="3627"/>
      <c r="I4" s="3626" t="s">
        <v>1335</v>
      </c>
      <c r="J4" s="3627"/>
      <c r="K4" s="1237" t="s">
        <v>1336</v>
      </c>
      <c r="L4" s="1238"/>
      <c r="M4" s="1239"/>
      <c r="N4" s="1239"/>
      <c r="O4" s="1239"/>
      <c r="P4" s="3704" t="s">
        <v>1337</v>
      </c>
      <c r="Q4" s="3705"/>
      <c r="R4" s="3708" t="s">
        <v>1333</v>
      </c>
      <c r="S4" s="3709"/>
      <c r="T4" s="3708" t="s">
        <v>1334</v>
      </c>
      <c r="U4" s="3709"/>
      <c r="V4" s="3676" t="s">
        <v>1335</v>
      </c>
      <c r="W4" s="3676"/>
      <c r="X4" s="1281"/>
      <c r="Y4" s="3708" t="s">
        <v>1337</v>
      </c>
      <c r="Z4" s="3709"/>
      <c r="AA4" s="3703" t="s">
        <v>1333</v>
      </c>
      <c r="AB4" s="3676" t="s">
        <v>1334</v>
      </c>
      <c r="AC4" s="3703" t="s">
        <v>1335</v>
      </c>
    </row>
    <row r="5" spans="1:29" ht="15">
      <c r="A5" s="1092"/>
      <c r="B5" s="1093"/>
      <c r="C5" s="3630" t="s">
        <v>1338</v>
      </c>
      <c r="D5" s="3631"/>
      <c r="E5" s="3698" t="s">
        <v>1552</v>
      </c>
      <c r="F5" s="3633"/>
      <c r="G5" s="3630" t="s">
        <v>1553</v>
      </c>
      <c r="H5" s="3631"/>
      <c r="I5" s="3630" t="s">
        <v>1554</v>
      </c>
      <c r="J5" s="3631"/>
      <c r="K5" s="1237"/>
      <c r="L5" s="1238"/>
      <c r="M5" s="1239"/>
      <c r="N5" s="1239"/>
      <c r="O5" s="1239"/>
      <c r="P5" s="3706"/>
      <c r="Q5" s="3666"/>
      <c r="R5" s="3671"/>
      <c r="S5" s="3672"/>
      <c r="T5" s="3671"/>
      <c r="U5" s="3672"/>
      <c r="V5" s="3676"/>
      <c r="W5" s="3676"/>
      <c r="X5" s="1281"/>
      <c r="Y5" s="3671"/>
      <c r="Z5" s="3672"/>
      <c r="AA5" s="3658"/>
      <c r="AB5" s="3676"/>
      <c r="AC5" s="3658"/>
    </row>
    <row r="6" spans="1:29" ht="15">
      <c r="A6" s="1094"/>
      <c r="B6" s="1095"/>
      <c r="C6" s="3634" t="s">
        <v>1339</v>
      </c>
      <c r="D6" s="3635"/>
      <c r="E6" s="3699" t="s">
        <v>1339</v>
      </c>
      <c r="F6" s="3637"/>
      <c r="G6" s="3634" t="s">
        <v>1339</v>
      </c>
      <c r="H6" s="3635"/>
      <c r="I6" s="3634" t="s">
        <v>1339</v>
      </c>
      <c r="J6" s="3635"/>
      <c r="K6" s="1237" t="s">
        <v>1340</v>
      </c>
      <c r="L6" s="1238"/>
      <c r="M6" s="1239"/>
      <c r="N6" s="1239"/>
      <c r="O6" s="1239"/>
      <c r="P6" s="3707"/>
      <c r="Q6" s="3668"/>
      <c r="R6" s="3671"/>
      <c r="S6" s="3672"/>
      <c r="T6" s="3673"/>
      <c r="U6" s="3674"/>
      <c r="V6" s="3676"/>
      <c r="W6" s="3676"/>
      <c r="X6" s="1281"/>
      <c r="Y6" s="3673"/>
      <c r="Z6" s="3674"/>
      <c r="AA6" s="3659"/>
      <c r="AB6" s="3676"/>
      <c r="AC6" s="3659"/>
    </row>
    <row r="7" spans="1:29" s="1071" customFormat="1" ht="15">
      <c r="A7" s="1096" t="s">
        <v>1341</v>
      </c>
      <c r="B7" s="1097"/>
      <c r="C7" s="1098">
        <f>'数据-取费表'!B2</f>
        <v>45218</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40" t="s">
        <v>1342</v>
      </c>
      <c r="Q7" s="3639"/>
      <c r="R7" s="1282" t="s">
        <v>1343</v>
      </c>
      <c r="S7" s="1283">
        <f t="shared" ref="S7:S15" si="0">F7</f>
        <v>0</v>
      </c>
      <c r="T7" s="1282" t="s">
        <v>1343</v>
      </c>
      <c r="U7" s="1283">
        <f t="shared" ref="U7:U15" si="1">H7</f>
        <v>0</v>
      </c>
      <c r="V7" s="1282" t="s">
        <v>1343</v>
      </c>
      <c r="W7" s="1283">
        <f t="shared" ref="W7:W15" si="2">J7</f>
        <v>0</v>
      </c>
      <c r="X7" s="1284"/>
      <c r="Y7" s="3640" t="s">
        <v>1342</v>
      </c>
      <c r="Z7" s="3641"/>
      <c r="AA7" s="1296" t="e">
        <f>D7/F7</f>
        <v>#DIV/0!</v>
      </c>
      <c r="AB7" s="1296" t="e">
        <f>D7/H7</f>
        <v>#DIV/0!</v>
      </c>
      <c r="AC7" s="1296" t="e">
        <f>D7/J7</f>
        <v>#DIV/0!</v>
      </c>
    </row>
    <row r="8" spans="1:29" s="1071" customFormat="1" ht="15">
      <c r="A8" s="1096" t="s">
        <v>1344</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40" t="s">
        <v>1347</v>
      </c>
      <c r="Q8" s="3641"/>
      <c r="R8" s="1282" t="s">
        <v>1343</v>
      </c>
      <c r="S8" s="1283">
        <f t="shared" si="0"/>
        <v>100</v>
      </c>
      <c r="T8" s="1282" t="s">
        <v>1343</v>
      </c>
      <c r="U8" s="1283">
        <f t="shared" si="1"/>
        <v>100</v>
      </c>
      <c r="V8" s="1282" t="s">
        <v>1343</v>
      </c>
      <c r="W8" s="1283">
        <f t="shared" si="2"/>
        <v>100</v>
      </c>
      <c r="X8" s="1284"/>
      <c r="Y8" s="3640" t="s">
        <v>1347</v>
      </c>
      <c r="Z8" s="3641"/>
      <c r="AA8" s="1296">
        <f t="shared" ref="AA8:AA46" si="3">D8/F8</f>
        <v>1</v>
      </c>
      <c r="AB8" s="1296">
        <f t="shared" ref="AB8:AB46" si="4">D8/H8</f>
        <v>1</v>
      </c>
      <c r="AC8" s="1296">
        <f t="shared" ref="AC8:AC46" si="5">D8/J8</f>
        <v>1</v>
      </c>
    </row>
    <row r="9" spans="1:29" s="1071" customFormat="1">
      <c r="A9" s="1104" t="s">
        <v>1348</v>
      </c>
      <c r="B9" s="1105" t="s">
        <v>1349</v>
      </c>
      <c r="C9" s="1462"/>
      <c r="D9" s="1107">
        <v>100</v>
      </c>
      <c r="E9" s="1531"/>
      <c r="F9" s="1464">
        <f>SUMIF(63:63,E9,64:64)-SUMIF(63:63,C9,64:64)+100</f>
        <v>100</v>
      </c>
      <c r="G9" s="1531"/>
      <c r="H9" s="1107">
        <f>SUMIF(63:63,G9,64:64)-SUMIF(63:63,C9,64:64)+100</f>
        <v>100</v>
      </c>
      <c r="I9" s="1531"/>
      <c r="J9" s="1107">
        <f>SUMIF(63:63,I9,64:64)-SUMIF(63:63,C9,64:64)+100</f>
        <v>100</v>
      </c>
      <c r="K9" s="1240"/>
      <c r="L9" s="1241"/>
      <c r="M9" s="1242"/>
      <c r="N9" s="1242"/>
      <c r="O9" s="1242"/>
      <c r="P9" s="3642" t="s">
        <v>1350</v>
      </c>
      <c r="Q9" s="1286" t="str">
        <f t="shared" ref="Q9:Q15" si="6">B9</f>
        <v>用途</v>
      </c>
      <c r="R9" s="1282" t="s">
        <v>1343</v>
      </c>
      <c r="S9" s="1283">
        <f t="shared" si="0"/>
        <v>100</v>
      </c>
      <c r="T9" s="1282" t="s">
        <v>1343</v>
      </c>
      <c r="U9" s="1283">
        <f t="shared" si="1"/>
        <v>100</v>
      </c>
      <c r="V9" s="1282" t="s">
        <v>1343</v>
      </c>
      <c r="W9" s="1283">
        <f t="shared" si="2"/>
        <v>100</v>
      </c>
      <c r="X9" s="1284"/>
      <c r="Y9" s="3612" t="s">
        <v>1351</v>
      </c>
      <c r="Z9" s="1297" t="str">
        <f t="shared" ref="Z9:Z15" si="7">Q9</f>
        <v>用途</v>
      </c>
      <c r="AA9" s="1296">
        <f t="shared" si="3"/>
        <v>1</v>
      </c>
      <c r="AB9" s="1296">
        <f t="shared" si="4"/>
        <v>1</v>
      </c>
      <c r="AC9" s="1296">
        <f t="shared" si="5"/>
        <v>1</v>
      </c>
    </row>
    <row r="10" spans="1:29" s="1072" customFormat="1" ht="27">
      <c r="A10" s="1108"/>
      <c r="B10" s="1109" t="s">
        <v>1352</v>
      </c>
      <c r="C10" s="1465"/>
      <c r="D10" s="1111">
        <v>100</v>
      </c>
      <c r="E10" s="1534"/>
      <c r="F10" s="1466">
        <f>SUMIF(65:65,E10,66:66)-SUMIF(65:65,C10,66:66)+100</f>
        <v>100</v>
      </c>
      <c r="G10" s="1465"/>
      <c r="H10" s="1111">
        <f>SUMIF(65:65,G10,66:66)-SUMIF(65:65,C10,66:66)+100</f>
        <v>100</v>
      </c>
      <c r="I10" s="1465"/>
      <c r="J10" s="1111">
        <f>SUMIF(65:65,I10,66:66)-SUMIF(65:65,C10,66:66)+100</f>
        <v>100</v>
      </c>
      <c r="K10" s="1240"/>
      <c r="L10" s="1245"/>
      <c r="M10" s="1246"/>
      <c r="N10" s="1246"/>
      <c r="O10" s="1246"/>
      <c r="P10" s="3642"/>
      <c r="Q10" s="1286" t="str">
        <f t="shared" si="6"/>
        <v>土地使用年限（年）</v>
      </c>
      <c r="R10" s="1282" t="s">
        <v>1343</v>
      </c>
      <c r="S10" s="1283">
        <f t="shared" si="0"/>
        <v>100</v>
      </c>
      <c r="T10" s="1282" t="s">
        <v>1343</v>
      </c>
      <c r="U10" s="1283">
        <f t="shared" si="1"/>
        <v>100</v>
      </c>
      <c r="V10" s="1282" t="s">
        <v>1343</v>
      </c>
      <c r="W10" s="1283">
        <f t="shared" si="2"/>
        <v>100</v>
      </c>
      <c r="X10" s="1284"/>
      <c r="Y10" s="3612"/>
      <c r="Z10" s="1297" t="str">
        <f t="shared" si="7"/>
        <v>土地使用年限（年）</v>
      </c>
      <c r="AA10" s="1296">
        <f t="shared" si="3"/>
        <v>1</v>
      </c>
      <c r="AB10" s="1296">
        <f t="shared" si="4"/>
        <v>1</v>
      </c>
      <c r="AC10" s="1296">
        <f t="shared" si="5"/>
        <v>1</v>
      </c>
    </row>
    <row r="11" spans="1:29" ht="15">
      <c r="A11" s="1112"/>
      <c r="B11" s="1109" t="s">
        <v>1353</v>
      </c>
      <c r="C11" s="1113"/>
      <c r="D11" s="1111">
        <v>100</v>
      </c>
      <c r="E11" s="1114"/>
      <c r="F11" s="1466" t="e">
        <f>LOOKUP(E11,68:68,69:69)-LOOKUP(C11,68:68,69:69)+100</f>
        <v>#N/A</v>
      </c>
      <c r="G11" s="1113"/>
      <c r="H11" s="1111" t="e">
        <f>LOOKUP(G11,68:68,69:69)-LOOKUP(C11,68:68,69:69)+100</f>
        <v>#N/A</v>
      </c>
      <c r="I11" s="1113"/>
      <c r="J11" s="1111" t="e">
        <f>LOOKUP(I11,68:68,69:69)-LOOKUP(C11,68:68,69:69)+100</f>
        <v>#N/A</v>
      </c>
      <c r="K11" s="1257"/>
      <c r="L11" s="1249"/>
      <c r="M11" s="1239"/>
      <c r="N11" s="1239"/>
      <c r="O11" s="1239"/>
      <c r="P11" s="3642"/>
      <c r="Q11" s="1286" t="str">
        <f t="shared" si="6"/>
        <v>容积率</v>
      </c>
      <c r="R11" s="1282" t="s">
        <v>1343</v>
      </c>
      <c r="S11" s="1283" t="e">
        <f t="shared" si="0"/>
        <v>#N/A</v>
      </c>
      <c r="T11" s="1282" t="s">
        <v>1343</v>
      </c>
      <c r="U11" s="1283" t="e">
        <f t="shared" si="1"/>
        <v>#N/A</v>
      </c>
      <c r="V11" s="1282" t="s">
        <v>1343</v>
      </c>
      <c r="W11" s="1283" t="e">
        <f t="shared" si="2"/>
        <v>#N/A</v>
      </c>
      <c r="X11" s="1284"/>
      <c r="Y11" s="361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66">
        <f>SUMIF(70:70,E12,71:71)-SUMIF(70:70,C12,71:71)+100</f>
        <v>100</v>
      </c>
      <c r="G12" s="1120"/>
      <c r="H12" s="1111">
        <f>SUMIF(70:70,G12,71:71)-SUMIF(70:70,C12,71:71)+100</f>
        <v>100</v>
      </c>
      <c r="I12" s="1120"/>
      <c r="J12" s="1111">
        <f>SUMIF(70:70,I12,71:71)-SUMIF(70:70,C12,71:71)+100</f>
        <v>100</v>
      </c>
      <c r="K12" s="1256"/>
      <c r="L12" s="1241"/>
      <c r="M12" s="1242"/>
      <c r="N12" s="1242"/>
      <c r="O12" s="1242"/>
      <c r="P12" s="3642"/>
      <c r="Q12" s="1286">
        <f t="shared" si="6"/>
        <v>111</v>
      </c>
      <c r="R12" s="1282" t="s">
        <v>1343</v>
      </c>
      <c r="S12" s="1283">
        <f t="shared" si="0"/>
        <v>100</v>
      </c>
      <c r="T12" s="1282" t="s">
        <v>1343</v>
      </c>
      <c r="U12" s="1283">
        <f t="shared" si="1"/>
        <v>100</v>
      </c>
      <c r="V12" s="1282" t="s">
        <v>1343</v>
      </c>
      <c r="W12" s="1283">
        <f t="shared" si="2"/>
        <v>100</v>
      </c>
      <c r="X12" s="1284"/>
      <c r="Y12" s="3612"/>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256"/>
      <c r="L13" s="1251"/>
      <c r="M13" s="1239"/>
      <c r="N13" s="1239"/>
      <c r="O13" s="1239"/>
      <c r="P13" s="3642"/>
      <c r="Q13" s="1286">
        <f t="shared" si="6"/>
        <v>111</v>
      </c>
      <c r="R13" s="1282" t="s">
        <v>1343</v>
      </c>
      <c r="S13" s="1283">
        <f t="shared" si="0"/>
        <v>100</v>
      </c>
      <c r="T13" s="1282" t="s">
        <v>1343</v>
      </c>
      <c r="U13" s="1283">
        <f t="shared" si="1"/>
        <v>100</v>
      </c>
      <c r="V13" s="1282" t="s">
        <v>1343</v>
      </c>
      <c r="W13" s="1283">
        <f t="shared" si="2"/>
        <v>100</v>
      </c>
      <c r="X13" s="1284"/>
      <c r="Y13" s="3612"/>
      <c r="Z13" s="1297">
        <f t="shared" si="7"/>
        <v>111</v>
      </c>
      <c r="AA13" s="1296">
        <f t="shared" si="3"/>
        <v>1</v>
      </c>
      <c r="AB13" s="1296">
        <f t="shared" si="4"/>
        <v>1</v>
      </c>
      <c r="AC13" s="1296">
        <f t="shared" si="5"/>
        <v>1</v>
      </c>
    </row>
    <row r="14" spans="1:29" ht="15">
      <c r="A14" s="1122"/>
      <c r="B14" s="1123">
        <v>111</v>
      </c>
      <c r="C14" s="1124"/>
      <c r="D14" s="1125">
        <v>100</v>
      </c>
      <c r="E14" s="1120"/>
      <c r="F14" s="1486">
        <f>SUMIF(74:74,E14,75:75)-SUMIF(74:74,C14,75:75)+100</f>
        <v>100</v>
      </c>
      <c r="G14" s="1120"/>
      <c r="H14" s="1125">
        <f>SUMIF(74:74,G14,75:75)-SUMIF(74:74,C14,75:75)+100</f>
        <v>100</v>
      </c>
      <c r="I14" s="1120"/>
      <c r="J14" s="1125">
        <f>SUMIF(74:74,I14,75:75)-SUMIF(74:74,C14,75:75)+100</f>
        <v>100</v>
      </c>
      <c r="K14" s="1256"/>
      <c r="L14" s="1251"/>
      <c r="M14" s="1239"/>
      <c r="N14" s="1239"/>
      <c r="O14" s="1239"/>
      <c r="P14" s="3642"/>
      <c r="Q14" s="1286">
        <f t="shared" si="6"/>
        <v>111</v>
      </c>
      <c r="R14" s="1282" t="s">
        <v>1343</v>
      </c>
      <c r="S14" s="1283">
        <f t="shared" si="0"/>
        <v>100</v>
      </c>
      <c r="T14" s="1282" t="s">
        <v>1343</v>
      </c>
      <c r="U14" s="1283">
        <f t="shared" si="1"/>
        <v>100</v>
      </c>
      <c r="V14" s="1282" t="s">
        <v>1343</v>
      </c>
      <c r="W14" s="1283">
        <f t="shared" si="2"/>
        <v>100</v>
      </c>
      <c r="X14" s="1284"/>
      <c r="Y14" s="3612"/>
      <c r="Z14" s="1297">
        <f t="shared" si="7"/>
        <v>111</v>
      </c>
      <c r="AA14" s="1296">
        <f t="shared" si="3"/>
        <v>1</v>
      </c>
      <c r="AB14" s="1296">
        <f t="shared" si="4"/>
        <v>1</v>
      </c>
      <c r="AC14" s="1296">
        <f t="shared" si="5"/>
        <v>1</v>
      </c>
    </row>
    <row r="15" spans="1:29" ht="15">
      <c r="A15" s="1126" t="s">
        <v>1354</v>
      </c>
      <c r="B15" s="1416" t="s">
        <v>1582</v>
      </c>
      <c r="C15" s="1417">
        <f>估价对象房地状况!C4</f>
        <v>0</v>
      </c>
      <c r="D15" s="1129">
        <v>100</v>
      </c>
      <c r="E15" s="1130"/>
      <c r="F15" s="1469">
        <f>SUMIF(76:76,E16,77:77)-SUMIF(76:76,C16,77:77)+100</f>
        <v>100</v>
      </c>
      <c r="G15" s="1252"/>
      <c r="H15" s="1129">
        <f>SUMIF(76:76,G16,77:77)-SUMIF(76:76,C16,77:77)+100</f>
        <v>100</v>
      </c>
      <c r="I15" s="1130"/>
      <c r="J15" s="1129">
        <f>SUMIF(76:76,I16,77:77)-SUMIF(76:76,C16,77:77)+100</f>
        <v>100</v>
      </c>
      <c r="K15" s="1508"/>
      <c r="L15" s="1251"/>
      <c r="M15" s="1239"/>
      <c r="N15" s="1239"/>
      <c r="O15" s="1239"/>
      <c r="P15" s="3645" t="s">
        <v>1356</v>
      </c>
      <c r="Q15" s="664" t="str">
        <f t="shared" si="6"/>
        <v>商业繁华度</v>
      </c>
      <c r="R15" s="1287" t="s">
        <v>1343</v>
      </c>
      <c r="S15" s="1288">
        <f t="shared" si="0"/>
        <v>100</v>
      </c>
      <c r="T15" s="1287" t="s">
        <v>1343</v>
      </c>
      <c r="U15" s="1288">
        <f t="shared" si="1"/>
        <v>100</v>
      </c>
      <c r="V15" s="1287" t="s">
        <v>1343</v>
      </c>
      <c r="W15" s="1288">
        <f t="shared" si="2"/>
        <v>100</v>
      </c>
      <c r="X15" s="1281"/>
      <c r="Y15" s="3650" t="s">
        <v>1356</v>
      </c>
      <c r="Z15" s="1271" t="str">
        <f t="shared" si="7"/>
        <v>商业繁华度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251"/>
      <c r="M16" s="1239"/>
      <c r="N16" s="1239"/>
      <c r="O16" s="1239"/>
      <c r="P16" s="3646"/>
      <c r="Q16" s="664"/>
      <c r="R16" s="1287"/>
      <c r="S16" s="1288"/>
      <c r="T16" s="1287"/>
      <c r="U16" s="1288"/>
      <c r="V16" s="1287"/>
      <c r="W16" s="1288"/>
      <c r="X16" s="1281"/>
      <c r="Y16" s="3651"/>
      <c r="Z16" s="1271"/>
      <c r="AA16" s="1298">
        <v>1</v>
      </c>
      <c r="AB16" s="1298">
        <v>1</v>
      </c>
      <c r="AC16" s="1298">
        <v>1</v>
      </c>
    </row>
    <row r="17" spans="1:29" ht="15">
      <c r="A17" s="1112"/>
      <c r="B17" s="1419" t="s">
        <v>1358</v>
      </c>
      <c r="C17" s="1137">
        <f>估价对象房地状况!C6</f>
        <v>0</v>
      </c>
      <c r="D17" s="1135">
        <v>100</v>
      </c>
      <c r="E17" s="1138"/>
      <c r="F17" s="1472">
        <f>SUMIF(78:78,E18,79:79)-SUMIF(78:78,C18,79:79)+100</f>
        <v>100</v>
      </c>
      <c r="G17" s="1253"/>
      <c r="H17" s="1139">
        <f>SUMIF(78:78,G18,79:79)-SUMIF(78:78,C18,79:79)+100</f>
        <v>100</v>
      </c>
      <c r="I17" s="1138"/>
      <c r="J17" s="1139">
        <f>SUMIF(78:78,I18,79:79)-SUMIF(78:78,C18,79:79)+100</f>
        <v>100</v>
      </c>
      <c r="K17" s="1508"/>
      <c r="L17" s="1251"/>
      <c r="M17" s="1239"/>
      <c r="N17" s="1239"/>
      <c r="O17" s="1239"/>
      <c r="P17" s="3646"/>
      <c r="Q17" s="664" t="str">
        <f>B17</f>
        <v>交通便捷度</v>
      </c>
      <c r="R17" s="1287" t="s">
        <v>1343</v>
      </c>
      <c r="S17" s="1288">
        <f>F17</f>
        <v>100</v>
      </c>
      <c r="T17" s="1287" t="s">
        <v>1343</v>
      </c>
      <c r="U17" s="1288">
        <f>H17</f>
        <v>100</v>
      </c>
      <c r="V17" s="1287" t="s">
        <v>1343</v>
      </c>
      <c r="W17" s="1288">
        <f>J17</f>
        <v>100</v>
      </c>
      <c r="X17" s="1281"/>
      <c r="Y17" s="3651"/>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251"/>
      <c r="M18" s="1239"/>
      <c r="N18" s="1239"/>
      <c r="O18" s="1239"/>
      <c r="P18" s="3646"/>
      <c r="Q18" s="664"/>
      <c r="R18" s="1287"/>
      <c r="S18" s="1288"/>
      <c r="T18" s="1287"/>
      <c r="U18" s="1288"/>
      <c r="V18" s="1287"/>
      <c r="W18" s="1288"/>
      <c r="X18" s="1281"/>
      <c r="Y18" s="3651"/>
      <c r="Z18" s="1271"/>
      <c r="AA18" s="1298">
        <v>1</v>
      </c>
      <c r="AB18" s="1298">
        <v>1</v>
      </c>
      <c r="AC18" s="1298">
        <v>1</v>
      </c>
    </row>
    <row r="19" spans="1:29" ht="15">
      <c r="A19" s="1112"/>
      <c r="B19" s="1419" t="s">
        <v>1359</v>
      </c>
      <c r="C19" s="1137">
        <f>估价对象房地状况!C7</f>
        <v>0</v>
      </c>
      <c r="D19" s="1139">
        <v>100</v>
      </c>
      <c r="E19" s="1422"/>
      <c r="F19" s="1471">
        <f>SUMIF(80:80,E20,81:81)-SUMIF(80:80,C20,81:81)+100</f>
        <v>100</v>
      </c>
      <c r="G19" s="1430"/>
      <c r="H19" s="1135">
        <f>SUMIF(80:80,G20,81:81)-SUMIF(80:80,C20,81:81)+100</f>
        <v>100</v>
      </c>
      <c r="I19" s="1422"/>
      <c r="J19" s="1135">
        <f>SUMIF(80:80,I20,81:81)-SUMIF(80:80,C20,81:81)+100</f>
        <v>100</v>
      </c>
      <c r="K19" s="1508"/>
      <c r="L19" s="1251"/>
      <c r="M19" s="1239"/>
      <c r="N19" s="1239"/>
      <c r="O19" s="1239"/>
      <c r="P19" s="3646"/>
      <c r="Q19" s="664" t="str">
        <f>B19</f>
        <v>公共配套设施</v>
      </c>
      <c r="R19" s="1287" t="s">
        <v>1343</v>
      </c>
      <c r="S19" s="1288">
        <f>F19</f>
        <v>100</v>
      </c>
      <c r="T19" s="1287" t="s">
        <v>1343</v>
      </c>
      <c r="U19" s="1288">
        <f>H19</f>
        <v>100</v>
      </c>
      <c r="V19" s="1287" t="s">
        <v>1343</v>
      </c>
      <c r="W19" s="1288">
        <f>J19</f>
        <v>100</v>
      </c>
      <c r="X19" s="1281"/>
      <c r="Y19" s="3651"/>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251"/>
      <c r="M20" s="1239"/>
      <c r="N20" s="1239"/>
      <c r="O20" s="1239"/>
      <c r="P20" s="3646"/>
      <c r="Q20" s="664"/>
      <c r="R20" s="1287"/>
      <c r="S20" s="1288"/>
      <c r="T20" s="1287"/>
      <c r="U20" s="1288"/>
      <c r="V20" s="1287"/>
      <c r="W20" s="1288"/>
      <c r="X20" s="1281"/>
      <c r="Y20" s="3651"/>
      <c r="Z20" s="1271"/>
      <c r="AA20" s="1298">
        <v>1</v>
      </c>
      <c r="AB20" s="1298">
        <v>1</v>
      </c>
      <c r="AC20" s="1298">
        <v>1</v>
      </c>
    </row>
    <row r="21" spans="1:29" ht="15">
      <c r="A21" s="1112"/>
      <c r="B21" s="1423" t="s">
        <v>1360</v>
      </c>
      <c r="C21" s="1137">
        <f>估价对象房地状况!C8</f>
        <v>0</v>
      </c>
      <c r="D21" s="1139">
        <v>100</v>
      </c>
      <c r="E21" s="1422"/>
      <c r="F21" s="1471">
        <f>SUMIF(82:82,E22,83:83)-SUMIF(82:82,C22,83:83)+100</f>
        <v>100</v>
      </c>
      <c r="G21" s="1430"/>
      <c r="H21" s="1135">
        <f>SUMIF(82:82,G22,83:83)-SUMIF(82:82,C22,83:83)+100</f>
        <v>100</v>
      </c>
      <c r="I21" s="1422"/>
      <c r="J21" s="1135">
        <f>SUMIF(82:82,I22,83:83)-SUMIF(82:82,C22,83:83)+100</f>
        <v>100</v>
      </c>
      <c r="K21" s="1508"/>
      <c r="L21" s="1251"/>
      <c r="M21" s="1239"/>
      <c r="N21" s="1239"/>
      <c r="O21" s="1239"/>
      <c r="P21" s="3646"/>
      <c r="Q21" s="664" t="str">
        <f>B21</f>
        <v>基础设施水平</v>
      </c>
      <c r="R21" s="1287" t="s">
        <v>1343</v>
      </c>
      <c r="S21" s="1288">
        <f>F21</f>
        <v>100</v>
      </c>
      <c r="T21" s="1287" t="s">
        <v>1343</v>
      </c>
      <c r="U21" s="1288">
        <f>H21</f>
        <v>100</v>
      </c>
      <c r="V21" s="1287" t="s">
        <v>1343</v>
      </c>
      <c r="W21" s="1288">
        <f>J21</f>
        <v>100</v>
      </c>
      <c r="X21" s="1281"/>
      <c r="Y21" s="3651"/>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251"/>
      <c r="M22" s="1239"/>
      <c r="N22" s="1239"/>
      <c r="O22" s="1239"/>
      <c r="P22" s="3646"/>
      <c r="Q22" s="664"/>
      <c r="R22" s="1287"/>
      <c r="S22" s="1288"/>
      <c r="T22" s="1287"/>
      <c r="U22" s="1288"/>
      <c r="V22" s="1287"/>
      <c r="W22" s="1288"/>
      <c r="X22" s="1281"/>
      <c r="Y22" s="3651"/>
      <c r="Z22" s="1271"/>
      <c r="AA22" s="1298">
        <v>1</v>
      </c>
      <c r="AB22" s="1298">
        <v>1</v>
      </c>
      <c r="AC22" s="1298">
        <v>1</v>
      </c>
    </row>
    <row r="23" spans="1:29" ht="15">
      <c r="A23" s="1112"/>
      <c r="B23" s="1419" t="s">
        <v>1556</v>
      </c>
      <c r="C23" s="661">
        <f>估价对象房地状况!C9</f>
        <v>0</v>
      </c>
      <c r="D23" s="1135">
        <v>100</v>
      </c>
      <c r="E23" s="1138"/>
      <c r="F23" s="1472">
        <f>SUMIF(84:84,E24,85:85)-SUMIF(84:84,C24,85:85)+100</f>
        <v>100</v>
      </c>
      <c r="G23" s="1253"/>
      <c r="H23" s="1135">
        <f>SUMIF(84:84,G24,85:85)-SUMIF(84:84,C24,85:85)+100</f>
        <v>100</v>
      </c>
      <c r="I23" s="1138"/>
      <c r="J23" s="1135">
        <f>SUMIF(84:84,I24,85:85)-SUMIF(84:84,C24,85:85)+100</f>
        <v>100</v>
      </c>
      <c r="K23" s="1508"/>
      <c r="L23" s="1251"/>
      <c r="M23" s="1239"/>
      <c r="N23" s="1239"/>
      <c r="O23" s="1239"/>
      <c r="P23" s="3646"/>
      <c r="Q23" s="664" t="str">
        <f>B23</f>
        <v>自然及人文环境</v>
      </c>
      <c r="R23" s="1287" t="s">
        <v>1343</v>
      </c>
      <c r="S23" s="1288">
        <f>F23</f>
        <v>100</v>
      </c>
      <c r="T23" s="1287" t="s">
        <v>1343</v>
      </c>
      <c r="U23" s="1288">
        <f>H23</f>
        <v>100</v>
      </c>
      <c r="V23" s="1287" t="s">
        <v>1343</v>
      </c>
      <c r="W23" s="1288">
        <f>J23</f>
        <v>100</v>
      </c>
      <c r="X23" s="1281"/>
      <c r="Y23" s="3651"/>
      <c r="Z23" s="1271" t="str">
        <f>Q23</f>
        <v>自然及人文环境</v>
      </c>
      <c r="AA23" s="1298">
        <f t="shared" si="3"/>
        <v>1</v>
      </c>
      <c r="AB23" s="1298">
        <f t="shared" si="4"/>
        <v>1</v>
      </c>
      <c r="AC23" s="1298">
        <f t="shared" si="5"/>
        <v>1</v>
      </c>
    </row>
    <row r="24" spans="1:29" ht="15">
      <c r="A24" s="1112"/>
      <c r="B24" s="1160"/>
      <c r="C24" s="1132"/>
      <c r="D24" s="1133"/>
      <c r="E24" s="1141"/>
      <c r="F24" s="1470"/>
      <c r="G24" s="1254"/>
      <c r="H24" s="1133"/>
      <c r="I24" s="1141"/>
      <c r="J24" s="1133"/>
      <c r="K24" s="1509"/>
      <c r="L24" s="1251"/>
      <c r="M24" s="1239"/>
      <c r="N24" s="1239"/>
      <c r="O24" s="1239"/>
      <c r="P24" s="3646"/>
      <c r="Q24" s="664"/>
      <c r="R24" s="1287"/>
      <c r="S24" s="1288"/>
      <c r="T24" s="1287"/>
      <c r="U24" s="1288"/>
      <c r="V24" s="1287"/>
      <c r="W24" s="1288"/>
      <c r="X24" s="1281"/>
      <c r="Y24" s="3651"/>
      <c r="Z24" s="1271"/>
      <c r="AA24" s="1298">
        <v>1</v>
      </c>
      <c r="AB24" s="1298">
        <v>1</v>
      </c>
      <c r="AC24" s="1298">
        <v>1</v>
      </c>
    </row>
    <row r="25" spans="1:29" ht="15">
      <c r="A25" s="1112"/>
      <c r="B25" s="1109" t="s">
        <v>1583</v>
      </c>
      <c r="C25" s="1146"/>
      <c r="D25" s="1121">
        <v>100</v>
      </c>
      <c r="E25" s="1146"/>
      <c r="F25" s="1473">
        <f>SUMIF(86:86,E25,87:87)-SUMIF(86:86,C25,87:87)+100</f>
        <v>100</v>
      </c>
      <c r="G25" s="1146"/>
      <c r="H25" s="1121">
        <f>SUMIF(86:86,G25,87:87)-SUMIF(86:86,C25,87:87)+100</f>
        <v>100</v>
      </c>
      <c r="I25" s="1146"/>
      <c r="J25" s="1121">
        <f>SUMIF(86:86,I25,87:87)-SUMIF(86:86,C25,87:87)+100</f>
        <v>100</v>
      </c>
      <c r="K25" s="1257"/>
      <c r="L25" s="1251"/>
      <c r="M25" s="1239"/>
      <c r="N25" s="1239"/>
      <c r="O25" s="1239"/>
      <c r="P25" s="3646"/>
      <c r="Q25" s="664" t="str">
        <f t="shared" ref="Q25:Q46" si="11">B25</f>
        <v>临街状况</v>
      </c>
      <c r="R25" s="1287" t="s">
        <v>1343</v>
      </c>
      <c r="S25" s="1288">
        <f>F25</f>
        <v>100</v>
      </c>
      <c r="T25" s="1287" t="s">
        <v>1343</v>
      </c>
      <c r="U25" s="1288">
        <f>H25</f>
        <v>100</v>
      </c>
      <c r="V25" s="1287" t="s">
        <v>1343</v>
      </c>
      <c r="W25" s="1288">
        <f>J25</f>
        <v>100</v>
      </c>
      <c r="X25" s="1281"/>
      <c r="Y25" s="3651"/>
      <c r="Z25" s="1271" t="str">
        <f>Q25</f>
        <v>临街状况</v>
      </c>
      <c r="AA25" s="1298">
        <f t="shared" si="3"/>
        <v>1</v>
      </c>
      <c r="AB25" s="1298">
        <f t="shared" si="4"/>
        <v>1</v>
      </c>
      <c r="AC25" s="1298">
        <f t="shared" si="5"/>
        <v>1</v>
      </c>
    </row>
    <row r="26" spans="1:29" ht="15">
      <c r="A26" s="1112"/>
      <c r="B26" s="1424" t="s">
        <v>1584</v>
      </c>
      <c r="C26" s="1120"/>
      <c r="D26" s="1121">
        <v>100</v>
      </c>
      <c r="E26" s="1120"/>
      <c r="F26" s="1473">
        <f>SUMIF(88:88,E26,89:89)-SUMIF(88:88,C26,89:89)+100</f>
        <v>100</v>
      </c>
      <c r="G26" s="1120"/>
      <c r="H26" s="1121">
        <f>SUMIF(88:88,G26,89:89)-SUMIF(88:88,C26,89:89)+100</f>
        <v>100</v>
      </c>
      <c r="I26" s="1120"/>
      <c r="J26" s="1121">
        <f>SUMIF(88:88,I26,89:89)-SUMIF(88:88,C26,89:89)+100</f>
        <v>100</v>
      </c>
      <c r="K26" s="1256"/>
      <c r="L26" s="1251"/>
      <c r="M26" s="1239"/>
      <c r="N26" s="1239"/>
      <c r="O26" s="1239"/>
      <c r="P26" s="3646"/>
      <c r="Q26" s="664" t="str">
        <f t="shared" si="11"/>
        <v>平面位置/可视性</v>
      </c>
      <c r="R26" s="1287" t="s">
        <v>1343</v>
      </c>
      <c r="S26" s="1288">
        <f>F26</f>
        <v>100</v>
      </c>
      <c r="T26" s="1287" t="s">
        <v>1343</v>
      </c>
      <c r="U26" s="1288">
        <f>H26</f>
        <v>100</v>
      </c>
      <c r="V26" s="1287" t="s">
        <v>1343</v>
      </c>
      <c r="W26" s="1288">
        <f>J26</f>
        <v>100</v>
      </c>
      <c r="X26" s="1281"/>
      <c r="Y26" s="3651"/>
      <c r="Z26" s="1271" t="str">
        <f>Q26</f>
        <v>平面位置/可视性</v>
      </c>
      <c r="AA26" s="1298">
        <f t="shared" si="3"/>
        <v>1</v>
      </c>
      <c r="AB26" s="1298">
        <f t="shared" si="4"/>
        <v>1</v>
      </c>
      <c r="AC26" s="1298">
        <f t="shared" si="5"/>
        <v>1</v>
      </c>
    </row>
    <row r="27" spans="1:29" s="1071" customFormat="1" ht="15">
      <c r="A27" s="1115"/>
      <c r="B27" s="1419" t="s">
        <v>1585</v>
      </c>
      <c r="C27" s="1630"/>
      <c r="D27" s="1585">
        <v>100</v>
      </c>
      <c r="E27" s="1630"/>
      <c r="F27" s="1586">
        <f>SUMIF(90:90,E27,91:91)-SUMIF(90:90,C27,91:91)+100</f>
        <v>100</v>
      </c>
      <c r="G27" s="1630"/>
      <c r="H27" s="1585">
        <f>SUMIF(90:90,G27,91:91)-SUMIF(90:90,C27,91:91)+100</f>
        <v>100</v>
      </c>
      <c r="I27" s="1630"/>
      <c r="J27" s="1585">
        <f>SUMIF(90:90,I27,91:91)-SUMIF(90:90,C27,91:91)+100</f>
        <v>100</v>
      </c>
      <c r="K27" s="1257"/>
      <c r="L27" s="1241"/>
      <c r="M27" s="1242"/>
      <c r="N27" s="1242"/>
      <c r="O27" s="1242"/>
      <c r="P27" s="3646"/>
      <c r="Q27" s="1286" t="str">
        <f t="shared" si="11"/>
        <v>人流量</v>
      </c>
      <c r="R27" s="1282" t="s">
        <v>1343</v>
      </c>
      <c r="S27" s="1283">
        <f>F27</f>
        <v>100</v>
      </c>
      <c r="T27" s="1282" t="s">
        <v>1343</v>
      </c>
      <c r="U27" s="1283">
        <f>H27</f>
        <v>100</v>
      </c>
      <c r="V27" s="1282" t="s">
        <v>1343</v>
      </c>
      <c r="W27" s="1283">
        <f>J27</f>
        <v>100</v>
      </c>
      <c r="X27" s="1284"/>
      <c r="Y27" s="3651"/>
      <c r="Z27" s="1297" t="str">
        <f>Q27</f>
        <v>人流量</v>
      </c>
      <c r="AA27" s="1298">
        <f t="shared" si="3"/>
        <v>1</v>
      </c>
      <c r="AB27" s="1298">
        <f t="shared" si="4"/>
        <v>1</v>
      </c>
      <c r="AC27" s="1298">
        <f t="shared" si="5"/>
        <v>1</v>
      </c>
    </row>
    <row r="28" spans="1:29" ht="15">
      <c r="A28" s="1112"/>
      <c r="B28" s="1109" t="s">
        <v>1363</v>
      </c>
      <c r="C28" s="1146"/>
      <c r="D28" s="1121">
        <v>100</v>
      </c>
      <c r="E28" s="1146"/>
      <c r="F28" s="1473">
        <f>SUMIF(92:92,E28,93:93)-SUMIF(92:92,C28,93:93)+100</f>
        <v>100</v>
      </c>
      <c r="G28" s="1146"/>
      <c r="H28" s="1121">
        <f>SUMIF(92:92,G28,93:93)-SUMIF(92:92,C28,93:93)+100</f>
        <v>100</v>
      </c>
      <c r="I28" s="1146"/>
      <c r="J28" s="1121">
        <f>SUMIF(92:92,I28,93:93)-SUMIF(92:92,C28,93:93)+100</f>
        <v>100</v>
      </c>
      <c r="K28" s="1256"/>
      <c r="L28" s="1251"/>
      <c r="M28" s="1239"/>
      <c r="N28" s="1239"/>
      <c r="O28" s="1239"/>
      <c r="P28" s="3646"/>
      <c r="Q28" s="664" t="str">
        <f t="shared" si="11"/>
        <v>楼层</v>
      </c>
      <c r="R28" s="1287" t="s">
        <v>1343</v>
      </c>
      <c r="S28" s="1288">
        <f t="shared" ref="S28:S46" si="12">F28</f>
        <v>100</v>
      </c>
      <c r="T28" s="1287" t="s">
        <v>1343</v>
      </c>
      <c r="U28" s="1288">
        <f t="shared" ref="U28:U46" si="13">H28</f>
        <v>100</v>
      </c>
      <c r="V28" s="1287" t="s">
        <v>1343</v>
      </c>
      <c r="W28" s="1288">
        <f t="shared" ref="W28:W46" si="14">J28</f>
        <v>100</v>
      </c>
      <c r="X28" s="1281"/>
      <c r="Y28" s="3651"/>
      <c r="Z28" s="1271" t="str">
        <f t="shared" ref="Z28:Z46" si="15">Q28</f>
        <v>楼层</v>
      </c>
      <c r="AA28" s="1298">
        <f t="shared" si="3"/>
        <v>1</v>
      </c>
      <c r="AB28" s="1298">
        <f t="shared" si="4"/>
        <v>1</v>
      </c>
      <c r="AC28" s="1298">
        <f t="shared" si="5"/>
        <v>1</v>
      </c>
    </row>
    <row r="29" spans="1:29" ht="15">
      <c r="A29" s="1112"/>
      <c r="B29" s="1424">
        <v>111</v>
      </c>
      <c r="C29" s="1120"/>
      <c r="D29" s="1121">
        <v>100</v>
      </c>
      <c r="E29" s="1120"/>
      <c r="F29" s="1473">
        <f>SUMIF(94:94,E29,95:95)-SUMIF(94:94,C29,95:95)+100</f>
        <v>100</v>
      </c>
      <c r="G29" s="1120"/>
      <c r="H29" s="1121">
        <f>SUMIF(94:94,G29,95:95)-SUMIF(94:94,C29,95:95)+100</f>
        <v>100</v>
      </c>
      <c r="I29" s="1120"/>
      <c r="J29" s="1121">
        <f>SUMIF(94:94,I29,95:95)-SUMIF(94:94,C29,95:95)+100</f>
        <v>100</v>
      </c>
      <c r="K29" s="1256"/>
      <c r="L29" s="1251"/>
      <c r="M29" s="1239"/>
      <c r="N29" s="1239"/>
      <c r="O29" s="1239"/>
      <c r="P29" s="3646"/>
      <c r="Q29" s="664">
        <f t="shared" si="11"/>
        <v>111</v>
      </c>
      <c r="R29" s="1287" t="s">
        <v>1343</v>
      </c>
      <c r="S29" s="1288">
        <f t="shared" si="12"/>
        <v>100</v>
      </c>
      <c r="T29" s="1287" t="s">
        <v>1343</v>
      </c>
      <c r="U29" s="1288">
        <f t="shared" si="13"/>
        <v>100</v>
      </c>
      <c r="V29" s="1287" t="s">
        <v>1343</v>
      </c>
      <c r="W29" s="1288">
        <f t="shared" si="14"/>
        <v>100</v>
      </c>
      <c r="X29" s="1281"/>
      <c r="Y29" s="3651"/>
      <c r="Z29" s="1271">
        <f t="shared" si="15"/>
        <v>111</v>
      </c>
      <c r="AA29" s="1298">
        <f t="shared" si="3"/>
        <v>1</v>
      </c>
      <c r="AB29" s="1298">
        <f t="shared" si="4"/>
        <v>1</v>
      </c>
      <c r="AC29" s="1298">
        <f t="shared" si="5"/>
        <v>1</v>
      </c>
    </row>
    <row r="30" spans="1:29" ht="15">
      <c r="A30" s="1112"/>
      <c r="B30" s="1424">
        <v>111</v>
      </c>
      <c r="C30" s="1120"/>
      <c r="D30" s="1121">
        <v>100</v>
      </c>
      <c r="E30" s="1120"/>
      <c r="F30" s="1473">
        <f>SUMIF(96:96,E30,97:97)-SUMIF(96:96,C30,97:97)+100</f>
        <v>100</v>
      </c>
      <c r="G30" s="1120"/>
      <c r="H30" s="1121">
        <f>SUMIF(96:96,G30,97:97)-SUMIF(96:96,C30,97:97)+100</f>
        <v>100</v>
      </c>
      <c r="I30" s="1120"/>
      <c r="J30" s="1121">
        <f>SUMIF(96:96,I30,97:97)-SUMIF(96:96,C30,97:97)+100</f>
        <v>100</v>
      </c>
      <c r="K30" s="1256"/>
      <c r="L30" s="1251"/>
      <c r="M30" s="1239"/>
      <c r="N30" s="1239"/>
      <c r="O30" s="1239"/>
      <c r="P30" s="3646"/>
      <c r="Q30" s="664">
        <f t="shared" si="11"/>
        <v>111</v>
      </c>
      <c r="R30" s="1287" t="s">
        <v>1343</v>
      </c>
      <c r="S30" s="1288">
        <f t="shared" si="12"/>
        <v>100</v>
      </c>
      <c r="T30" s="1287" t="s">
        <v>1343</v>
      </c>
      <c r="U30" s="1288">
        <f t="shared" si="13"/>
        <v>100</v>
      </c>
      <c r="V30" s="1287" t="s">
        <v>1343</v>
      </c>
      <c r="W30" s="1288">
        <f t="shared" si="14"/>
        <v>100</v>
      </c>
      <c r="X30" s="1281"/>
      <c r="Y30" s="3651"/>
      <c r="Z30" s="1271">
        <f t="shared" si="15"/>
        <v>111</v>
      </c>
      <c r="AA30" s="1298">
        <f t="shared" si="3"/>
        <v>1</v>
      </c>
      <c r="AB30" s="1298">
        <f t="shared" si="4"/>
        <v>1</v>
      </c>
      <c r="AC30" s="1298">
        <f t="shared" si="5"/>
        <v>1</v>
      </c>
    </row>
    <row r="31" spans="1:29" ht="15">
      <c r="A31" s="1122"/>
      <c r="B31" s="1424">
        <v>111</v>
      </c>
      <c r="C31" s="1124"/>
      <c r="D31" s="1125">
        <v>100</v>
      </c>
      <c r="E31" s="1120"/>
      <c r="F31" s="1486">
        <f>SUMIF(98:98,E31,99:99)-SUMIF(98:98,C31,99:99)+100</f>
        <v>100</v>
      </c>
      <c r="G31" s="1120"/>
      <c r="H31" s="1125">
        <f>SUMIF(98:98,G31,99:99)-SUMIF(98:98,C31,99:99)+100</f>
        <v>100</v>
      </c>
      <c r="I31" s="1120"/>
      <c r="J31" s="1125">
        <f>SUMIF(98:98,I31,99:99)-SUMIF(98:98,C31,99:99)+100</f>
        <v>100</v>
      </c>
      <c r="K31" s="1256"/>
      <c r="L31" s="1251"/>
      <c r="M31" s="1239"/>
      <c r="N31" s="1239"/>
      <c r="O31" s="1239"/>
      <c r="P31" s="3646"/>
      <c r="Q31" s="664">
        <f t="shared" si="11"/>
        <v>111</v>
      </c>
      <c r="R31" s="1287" t="s">
        <v>1343</v>
      </c>
      <c r="S31" s="1288">
        <f t="shared" si="12"/>
        <v>100</v>
      </c>
      <c r="T31" s="1287" t="s">
        <v>1343</v>
      </c>
      <c r="U31" s="1288">
        <f t="shared" si="13"/>
        <v>100</v>
      </c>
      <c r="V31" s="1287" t="s">
        <v>1343</v>
      </c>
      <c r="W31" s="1288">
        <f t="shared" si="14"/>
        <v>100</v>
      </c>
      <c r="X31" s="1281"/>
      <c r="Y31" s="3651"/>
      <c r="Z31" s="1271">
        <f t="shared" si="15"/>
        <v>111</v>
      </c>
      <c r="AA31" s="1298">
        <f t="shared" si="3"/>
        <v>1</v>
      </c>
      <c r="AB31" s="1298">
        <f t="shared" si="4"/>
        <v>1</v>
      </c>
      <c r="AC31" s="1298">
        <f t="shared" si="5"/>
        <v>1</v>
      </c>
    </row>
    <row r="32" spans="1:29" ht="15">
      <c r="A32" s="1126" t="s">
        <v>1367</v>
      </c>
      <c r="B32" s="1105" t="s">
        <v>1586</v>
      </c>
      <c r="C32" s="1631"/>
      <c r="D32" s="1162">
        <v>100</v>
      </c>
      <c r="E32" s="1631"/>
      <c r="F32" s="1473">
        <f>SUMIF(100:100,E32,101:101)-SUMIF(100:100,C32,101:101)+100</f>
        <v>100</v>
      </c>
      <c r="G32" s="1631"/>
      <c r="H32" s="1121">
        <f>SUMIF(100:100,G32,101:101)-SUMIF(100:100,C32,101:101)+100</f>
        <v>100</v>
      </c>
      <c r="I32" s="1631"/>
      <c r="J32" s="1162">
        <f>SUMIF(100:100,I32,101:101)-SUMIF(100:100,C32,101:101)+100</f>
        <v>100</v>
      </c>
      <c r="K32" s="1257"/>
      <c r="L32" s="1251"/>
      <c r="M32" s="1239"/>
      <c r="N32" s="1239"/>
      <c r="O32" s="1239"/>
      <c r="P32" s="3647" t="s">
        <v>1369</v>
      </c>
      <c r="Q32" s="664" t="str">
        <f t="shared" si="11"/>
        <v>商业类型</v>
      </c>
      <c r="R32" s="1287" t="s">
        <v>1343</v>
      </c>
      <c r="S32" s="1288">
        <f t="shared" si="12"/>
        <v>100</v>
      </c>
      <c r="T32" s="1287" t="s">
        <v>1343</v>
      </c>
      <c r="U32" s="1288">
        <f t="shared" si="13"/>
        <v>100</v>
      </c>
      <c r="V32" s="1287" t="s">
        <v>1343</v>
      </c>
      <c r="W32" s="1288">
        <f t="shared" si="14"/>
        <v>100</v>
      </c>
      <c r="X32" s="1281"/>
      <c r="Y32" s="3652" t="s">
        <v>1369</v>
      </c>
      <c r="Z32" s="1271" t="str">
        <f t="shared" si="15"/>
        <v>商业类型</v>
      </c>
      <c r="AA32" s="1298">
        <f t="shared" si="3"/>
        <v>1</v>
      </c>
      <c r="AB32" s="1298">
        <f t="shared" si="4"/>
        <v>1</v>
      </c>
      <c r="AC32" s="1298">
        <f t="shared" si="5"/>
        <v>1</v>
      </c>
    </row>
    <row r="33" spans="1:29" s="1073" customFormat="1" ht="15">
      <c r="A33" s="1168"/>
      <c r="B33" s="1109" t="s">
        <v>1370</v>
      </c>
      <c r="C33" s="1467"/>
      <c r="D33" s="1111">
        <v>100</v>
      </c>
      <c r="E33" s="1114"/>
      <c r="F33" s="1466"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48"/>
      <c r="Q33" s="1512" t="str">
        <f t="shared" si="11"/>
        <v>项目建筑规模</v>
      </c>
      <c r="R33" s="1289" t="s">
        <v>1343</v>
      </c>
      <c r="S33" s="1290" t="e">
        <f t="shared" si="12"/>
        <v>#N/A</v>
      </c>
      <c r="T33" s="1289" t="s">
        <v>1343</v>
      </c>
      <c r="U33" s="1290" t="e">
        <f t="shared" si="13"/>
        <v>#N/A</v>
      </c>
      <c r="V33" s="1289" t="s">
        <v>1343</v>
      </c>
      <c r="W33" s="1290" t="e">
        <f t="shared" si="14"/>
        <v>#N/A</v>
      </c>
      <c r="X33" s="1291"/>
      <c r="Y33" s="3652"/>
      <c r="Z33" s="1299" t="str">
        <f t="shared" si="15"/>
        <v>项目建筑规模</v>
      </c>
      <c r="AA33" s="1298" t="e">
        <f t="shared" si="3"/>
        <v>#N/A</v>
      </c>
      <c r="AB33" s="1298" t="e">
        <f t="shared" si="4"/>
        <v>#N/A</v>
      </c>
      <c r="AC33" s="1298" t="e">
        <f t="shared" si="5"/>
        <v>#N/A</v>
      </c>
    </row>
    <row r="34" spans="1:29" ht="15">
      <c r="A34" s="1163"/>
      <c r="B34" s="1109" t="s">
        <v>1371</v>
      </c>
      <c r="C34" s="1632"/>
      <c r="D34" s="1121">
        <v>100</v>
      </c>
      <c r="E34" s="1632"/>
      <c r="F34" s="1473">
        <f>SUMIF(105:105,E34,106:106)-SUMIF(105:105,C34,106:106)+100</f>
        <v>100</v>
      </c>
      <c r="G34" s="1632"/>
      <c r="H34" s="1121">
        <f>SUMIF(105:105,G34,106:106)-SUMIF(105:105,C34,106:106)+100</f>
        <v>100</v>
      </c>
      <c r="I34" s="1632"/>
      <c r="J34" s="1121">
        <f>SUMIF(105:105,I34,106:106)-SUMIF(105:105,C34,106:106)+100</f>
        <v>100</v>
      </c>
      <c r="K34" s="1257"/>
      <c r="L34" s="1251"/>
      <c r="M34" s="1239"/>
      <c r="N34" s="1239"/>
      <c r="O34" s="1239"/>
      <c r="P34" s="3648"/>
      <c r="Q34" s="664" t="str">
        <f t="shared" si="11"/>
        <v>建筑结构</v>
      </c>
      <c r="R34" s="1287" t="s">
        <v>1343</v>
      </c>
      <c r="S34" s="1288">
        <f t="shared" si="12"/>
        <v>100</v>
      </c>
      <c r="T34" s="1287" t="s">
        <v>1343</v>
      </c>
      <c r="U34" s="1288">
        <f t="shared" si="13"/>
        <v>100</v>
      </c>
      <c r="V34" s="1287" t="s">
        <v>1343</v>
      </c>
      <c r="W34" s="1288">
        <f t="shared" si="14"/>
        <v>100</v>
      </c>
      <c r="X34" s="1281"/>
      <c r="Y34" s="3652"/>
      <c r="Z34" s="1271" t="str">
        <f t="shared" si="15"/>
        <v>建筑结构</v>
      </c>
      <c r="AA34" s="1298">
        <f t="shared" si="3"/>
        <v>1</v>
      </c>
      <c r="AB34" s="1298">
        <f t="shared" si="4"/>
        <v>1</v>
      </c>
      <c r="AC34" s="1298">
        <f t="shared" si="5"/>
        <v>1</v>
      </c>
    </row>
    <row r="35" spans="1:29" ht="15">
      <c r="A35" s="1163"/>
      <c r="B35" s="1109" t="s">
        <v>1373</v>
      </c>
      <c r="C35" s="1164"/>
      <c r="D35" s="1121">
        <v>100</v>
      </c>
      <c r="E35" s="1164"/>
      <c r="F35" s="1473">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48"/>
      <c r="Q35" s="664" t="str">
        <f t="shared" si="11"/>
        <v>公共部分装修</v>
      </c>
      <c r="R35" s="1287" t="s">
        <v>1343</v>
      </c>
      <c r="S35" s="1288">
        <f t="shared" si="12"/>
        <v>100</v>
      </c>
      <c r="T35" s="1287" t="s">
        <v>1343</v>
      </c>
      <c r="U35" s="1288">
        <f t="shared" si="13"/>
        <v>100</v>
      </c>
      <c r="V35" s="1287" t="s">
        <v>1343</v>
      </c>
      <c r="W35" s="1288">
        <f t="shared" si="14"/>
        <v>100</v>
      </c>
      <c r="X35" s="1281"/>
      <c r="Y35" s="3652"/>
      <c r="Z35" s="1271" t="str">
        <f t="shared" si="15"/>
        <v>公共部分装修</v>
      </c>
      <c r="AA35" s="1298">
        <f t="shared" si="3"/>
        <v>1</v>
      </c>
      <c r="AB35" s="1298">
        <f t="shared" si="4"/>
        <v>1</v>
      </c>
      <c r="AC35" s="1298">
        <f t="shared" si="5"/>
        <v>1</v>
      </c>
    </row>
    <row r="36" spans="1:29" ht="15">
      <c r="A36" s="1163"/>
      <c r="B36" s="1109" t="s">
        <v>636</v>
      </c>
      <c r="C36" s="1480"/>
      <c r="D36" s="1121">
        <v>100</v>
      </c>
      <c r="E36" s="1480"/>
      <c r="F36" s="1473" t="e">
        <f>LOOKUP(E36,110:110,111:111)-LOOKUP(C36,110:110,111:111)+100</f>
        <v>#N/A</v>
      </c>
      <c r="G36" s="1480"/>
      <c r="H36" s="1473" t="e">
        <f>LOOKUP(G36,110:110,111:111)-LOOKUP(C36,110:110,111:111)+100</f>
        <v>#N/A</v>
      </c>
      <c r="I36" s="1480"/>
      <c r="J36" s="1121" t="e">
        <f>LOOKUP(I36,110:110,111:111)-LOOKUP(C36,110:110,111:111)+100</f>
        <v>#N/A</v>
      </c>
      <c r="K36" s="1257"/>
      <c r="L36" s="1251"/>
      <c r="M36" s="1239"/>
      <c r="N36" s="1239"/>
      <c r="O36" s="1239"/>
      <c r="P36" s="3648"/>
      <c r="Q36" s="664" t="str">
        <f t="shared" si="11"/>
        <v>成新度</v>
      </c>
      <c r="R36" s="1287" t="s">
        <v>1343</v>
      </c>
      <c r="S36" s="1288" t="e">
        <f t="shared" si="12"/>
        <v>#N/A</v>
      </c>
      <c r="T36" s="1287" t="s">
        <v>1343</v>
      </c>
      <c r="U36" s="1288" t="e">
        <f t="shared" si="13"/>
        <v>#N/A</v>
      </c>
      <c r="V36" s="1287" t="s">
        <v>1343</v>
      </c>
      <c r="W36" s="1288" t="e">
        <f t="shared" si="14"/>
        <v>#N/A</v>
      </c>
      <c r="X36" s="1281"/>
      <c r="Y36" s="3652"/>
      <c r="Z36" s="1271" t="str">
        <f t="shared" si="15"/>
        <v>成新度</v>
      </c>
      <c r="AA36" s="1298" t="e">
        <f t="shared" si="3"/>
        <v>#N/A</v>
      </c>
      <c r="AB36" s="1298" t="e">
        <f t="shared" si="4"/>
        <v>#N/A</v>
      </c>
      <c r="AC36" s="1298" t="e">
        <f t="shared" si="5"/>
        <v>#N/A</v>
      </c>
    </row>
    <row r="37" spans="1:29" s="1071" customFormat="1" ht="15">
      <c r="A37" s="1165"/>
      <c r="B37" s="1109" t="s">
        <v>1379</v>
      </c>
      <c r="C37" s="1164"/>
      <c r="D37" s="1111">
        <v>100</v>
      </c>
      <c r="E37" s="1164"/>
      <c r="F37" s="1473">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48"/>
      <c r="Q37" s="1286" t="str">
        <f t="shared" si="11"/>
        <v>市政基础设施</v>
      </c>
      <c r="R37" s="1282" t="s">
        <v>1343</v>
      </c>
      <c r="S37" s="1283">
        <f t="shared" si="12"/>
        <v>100</v>
      </c>
      <c r="T37" s="1282" t="s">
        <v>1343</v>
      </c>
      <c r="U37" s="1283">
        <f t="shared" si="13"/>
        <v>100</v>
      </c>
      <c r="V37" s="1282" t="s">
        <v>1343</v>
      </c>
      <c r="W37" s="1283">
        <f t="shared" si="14"/>
        <v>100</v>
      </c>
      <c r="X37" s="1284"/>
      <c r="Y37" s="3652"/>
      <c r="Z37" s="1297" t="str">
        <f t="shared" si="15"/>
        <v>市政基础设施</v>
      </c>
      <c r="AA37" s="1296">
        <f t="shared" si="3"/>
        <v>1</v>
      </c>
      <c r="AB37" s="1296">
        <f t="shared" si="4"/>
        <v>1</v>
      </c>
      <c r="AC37" s="1296">
        <f t="shared" si="5"/>
        <v>1</v>
      </c>
    </row>
    <row r="38" spans="1:29" ht="15">
      <c r="A38" s="1163"/>
      <c r="B38" s="1109" t="s">
        <v>1587</v>
      </c>
      <c r="C38" s="1164"/>
      <c r="D38" s="1121">
        <v>100</v>
      </c>
      <c r="E38" s="1164"/>
      <c r="F38" s="1473">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48" t="s">
        <v>1369</v>
      </c>
      <c r="Q38" s="664" t="str">
        <f t="shared" si="11"/>
        <v>业态</v>
      </c>
      <c r="R38" s="1287" t="s">
        <v>1343</v>
      </c>
      <c r="S38" s="1288">
        <f t="shared" si="12"/>
        <v>100</v>
      </c>
      <c r="T38" s="1287" t="s">
        <v>1343</v>
      </c>
      <c r="U38" s="1288">
        <f t="shared" si="13"/>
        <v>100</v>
      </c>
      <c r="V38" s="1287" t="s">
        <v>1343</v>
      </c>
      <c r="W38" s="1288">
        <f t="shared" si="14"/>
        <v>100</v>
      </c>
      <c r="X38" s="1281"/>
      <c r="Y38" s="3652" t="s">
        <v>1369</v>
      </c>
      <c r="Z38" s="1271" t="str">
        <f t="shared" si="15"/>
        <v>业态</v>
      </c>
      <c r="AA38" s="1298">
        <f t="shared" si="3"/>
        <v>1</v>
      </c>
      <c r="AB38" s="1298">
        <f t="shared" si="4"/>
        <v>1</v>
      </c>
      <c r="AC38" s="1298">
        <f t="shared" si="5"/>
        <v>1</v>
      </c>
    </row>
    <row r="39" spans="1:29" ht="15">
      <c r="A39" s="1163"/>
      <c r="B39" s="1109" t="s">
        <v>1380</v>
      </c>
      <c r="C39" s="1164"/>
      <c r="D39" s="1121">
        <v>100</v>
      </c>
      <c r="E39" s="1164"/>
      <c r="F39" s="1473">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48"/>
      <c r="Q39" s="664" t="str">
        <f t="shared" si="11"/>
        <v>层高</v>
      </c>
      <c r="R39" s="1287" t="s">
        <v>1343</v>
      </c>
      <c r="S39" s="1288">
        <f t="shared" si="12"/>
        <v>100</v>
      </c>
      <c r="T39" s="1287" t="s">
        <v>1343</v>
      </c>
      <c r="U39" s="1288">
        <f t="shared" si="13"/>
        <v>100</v>
      </c>
      <c r="V39" s="1287" t="s">
        <v>1343</v>
      </c>
      <c r="W39" s="1288">
        <f t="shared" si="14"/>
        <v>100</v>
      </c>
      <c r="X39" s="1281"/>
      <c r="Y39" s="3652"/>
      <c r="Z39" s="1271" t="str">
        <f t="shared" si="15"/>
        <v>层高</v>
      </c>
      <c r="AA39" s="1298">
        <f t="shared" si="3"/>
        <v>1</v>
      </c>
      <c r="AB39" s="1298">
        <f t="shared" si="4"/>
        <v>1</v>
      </c>
      <c r="AC39" s="1298">
        <f t="shared" si="5"/>
        <v>1</v>
      </c>
    </row>
    <row r="40" spans="1:29" ht="15">
      <c r="A40" s="1163"/>
      <c r="B40" s="1109" t="s">
        <v>1413</v>
      </c>
      <c r="C40" s="1633"/>
      <c r="D40" s="1121">
        <v>100</v>
      </c>
      <c r="E40" s="1634"/>
      <c r="F40" s="1473">
        <f>SUMIF(118:118,E40,119:119)-SUMIF(118:118,C40,119:119)+100</f>
        <v>100</v>
      </c>
      <c r="G40" s="1634"/>
      <c r="H40" s="1121">
        <f>SUMIF(118:118,G40,119:119)-SUMIF(118:118,C40,119:119)+100</f>
        <v>100</v>
      </c>
      <c r="I40" s="1634"/>
      <c r="J40" s="1121">
        <f>SUMIF(118:118,I40,119:119)-SUMIF(118:118,C40,119:119)+100</f>
        <v>100</v>
      </c>
      <c r="K40" s="1256"/>
      <c r="L40" s="1251"/>
      <c r="M40" s="1239"/>
      <c r="N40" s="1239"/>
      <c r="O40" s="1239"/>
      <c r="P40" s="3648"/>
      <c r="Q40" s="664" t="str">
        <f t="shared" si="11"/>
        <v>单套建筑面积</v>
      </c>
      <c r="R40" s="1287" t="s">
        <v>1343</v>
      </c>
      <c r="S40" s="1288">
        <f t="shared" si="12"/>
        <v>100</v>
      </c>
      <c r="T40" s="1287" t="s">
        <v>1343</v>
      </c>
      <c r="U40" s="1288">
        <f t="shared" si="13"/>
        <v>100</v>
      </c>
      <c r="V40" s="1287" t="s">
        <v>1343</v>
      </c>
      <c r="W40" s="1288">
        <f t="shared" si="14"/>
        <v>100</v>
      </c>
      <c r="X40" s="1281"/>
      <c r="Y40" s="3652"/>
      <c r="Z40" s="1271" t="str">
        <f t="shared" si="15"/>
        <v>单套建筑面积</v>
      </c>
      <c r="AA40" s="1298">
        <f t="shared" si="3"/>
        <v>1</v>
      </c>
      <c r="AB40" s="1298">
        <f t="shared" si="4"/>
        <v>1</v>
      </c>
      <c r="AC40" s="1298">
        <f t="shared" si="5"/>
        <v>1</v>
      </c>
    </row>
    <row r="41" spans="1:29" s="1073" customFormat="1" ht="15">
      <c r="A41" s="1168"/>
      <c r="B41" s="1266" t="s">
        <v>1588</v>
      </c>
      <c r="C41" s="1146"/>
      <c r="D41" s="1121">
        <v>100</v>
      </c>
      <c r="E41" s="1146"/>
      <c r="F41" s="1473">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48"/>
      <c r="Q41" s="1512" t="str">
        <f t="shared" si="11"/>
        <v>进深比</v>
      </c>
      <c r="R41" s="1289" t="s">
        <v>1343</v>
      </c>
      <c r="S41" s="1290">
        <f t="shared" si="12"/>
        <v>100</v>
      </c>
      <c r="T41" s="1289" t="s">
        <v>1343</v>
      </c>
      <c r="U41" s="1290">
        <f t="shared" si="13"/>
        <v>100</v>
      </c>
      <c r="V41" s="1289" t="s">
        <v>1343</v>
      </c>
      <c r="W41" s="1290">
        <f t="shared" si="14"/>
        <v>100</v>
      </c>
      <c r="X41" s="1291"/>
      <c r="Y41" s="3652"/>
      <c r="Z41" s="1299" t="str">
        <f t="shared" si="15"/>
        <v>进深比</v>
      </c>
      <c r="AA41" s="1298">
        <f t="shared" si="3"/>
        <v>1</v>
      </c>
      <c r="AB41" s="1298">
        <f t="shared" si="4"/>
        <v>1</v>
      </c>
      <c r="AC41" s="1298">
        <f t="shared" si="5"/>
        <v>1</v>
      </c>
    </row>
    <row r="42" spans="1:29" ht="15">
      <c r="A42" s="1163"/>
      <c r="B42" s="1109" t="s">
        <v>1382</v>
      </c>
      <c r="C42" s="1164"/>
      <c r="D42" s="1121">
        <v>100</v>
      </c>
      <c r="E42" s="1164"/>
      <c r="F42" s="1473">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48"/>
      <c r="Q42" s="664" t="str">
        <f t="shared" si="11"/>
        <v>内部装修</v>
      </c>
      <c r="R42" s="1287" t="s">
        <v>1343</v>
      </c>
      <c r="S42" s="1288">
        <f t="shared" si="12"/>
        <v>100</v>
      </c>
      <c r="T42" s="1287" t="s">
        <v>1343</v>
      </c>
      <c r="U42" s="1288">
        <f t="shared" si="13"/>
        <v>100</v>
      </c>
      <c r="V42" s="1287" t="s">
        <v>1343</v>
      </c>
      <c r="W42" s="1288">
        <f t="shared" si="14"/>
        <v>100</v>
      </c>
      <c r="X42" s="1281"/>
      <c r="Y42" s="3652"/>
      <c r="Z42" s="1271" t="str">
        <f t="shared" si="15"/>
        <v>内部装修</v>
      </c>
      <c r="AA42" s="1298">
        <f t="shared" si="3"/>
        <v>1</v>
      </c>
      <c r="AB42" s="1298">
        <f t="shared" si="4"/>
        <v>1</v>
      </c>
      <c r="AC42" s="1298">
        <f t="shared" si="5"/>
        <v>1</v>
      </c>
    </row>
    <row r="43" spans="1:29" ht="15">
      <c r="A43" s="1163"/>
      <c r="B43" s="1109" t="s">
        <v>1384</v>
      </c>
      <c r="C43" s="1164"/>
      <c r="D43" s="1121">
        <v>100</v>
      </c>
      <c r="E43" s="1164"/>
      <c r="F43" s="1473">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48"/>
      <c r="Q43" s="664" t="str">
        <f t="shared" si="11"/>
        <v>内部装修维护情况</v>
      </c>
      <c r="R43" s="1287" t="s">
        <v>1343</v>
      </c>
      <c r="S43" s="1288">
        <f t="shared" si="12"/>
        <v>100</v>
      </c>
      <c r="T43" s="1287" t="s">
        <v>1343</v>
      </c>
      <c r="U43" s="1288">
        <f t="shared" si="13"/>
        <v>100</v>
      </c>
      <c r="V43" s="1287" t="s">
        <v>1343</v>
      </c>
      <c r="W43" s="1288">
        <f t="shared" si="14"/>
        <v>100</v>
      </c>
      <c r="X43" s="1281"/>
      <c r="Y43" s="3652"/>
      <c r="Z43" s="1271" t="str">
        <f t="shared" si="15"/>
        <v>内部装修维护情况</v>
      </c>
      <c r="AA43" s="1298">
        <f t="shared" si="3"/>
        <v>1</v>
      </c>
      <c r="AB43" s="1298">
        <f t="shared" si="4"/>
        <v>1</v>
      </c>
      <c r="AC43" s="1298">
        <f t="shared" si="5"/>
        <v>1</v>
      </c>
    </row>
    <row r="44" spans="1:29" s="1071" customFormat="1" ht="15">
      <c r="A44" s="1165"/>
      <c r="B44" s="1424">
        <v>111</v>
      </c>
      <c r="C44" s="1467"/>
      <c r="D44" s="1111">
        <v>100</v>
      </c>
      <c r="E44" s="1120"/>
      <c r="F44" s="1466">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48"/>
      <c r="Q44" s="1286">
        <f t="shared" si="11"/>
        <v>111</v>
      </c>
      <c r="R44" s="1282" t="s">
        <v>1343</v>
      </c>
      <c r="S44" s="1283">
        <f t="shared" si="12"/>
        <v>100</v>
      </c>
      <c r="T44" s="1282" t="s">
        <v>1343</v>
      </c>
      <c r="U44" s="1283">
        <f t="shared" si="13"/>
        <v>100</v>
      </c>
      <c r="V44" s="1282" t="s">
        <v>1343</v>
      </c>
      <c r="W44" s="1283">
        <f t="shared" si="14"/>
        <v>100</v>
      </c>
      <c r="X44" s="1284"/>
      <c r="Y44" s="3652"/>
      <c r="Z44" s="1297">
        <f t="shared" si="15"/>
        <v>111</v>
      </c>
      <c r="AA44" s="1296">
        <f t="shared" si="3"/>
        <v>1</v>
      </c>
      <c r="AB44" s="1296">
        <f t="shared" si="4"/>
        <v>1</v>
      </c>
      <c r="AC44" s="1296">
        <f t="shared" si="5"/>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48"/>
      <c r="Q45" s="664">
        <f t="shared" si="11"/>
        <v>111</v>
      </c>
      <c r="R45" s="1287" t="s">
        <v>1343</v>
      </c>
      <c r="S45" s="1288">
        <f t="shared" si="12"/>
        <v>100</v>
      </c>
      <c r="T45" s="1287" t="s">
        <v>1343</v>
      </c>
      <c r="U45" s="1288">
        <f t="shared" si="13"/>
        <v>100</v>
      </c>
      <c r="V45" s="1287" t="s">
        <v>1343</v>
      </c>
      <c r="W45" s="1288">
        <f t="shared" si="14"/>
        <v>100</v>
      </c>
      <c r="X45" s="1281"/>
      <c r="Y45" s="3652"/>
      <c r="Z45" s="1271">
        <f t="shared" si="15"/>
        <v>111</v>
      </c>
      <c r="AA45" s="1298">
        <f t="shared" si="3"/>
        <v>1</v>
      </c>
      <c r="AB45" s="1298">
        <f t="shared" si="4"/>
        <v>1</v>
      </c>
      <c r="AC45" s="1298">
        <f t="shared" si="5"/>
        <v>1</v>
      </c>
    </row>
    <row r="46" spans="1:29" ht="15">
      <c r="A46" s="1485"/>
      <c r="B46" s="1123">
        <v>111</v>
      </c>
      <c r="C46" s="1124"/>
      <c r="D46" s="1125">
        <v>100</v>
      </c>
      <c r="E46" s="1120"/>
      <c r="F46" s="1486">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49"/>
      <c r="Q46" s="664">
        <f t="shared" si="11"/>
        <v>111</v>
      </c>
      <c r="R46" s="1287" t="s">
        <v>1343</v>
      </c>
      <c r="S46" s="1288">
        <f t="shared" si="12"/>
        <v>100</v>
      </c>
      <c r="T46" s="1287" t="s">
        <v>1343</v>
      </c>
      <c r="U46" s="1288">
        <f t="shared" si="13"/>
        <v>100</v>
      </c>
      <c r="V46" s="1287" t="s">
        <v>1343</v>
      </c>
      <c r="W46" s="1288">
        <f t="shared" si="14"/>
        <v>100</v>
      </c>
      <c r="X46" s="1281"/>
      <c r="Y46" s="3653"/>
      <c r="Z46" s="1271">
        <f t="shared" si="15"/>
        <v>111</v>
      </c>
      <c r="AA46" s="1298">
        <f t="shared" si="3"/>
        <v>1</v>
      </c>
      <c r="AB46" s="1298">
        <f t="shared" si="4"/>
        <v>1</v>
      </c>
      <c r="AC46" s="1298">
        <f t="shared" si="5"/>
        <v>1</v>
      </c>
    </row>
    <row r="47" spans="1:29" ht="15">
      <c r="A47" s="1170" t="s">
        <v>1385</v>
      </c>
      <c r="B47" s="1487"/>
      <c r="C47" s="1488" t="s">
        <v>124</v>
      </c>
      <c r="D47" s="1489"/>
      <c r="E47" s="1490"/>
      <c r="F47" s="1491"/>
      <c r="G47" s="1492"/>
      <c r="H47" s="1493"/>
      <c r="I47" s="1490"/>
      <c r="J47" s="1493"/>
      <c r="K47" s="1262"/>
      <c r="L47" s="1263"/>
      <c r="M47" s="1187"/>
      <c r="N47" s="1239"/>
      <c r="O47" s="1187"/>
      <c r="P47" s="3643" t="str">
        <f>A47</f>
        <v>成交单价（元/平方米）</v>
      </c>
      <c r="Q47" s="3643"/>
      <c r="R47" s="3676">
        <f>E47</f>
        <v>0</v>
      </c>
      <c r="S47" s="3676"/>
      <c r="T47" s="3676">
        <f>G47</f>
        <v>0</v>
      </c>
      <c r="U47" s="3676"/>
      <c r="V47" s="3676">
        <f>I47</f>
        <v>0</v>
      </c>
      <c r="W47" s="3676"/>
      <c r="X47" s="1227"/>
      <c r="Y47" s="1300"/>
      <c r="Z47" s="1227"/>
      <c r="AA47" s="1227"/>
      <c r="AB47" s="1227"/>
      <c r="AC47" s="1227"/>
    </row>
    <row r="48" spans="1:29" ht="15">
      <c r="A48" s="1178" t="s">
        <v>1386</v>
      </c>
      <c r="B48" s="1494"/>
      <c r="C48" s="1495" t="e">
        <f>R49</f>
        <v>#DIV/0!</v>
      </c>
      <c r="D48" s="1181" t="s">
        <v>1387</v>
      </c>
      <c r="E48" s="1496" t="e">
        <f>R48</f>
        <v>#DIV/0!</v>
      </c>
      <c r="F48" s="1182"/>
      <c r="G48" s="1495" t="e">
        <f>T48</f>
        <v>#DIV/0!</v>
      </c>
      <c r="H48" s="1182"/>
      <c r="I48" s="1496" t="e">
        <f>V48</f>
        <v>#DIV/0!</v>
      </c>
      <c r="J48" s="1182"/>
      <c r="K48" s="1264">
        <f>F48+H48+J48</f>
        <v>0</v>
      </c>
      <c r="L48" s="1263"/>
      <c r="M48" s="1187"/>
      <c r="N48" s="1239"/>
      <c r="O48" s="1187"/>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227"/>
      <c r="Y48" s="1227"/>
      <c r="Z48" s="1227"/>
      <c r="AA48" s="1227"/>
      <c r="AB48" s="1227"/>
      <c r="AC48" s="1227"/>
    </row>
    <row r="49" spans="1:29" ht="15">
      <c r="A49" s="1184" t="s">
        <v>1388</v>
      </c>
      <c r="B49" s="1185"/>
      <c r="C49" s="1497" t="e">
        <f>R49</f>
        <v>#DIV/0!</v>
      </c>
      <c r="D49" s="1497"/>
      <c r="E49" s="1497"/>
      <c r="F49" s="1497"/>
      <c r="G49" s="1497"/>
      <c r="H49" s="1497"/>
      <c r="I49" s="1497"/>
      <c r="J49" s="1497"/>
      <c r="K49" s="1265"/>
      <c r="L49" s="1263"/>
      <c r="M49" s="1187"/>
      <c r="N49" s="1239"/>
      <c r="O49" s="1187"/>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38"/>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38"/>
      <c r="Q51" s="1187"/>
      <c r="R51" s="1187"/>
      <c r="S51" s="1187"/>
      <c r="T51" s="1187"/>
      <c r="U51" s="1187"/>
      <c r="V51" s="1187"/>
      <c r="W51" s="1187"/>
      <c r="X51" s="1187"/>
      <c r="Y51" s="1187"/>
      <c r="Z51" s="1187"/>
      <c r="AA51" s="1187"/>
      <c r="AB51" s="1187"/>
      <c r="AC51" s="1187"/>
    </row>
    <row r="52" spans="1:29" ht="13.5" customHeight="1">
      <c r="A52" s="1187"/>
      <c r="B52" s="1187"/>
      <c r="C52" s="1189" t="s">
        <v>1389</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38"/>
      <c r="Q52" s="1187"/>
      <c r="R52" s="1187"/>
      <c r="S52" s="1187"/>
      <c r="T52" s="1187"/>
      <c r="U52" s="1187"/>
      <c r="V52" s="1187"/>
      <c r="W52" s="1187"/>
      <c r="X52" s="1187"/>
      <c r="Y52" s="1187"/>
      <c r="Z52" s="1187"/>
      <c r="AA52" s="1187"/>
      <c r="AB52" s="1187"/>
      <c r="AC52" s="1187"/>
    </row>
    <row r="53" spans="1:29" ht="13.5" customHeight="1">
      <c r="A53" s="1187"/>
      <c r="B53" s="1187"/>
      <c r="C53" s="1189" t="s">
        <v>1390</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38"/>
      <c r="Q53" s="1187"/>
      <c r="R53" s="1187"/>
      <c r="S53" s="1187"/>
      <c r="T53" s="1187"/>
      <c r="U53" s="1187"/>
      <c r="V53" s="1187"/>
      <c r="W53" s="1187"/>
      <c r="X53" s="1187"/>
      <c r="Y53" s="1187"/>
      <c r="Z53" s="1187"/>
      <c r="AA53" s="1187"/>
      <c r="AB53" s="1187"/>
      <c r="AC53" s="1187"/>
    </row>
    <row r="54" spans="1:29" s="1074" customFormat="1" ht="13.5" customHeight="1">
      <c r="A54" s="1192"/>
      <c r="B54" s="1192"/>
      <c r="C54" s="1189" t="s">
        <v>1391</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39"/>
      <c r="Q54" s="1192"/>
      <c r="R54" s="1192"/>
      <c r="S54" s="1192"/>
      <c r="T54" s="1192"/>
      <c r="U54" s="1192"/>
      <c r="V54" s="1192"/>
      <c r="W54" s="1192"/>
      <c r="X54" s="1192"/>
      <c r="Y54" s="1192"/>
      <c r="Z54" s="1192"/>
      <c r="AA54" s="1192"/>
      <c r="AB54" s="1192"/>
      <c r="AC54" s="1192"/>
    </row>
    <row r="55" spans="1:29" s="1074" customFormat="1">
      <c r="A55" s="1192"/>
      <c r="B55" s="1193"/>
      <c r="C55" s="1498"/>
      <c r="D55" s="1192"/>
      <c r="E55" s="1192"/>
      <c r="F55" s="1192"/>
      <c r="G55" s="1192"/>
      <c r="H55" s="1192"/>
      <c r="I55" s="1192"/>
      <c r="J55" s="1192"/>
      <c r="K55" s="1269"/>
      <c r="L55" s="1270"/>
      <c r="M55" s="1192"/>
      <c r="N55" s="1192"/>
      <c r="O55" s="1192"/>
      <c r="P55" s="1639"/>
      <c r="Q55" s="1192"/>
      <c r="R55" s="1192"/>
      <c r="S55" s="1192"/>
      <c r="T55" s="1192"/>
      <c r="U55" s="1192"/>
      <c r="V55" s="1192"/>
      <c r="W55" s="1192"/>
      <c r="X55" s="1192"/>
      <c r="Y55" s="1192"/>
      <c r="Z55" s="1192"/>
      <c r="AA55" s="1192"/>
      <c r="AB55" s="1192"/>
      <c r="AC55" s="1192"/>
    </row>
    <row r="56" spans="1:29">
      <c r="A56" s="1187"/>
      <c r="B56" s="1193"/>
      <c r="C56" s="1498"/>
      <c r="D56" s="1187"/>
      <c r="E56" s="1187"/>
      <c r="F56" s="1187"/>
      <c r="G56" s="1187"/>
      <c r="H56" s="1187"/>
      <c r="I56" s="1187"/>
      <c r="J56" s="1187"/>
      <c r="K56" s="1267"/>
      <c r="L56" s="1268"/>
      <c r="M56" s="1187"/>
      <c r="N56" s="1187"/>
      <c r="O56" s="1187"/>
      <c r="P56" s="1638"/>
      <c r="Q56" s="1187"/>
      <c r="R56" s="1187"/>
      <c r="S56" s="1187"/>
      <c r="T56" s="1187"/>
      <c r="U56" s="1187"/>
      <c r="V56" s="1187"/>
      <c r="W56" s="1187"/>
      <c r="X56" s="1187"/>
      <c r="Y56" s="1187"/>
      <c r="Z56" s="1187"/>
      <c r="AA56" s="1187"/>
      <c r="AB56" s="1187"/>
      <c r="AC56" s="1187"/>
    </row>
    <row r="57" spans="1:29" ht="21">
      <c r="A57" s="1226" t="s">
        <v>1392</v>
      </c>
      <c r="B57" s="1227"/>
      <c r="C57" s="1228"/>
      <c r="D57" s="1228"/>
      <c r="E57" s="1228"/>
      <c r="F57" s="1229"/>
      <c r="G57" s="1229"/>
      <c r="H57" s="1228"/>
      <c r="I57" s="1228"/>
      <c r="J57" s="1228"/>
      <c r="K57" s="1277"/>
      <c r="L57" s="1443"/>
      <c r="M57" s="1279"/>
      <c r="N57" s="1279"/>
      <c r="O57" s="1279"/>
      <c r="P57" s="1640"/>
      <c r="Q57" s="1292"/>
      <c r="R57" s="1187"/>
      <c r="S57" s="1187"/>
      <c r="T57" s="1187"/>
      <c r="U57" s="1187"/>
      <c r="V57" s="1187"/>
      <c r="W57" s="1187"/>
      <c r="X57" s="1187"/>
      <c r="Y57" s="1187"/>
      <c r="Z57" s="1187"/>
      <c r="AA57" s="1187"/>
      <c r="AB57" s="1187"/>
      <c r="AC57" s="1187"/>
    </row>
    <row r="58" spans="1:29" s="1076" customFormat="1" ht="15">
      <c r="A58" s="1499" t="s">
        <v>1341</v>
      </c>
      <c r="B58" s="1500"/>
      <c r="C58" s="1501" t="str">
        <f>YEAR(C7)&amp;"-"&amp;MONTH(C7)</f>
        <v>2023-10</v>
      </c>
      <c r="D58" s="1502">
        <f>EDATE(C58,-1)</f>
        <v>45170</v>
      </c>
      <c r="E58" s="1502">
        <f t="shared" ref="E58:O58" si="16">EDATE(D58,-1)</f>
        <v>45139</v>
      </c>
      <c r="F58" s="1502">
        <f t="shared" si="16"/>
        <v>45108</v>
      </c>
      <c r="G58" s="1502">
        <f t="shared" si="16"/>
        <v>45078</v>
      </c>
      <c r="H58" s="1502">
        <f t="shared" si="16"/>
        <v>45047</v>
      </c>
      <c r="I58" s="1502">
        <f t="shared" si="16"/>
        <v>45017</v>
      </c>
      <c r="J58" s="1502">
        <f t="shared" si="16"/>
        <v>44986</v>
      </c>
      <c r="K58" s="1502">
        <f t="shared" si="16"/>
        <v>44958</v>
      </c>
      <c r="L58" s="1502">
        <f t="shared" si="16"/>
        <v>44927</v>
      </c>
      <c r="M58" s="1502">
        <f t="shared" si="16"/>
        <v>44896</v>
      </c>
      <c r="N58" s="1502">
        <f t="shared" si="16"/>
        <v>44866</v>
      </c>
      <c r="O58" s="1502">
        <f t="shared" si="16"/>
        <v>44835</v>
      </c>
      <c r="P58" s="1641"/>
      <c r="Q58" s="1408"/>
      <c r="R58" s="1408"/>
      <c r="S58" s="1408"/>
      <c r="T58" s="1408"/>
      <c r="U58" s="1408"/>
      <c r="V58" s="1408"/>
      <c r="W58" s="1408"/>
      <c r="X58" s="1408"/>
      <c r="Y58" s="1408"/>
      <c r="Z58" s="1408"/>
      <c r="AA58" s="1408"/>
      <c r="AB58" s="1408"/>
      <c r="AC58" s="1408"/>
    </row>
    <row r="59" spans="1:29" s="1071" customFormat="1" ht="15">
      <c r="A59" s="1503"/>
      <c r="B59" s="1311"/>
      <c r="C59" s="1504">
        <v>100</v>
      </c>
      <c r="D59" s="1315"/>
      <c r="E59" s="1315"/>
      <c r="F59" s="1315"/>
      <c r="G59" s="1315"/>
      <c r="H59" s="1315"/>
      <c r="I59" s="1315"/>
      <c r="J59" s="1315"/>
      <c r="K59" s="1315"/>
      <c r="L59" s="1315"/>
      <c r="M59" s="1511"/>
      <c r="N59" s="1315"/>
      <c r="O59" s="1511"/>
      <c r="P59" s="1642"/>
      <c r="Q59" s="1409"/>
      <c r="R59" s="1409"/>
      <c r="S59" s="1409"/>
      <c r="T59" s="1409"/>
      <c r="U59" s="1409"/>
      <c r="V59" s="1409"/>
      <c r="W59" s="1409"/>
      <c r="X59" s="1409"/>
      <c r="Y59" s="1409"/>
      <c r="Z59" s="1409"/>
      <c r="AA59" s="1409"/>
      <c r="AB59" s="1409"/>
      <c r="AC59" s="1409"/>
    </row>
    <row r="60" spans="1:29" s="1071" customFormat="1" ht="15">
      <c r="A60" s="1306" t="s">
        <v>1393</v>
      </c>
      <c r="B60" s="1307"/>
      <c r="C60" s="1308"/>
      <c r="D60" s="1309"/>
      <c r="E60" s="1309"/>
      <c r="F60" s="1309"/>
      <c r="G60" s="1309"/>
      <c r="H60" s="1309"/>
      <c r="I60" s="1309"/>
      <c r="J60" s="1309"/>
      <c r="K60" s="1309"/>
      <c r="L60" s="1309"/>
      <c r="M60" s="1355"/>
      <c r="N60" s="1309"/>
      <c r="O60" s="1355"/>
      <c r="P60" s="1642"/>
      <c r="Q60" s="1292"/>
      <c r="R60" s="1409"/>
      <c r="S60" s="1409"/>
      <c r="T60" s="1409"/>
      <c r="U60" s="1409"/>
      <c r="V60" s="1409"/>
      <c r="W60" s="1409"/>
      <c r="X60" s="1409"/>
      <c r="Y60" s="1409"/>
      <c r="Z60" s="1409"/>
      <c r="AA60" s="1409"/>
      <c r="AB60" s="1409"/>
      <c r="AC60" s="1409"/>
    </row>
    <row r="61" spans="1:29" s="1071" customFormat="1" ht="15">
      <c r="A61" s="1310" t="s">
        <v>1344</v>
      </c>
      <c r="B61" s="1311"/>
      <c r="C61" s="1312" t="s">
        <v>1394</v>
      </c>
      <c r="D61" s="1313"/>
      <c r="E61" s="1313"/>
      <c r="F61" s="1313"/>
      <c r="G61" s="1313"/>
      <c r="H61" s="1313"/>
      <c r="I61" s="1313"/>
      <c r="J61" s="1313"/>
      <c r="K61" s="1313"/>
      <c r="L61" s="1357"/>
      <c r="M61" s="1358"/>
      <c r="N61" s="1359"/>
      <c r="O61" s="1359"/>
      <c r="P61" s="1643"/>
      <c r="Q61" s="1292"/>
      <c r="R61" s="1409"/>
      <c r="S61" s="1409"/>
      <c r="T61" s="1409"/>
      <c r="U61" s="1409"/>
      <c r="V61" s="1409"/>
      <c r="W61" s="1409"/>
      <c r="X61" s="1409"/>
      <c r="Y61" s="1409"/>
      <c r="Z61" s="1409"/>
      <c r="AA61" s="1409"/>
      <c r="AB61" s="1409"/>
      <c r="AC61" s="1409"/>
    </row>
    <row r="62" spans="1:29" s="1071" customFormat="1" ht="15">
      <c r="A62" s="1310"/>
      <c r="B62" s="1311"/>
      <c r="C62" s="1635">
        <v>100</v>
      </c>
      <c r="D62" s="1315"/>
      <c r="E62" s="1315"/>
      <c r="F62" s="1315"/>
      <c r="G62" s="1315"/>
      <c r="H62" s="1315"/>
      <c r="I62" s="1315"/>
      <c r="J62" s="1315"/>
      <c r="K62" s="1315"/>
      <c r="L62" s="1315"/>
      <c r="M62" s="1361"/>
      <c r="N62" s="1359"/>
      <c r="O62" s="1359"/>
      <c r="P62" s="1642"/>
      <c r="Q62" s="1292"/>
      <c r="R62" s="1409"/>
      <c r="S62" s="1409"/>
      <c r="T62" s="1409"/>
      <c r="U62" s="1409"/>
      <c r="V62" s="1409"/>
      <c r="W62" s="1409"/>
      <c r="X62" s="1409"/>
      <c r="Y62" s="1409"/>
      <c r="Z62" s="1409"/>
      <c r="AA62" s="1409"/>
      <c r="AB62" s="1409"/>
      <c r="AC62" s="1409"/>
    </row>
    <row r="63" spans="1:29">
      <c r="A63" s="1316" t="s">
        <v>1395</v>
      </c>
      <c r="B63" s="1317" t="s">
        <v>1349</v>
      </c>
      <c r="C63" s="1337">
        <f>C9</f>
        <v>0</v>
      </c>
      <c r="D63" s="1260"/>
      <c r="E63" s="1260"/>
      <c r="F63" s="1260"/>
      <c r="G63" s="1260"/>
      <c r="H63" s="1260"/>
      <c r="I63" s="1260"/>
      <c r="J63" s="1260"/>
      <c r="K63" s="1362"/>
      <c r="L63" s="1363"/>
      <c r="M63" s="1364"/>
      <c r="N63" s="1365"/>
      <c r="O63" s="1365"/>
      <c r="P63" s="1644"/>
      <c r="Q63" s="1292"/>
      <c r="R63" s="1187"/>
      <c r="S63" s="1187"/>
      <c r="T63" s="1187"/>
      <c r="U63" s="1187"/>
      <c r="V63" s="1187"/>
      <c r="W63" s="1187"/>
      <c r="X63" s="1187"/>
      <c r="Y63" s="1187"/>
      <c r="Z63" s="1187"/>
      <c r="AA63" s="1187"/>
      <c r="AB63" s="1187"/>
      <c r="AC63" s="1187"/>
    </row>
    <row r="64" spans="1:29" ht="15">
      <c r="A64" s="1318"/>
      <c r="B64" s="1319"/>
      <c r="C64" s="964">
        <v>100</v>
      </c>
      <c r="D64" s="964"/>
      <c r="E64" s="964"/>
      <c r="F64" s="964"/>
      <c r="G64" s="964"/>
      <c r="H64" s="964"/>
      <c r="I64" s="964"/>
      <c r="J64" s="964"/>
      <c r="K64" s="964"/>
      <c r="L64" s="964"/>
      <c r="M64" s="1367"/>
      <c r="N64" s="1368"/>
      <c r="O64" s="1368"/>
      <c r="P64" s="1644"/>
      <c r="Q64" s="1292"/>
      <c r="R64" s="1187"/>
      <c r="S64" s="1187"/>
      <c r="T64" s="1187"/>
      <c r="U64" s="1187"/>
      <c r="V64" s="1187"/>
      <c r="W64" s="1187"/>
      <c r="X64" s="1187"/>
      <c r="Y64" s="1187"/>
      <c r="Z64" s="1187"/>
      <c r="AA64" s="1187"/>
      <c r="AB64" s="1187"/>
      <c r="AC64" s="1187"/>
    </row>
    <row r="65" spans="1:29" ht="27">
      <c r="A65" s="1318"/>
      <c r="B65" s="1320" t="s">
        <v>1352</v>
      </c>
      <c r="C65" s="1344"/>
      <c r="D65" s="1344"/>
      <c r="E65" s="1344"/>
      <c r="F65" s="1344"/>
      <c r="G65" s="1344"/>
      <c r="H65" s="1344"/>
      <c r="I65" s="1344"/>
      <c r="J65" s="1344"/>
      <c r="K65" s="1395"/>
      <c r="L65" s="1396"/>
      <c r="M65" s="1397"/>
      <c r="N65" s="1365"/>
      <c r="O65" s="1365"/>
      <c r="P65" s="1644"/>
      <c r="Q65" s="1292"/>
      <c r="R65" s="1187"/>
      <c r="S65" s="1187"/>
      <c r="T65" s="1187"/>
      <c r="U65" s="1187"/>
      <c r="V65" s="1187"/>
      <c r="W65" s="1187"/>
      <c r="X65" s="1187"/>
      <c r="Y65" s="1187"/>
      <c r="Z65" s="1187"/>
      <c r="AA65" s="1187"/>
      <c r="AB65" s="1187"/>
      <c r="AC65" s="1187"/>
    </row>
    <row r="66" spans="1:29" ht="15">
      <c r="A66" s="1318"/>
      <c r="B66" s="1322"/>
      <c r="C66" s="964"/>
      <c r="D66" s="964"/>
      <c r="E66" s="964"/>
      <c r="F66" s="964"/>
      <c r="G66" s="964"/>
      <c r="H66" s="964"/>
      <c r="I66" s="964"/>
      <c r="J66" s="964"/>
      <c r="K66" s="964"/>
      <c r="L66" s="964"/>
      <c r="M66" s="1367"/>
      <c r="N66" s="1368"/>
      <c r="O66" s="1368"/>
      <c r="P66" s="1644"/>
      <c r="Q66" s="1292"/>
      <c r="R66" s="1187"/>
      <c r="S66" s="1187"/>
      <c r="T66" s="1187"/>
      <c r="U66" s="1187"/>
      <c r="V66" s="1187"/>
      <c r="W66" s="1187"/>
      <c r="X66" s="1187"/>
      <c r="Y66" s="1187"/>
      <c r="Z66" s="1187"/>
      <c r="AA66" s="1187"/>
      <c r="AB66" s="1187"/>
      <c r="AC66" s="1187"/>
    </row>
    <row r="67" spans="1:29" ht="15">
      <c r="A67" s="1318"/>
      <c r="B67" s="1324" t="s">
        <v>1353</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3" t="str">
        <f>M68&amp;"（含）"&amp;"-"&amp;P68</f>
        <v>（含）-</v>
      </c>
      <c r="N67" s="1368"/>
      <c r="O67" s="1368"/>
      <c r="P67" s="1644"/>
      <c r="Q67" s="1292"/>
      <c r="R67" s="1187"/>
      <c r="S67" s="1187"/>
      <c r="T67" s="1187"/>
      <c r="U67" s="1187"/>
      <c r="V67" s="1187"/>
      <c r="W67" s="1187"/>
      <c r="X67" s="1187"/>
      <c r="Y67" s="1187"/>
      <c r="Z67" s="1187"/>
      <c r="AA67" s="1187"/>
      <c r="AB67" s="1187"/>
      <c r="AC67" s="1187"/>
    </row>
    <row r="68" spans="1:29" ht="15">
      <c r="A68" s="1318"/>
      <c r="B68" s="1326"/>
      <c r="C68" s="1118"/>
      <c r="D68" s="1118"/>
      <c r="E68" s="1118"/>
      <c r="F68" s="1118"/>
      <c r="G68" s="1118"/>
      <c r="H68" s="1118"/>
      <c r="I68" s="1118"/>
      <c r="J68" s="1118"/>
      <c r="K68" s="1373"/>
      <c r="L68" s="1374"/>
      <c r="M68" s="1375"/>
      <c r="N68" s="1365"/>
      <c r="O68" s="1365"/>
      <c r="P68" s="1644"/>
      <c r="Q68" s="1292"/>
      <c r="R68" s="1187"/>
      <c r="S68" s="1187"/>
      <c r="T68" s="1187"/>
      <c r="U68" s="1187"/>
      <c r="V68" s="1187"/>
      <c r="W68" s="1187"/>
      <c r="X68" s="1187"/>
      <c r="Y68" s="1187"/>
      <c r="Z68" s="1187"/>
      <c r="AA68" s="1187"/>
      <c r="AB68" s="1187"/>
      <c r="AC68" s="1187"/>
    </row>
    <row r="69" spans="1:29" ht="15">
      <c r="A69" s="1318"/>
      <c r="B69" s="1319"/>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2">
        <f t="shared" si="18"/>
        <v>100</v>
      </c>
      <c r="N69" s="1368"/>
      <c r="O69" s="1368"/>
      <c r="P69" s="1644"/>
      <c r="Q69" s="1292"/>
      <c r="R69" s="1187"/>
      <c r="S69" s="1187"/>
      <c r="T69" s="1187"/>
      <c r="U69" s="1187"/>
      <c r="V69" s="1187"/>
      <c r="W69" s="1187"/>
      <c r="X69" s="1187"/>
      <c r="Y69" s="1187"/>
      <c r="Z69" s="1187"/>
      <c r="AA69" s="1187"/>
      <c r="AB69" s="1187"/>
      <c r="AC69" s="1187"/>
    </row>
    <row r="70" spans="1:29" s="1073" customFormat="1" ht="15">
      <c r="A70" s="1327"/>
      <c r="B70" s="1320">
        <f>B12</f>
        <v>111</v>
      </c>
      <c r="C70" s="1328"/>
      <c r="D70" s="1328"/>
      <c r="E70" s="1328"/>
      <c r="F70" s="1328"/>
      <c r="G70" s="1328"/>
      <c r="H70" s="1329"/>
      <c r="I70" s="1329"/>
      <c r="J70" s="1329"/>
      <c r="K70" s="1329"/>
      <c r="L70" s="1376"/>
      <c r="M70" s="1377"/>
      <c r="N70" s="1378"/>
      <c r="O70" s="1378"/>
      <c r="P70" s="1650"/>
      <c r="Q70" s="1410"/>
      <c r="R70" s="1411"/>
      <c r="S70" s="1411"/>
      <c r="T70" s="1411"/>
      <c r="U70" s="1411"/>
      <c r="V70" s="1411"/>
      <c r="W70" s="1411"/>
      <c r="X70" s="1411"/>
      <c r="Y70" s="1411"/>
      <c r="Z70" s="1411"/>
      <c r="AA70" s="1411"/>
      <c r="AB70" s="1411"/>
      <c r="AC70" s="1411"/>
    </row>
    <row r="71" spans="1:29" s="1073" customFormat="1" ht="15">
      <c r="A71" s="1327"/>
      <c r="B71" s="1322"/>
      <c r="C71" s="963"/>
      <c r="D71" s="964"/>
      <c r="E71" s="964"/>
      <c r="F71" s="964"/>
      <c r="G71" s="964"/>
      <c r="H71" s="964"/>
      <c r="I71" s="964"/>
      <c r="J71" s="964"/>
      <c r="K71" s="964"/>
      <c r="L71" s="964"/>
      <c r="M71" s="1367"/>
      <c r="N71" s="1368"/>
      <c r="O71" s="1368"/>
      <c r="P71" s="1650"/>
      <c r="Q71" s="1410"/>
      <c r="R71" s="1411"/>
      <c r="S71" s="1411"/>
      <c r="T71" s="1411"/>
      <c r="U71" s="1411"/>
      <c r="V71" s="1411"/>
      <c r="W71" s="1411"/>
      <c r="X71" s="1411"/>
      <c r="Y71" s="1411"/>
      <c r="Z71" s="1411"/>
      <c r="AA71" s="1411"/>
      <c r="AB71" s="1411"/>
      <c r="AC71" s="1411"/>
    </row>
    <row r="72" spans="1:29" s="1073" customFormat="1" ht="15">
      <c r="A72" s="1327"/>
      <c r="B72" s="1320">
        <f>B13</f>
        <v>111</v>
      </c>
      <c r="C72" s="1328"/>
      <c r="D72" s="1328"/>
      <c r="E72" s="1328"/>
      <c r="F72" s="1328"/>
      <c r="G72" s="1328"/>
      <c r="H72" s="1329"/>
      <c r="I72" s="1329"/>
      <c r="J72" s="1329"/>
      <c r="K72" s="1329"/>
      <c r="L72" s="1376"/>
      <c r="M72" s="1377"/>
      <c r="N72" s="1378"/>
      <c r="O72" s="1378"/>
      <c r="P72" s="1651"/>
      <c r="Q72" s="1412"/>
      <c r="R72" s="1411"/>
      <c r="S72" s="1411"/>
      <c r="T72" s="1411"/>
      <c r="U72" s="1411"/>
      <c r="V72" s="1411"/>
      <c r="W72" s="1411"/>
      <c r="X72" s="1411"/>
      <c r="Y72" s="1411"/>
      <c r="Z72" s="1411"/>
      <c r="AA72" s="1411"/>
      <c r="AB72" s="1411"/>
      <c r="AC72" s="1411"/>
    </row>
    <row r="73" spans="1:29" s="1073" customFormat="1" ht="15">
      <c r="A73" s="1327"/>
      <c r="B73" s="1322"/>
      <c r="C73" s="963"/>
      <c r="D73" s="964"/>
      <c r="E73" s="964"/>
      <c r="F73" s="964"/>
      <c r="G73" s="963"/>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3" customFormat="1" ht="15">
      <c r="A74" s="1327"/>
      <c r="B74" s="1324">
        <f>B14</f>
        <v>111</v>
      </c>
      <c r="C74" s="1328"/>
      <c r="D74" s="1328"/>
      <c r="E74" s="1328"/>
      <c r="F74" s="1328"/>
      <c r="G74" s="1313"/>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3"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6" t="s">
        <v>1354</v>
      </c>
      <c r="B76" s="1317" t="s">
        <v>1555</v>
      </c>
      <c r="C76" s="1336" t="s">
        <v>1396</v>
      </c>
      <c r="D76" s="1336" t="s">
        <v>1397</v>
      </c>
      <c r="E76" s="1336" t="s">
        <v>1398</v>
      </c>
      <c r="F76" s="1336" t="s">
        <v>1399</v>
      </c>
      <c r="G76" s="1336" t="s">
        <v>1400</v>
      </c>
      <c r="H76" s="1337"/>
      <c r="I76" s="1337"/>
      <c r="J76" s="1337"/>
      <c r="K76" s="1385"/>
      <c r="L76" s="1386"/>
      <c r="M76" s="1387"/>
      <c r="N76" s="1365"/>
      <c r="O76" s="1365"/>
      <c r="P76" s="1653"/>
      <c r="Q76" s="1292"/>
      <c r="R76" s="1187"/>
      <c r="S76" s="1187"/>
      <c r="T76" s="1187"/>
      <c r="U76" s="1187"/>
      <c r="V76" s="1187"/>
      <c r="W76" s="1187"/>
      <c r="X76" s="1187"/>
      <c r="Y76" s="1187"/>
      <c r="Z76" s="1187"/>
      <c r="AA76" s="1187"/>
      <c r="AB76" s="1187"/>
      <c r="AC76" s="1187"/>
    </row>
    <row r="77" spans="1:29" ht="15">
      <c r="A77" s="1318"/>
      <c r="B77" s="1322"/>
      <c r="C77" s="1323">
        <v>100</v>
      </c>
      <c r="D77" s="1323">
        <f>C77-$K15</f>
        <v>100</v>
      </c>
      <c r="E77" s="1323">
        <f>D77-$K15</f>
        <v>100</v>
      </c>
      <c r="F77" s="1323">
        <f>E77-$K15</f>
        <v>100</v>
      </c>
      <c r="G77" s="1323">
        <f>F77-$K15</f>
        <v>100</v>
      </c>
      <c r="H77" s="1323"/>
      <c r="I77" s="1323"/>
      <c r="J77" s="1323"/>
      <c r="K77" s="1323"/>
      <c r="L77" s="1323"/>
      <c r="M77" s="1372"/>
      <c r="N77" s="1368"/>
      <c r="O77" s="1368"/>
      <c r="P77" s="1644"/>
      <c r="Q77" s="1292"/>
      <c r="R77" s="1187"/>
      <c r="S77" s="1187"/>
      <c r="T77" s="1187"/>
      <c r="U77" s="1187"/>
      <c r="V77" s="1187"/>
      <c r="W77" s="1187"/>
      <c r="X77" s="1187"/>
      <c r="Y77" s="1187"/>
      <c r="Z77" s="1187"/>
      <c r="AA77" s="1187"/>
      <c r="AB77" s="1187"/>
      <c r="AC77" s="1187"/>
    </row>
    <row r="78" spans="1:29" ht="15">
      <c r="A78" s="1318"/>
      <c r="B78" s="1320" t="s">
        <v>1358</v>
      </c>
      <c r="C78" s="1338" t="s">
        <v>1396</v>
      </c>
      <c r="D78" s="1338" t="s">
        <v>1397</v>
      </c>
      <c r="E78" s="1338" t="s">
        <v>1398</v>
      </c>
      <c r="F78" s="1338" t="s">
        <v>1399</v>
      </c>
      <c r="G78" s="1338" t="s">
        <v>1400</v>
      </c>
      <c r="H78" s="1321"/>
      <c r="I78" s="1321"/>
      <c r="J78" s="1321"/>
      <c r="K78" s="1369"/>
      <c r="L78" s="1370"/>
      <c r="M78" s="1371"/>
      <c r="N78" s="1365"/>
      <c r="O78" s="1365"/>
      <c r="P78" s="1644"/>
      <c r="Q78" s="1292"/>
      <c r="R78" s="1187"/>
      <c r="S78" s="1187"/>
      <c r="T78" s="1187"/>
      <c r="U78" s="1187"/>
      <c r="V78" s="1187"/>
      <c r="W78" s="1187"/>
      <c r="X78" s="1187"/>
      <c r="Y78" s="1187"/>
      <c r="Z78" s="1187"/>
      <c r="AA78" s="1187"/>
      <c r="AB78" s="1187"/>
      <c r="AC78" s="1187"/>
    </row>
    <row r="79" spans="1:29" ht="15">
      <c r="A79" s="1318"/>
      <c r="B79" s="1322"/>
      <c r="C79" s="1323">
        <v>100</v>
      </c>
      <c r="D79" s="1323">
        <f>C79-$K17</f>
        <v>100</v>
      </c>
      <c r="E79" s="1323">
        <f>D79-$K17</f>
        <v>100</v>
      </c>
      <c r="F79" s="1323">
        <f>E79-$K17</f>
        <v>100</v>
      </c>
      <c r="G79" s="1323">
        <f>F79-$K17</f>
        <v>100</v>
      </c>
      <c r="H79" s="1323"/>
      <c r="I79" s="1323"/>
      <c r="J79" s="1323"/>
      <c r="K79" s="1323"/>
      <c r="L79" s="1323"/>
      <c r="M79" s="1372"/>
      <c r="N79" s="1368"/>
      <c r="O79" s="1368"/>
      <c r="P79" s="1644"/>
      <c r="Q79" s="1292"/>
      <c r="R79" s="1187"/>
      <c r="S79" s="1187"/>
      <c r="T79" s="1187"/>
      <c r="U79" s="1187"/>
      <c r="V79" s="1187"/>
      <c r="W79" s="1187"/>
      <c r="X79" s="1187"/>
      <c r="Y79" s="1187"/>
      <c r="Z79" s="1187"/>
      <c r="AA79" s="1187"/>
      <c r="AB79" s="1187"/>
      <c r="AC79" s="1187"/>
    </row>
    <row r="80" spans="1:29" ht="15">
      <c r="A80" s="1318"/>
      <c r="B80" s="1320" t="s">
        <v>1359</v>
      </c>
      <c r="C80" s="1338" t="s">
        <v>1396</v>
      </c>
      <c r="D80" s="1338" t="s">
        <v>1397</v>
      </c>
      <c r="E80" s="1338" t="s">
        <v>1398</v>
      </c>
      <c r="F80" s="1338" t="s">
        <v>1399</v>
      </c>
      <c r="G80" s="1338" t="s">
        <v>1400</v>
      </c>
      <c r="H80" s="1321"/>
      <c r="I80" s="1321"/>
      <c r="J80" s="1321"/>
      <c r="K80" s="1369"/>
      <c r="L80" s="1370"/>
      <c r="M80" s="1371"/>
      <c r="N80" s="1365"/>
      <c r="O80" s="1365"/>
      <c r="P80" s="1644"/>
      <c r="Q80" s="1292"/>
      <c r="R80" s="1187"/>
      <c r="S80" s="1187"/>
      <c r="T80" s="1187"/>
      <c r="U80" s="1187"/>
      <c r="V80" s="1187"/>
      <c r="W80" s="1187"/>
      <c r="X80" s="1187"/>
      <c r="Y80" s="1187"/>
      <c r="Z80" s="1187"/>
      <c r="AA80" s="1187"/>
      <c r="AB80" s="1187"/>
      <c r="AC80" s="1187"/>
    </row>
    <row r="81" spans="1:29" ht="15">
      <c r="A81" s="1318"/>
      <c r="B81" s="1322"/>
      <c r="C81" s="1323">
        <v>100</v>
      </c>
      <c r="D81" s="1323">
        <f>C81-$K19</f>
        <v>100</v>
      </c>
      <c r="E81" s="1323">
        <f>D81-$K19</f>
        <v>100</v>
      </c>
      <c r="F81" s="1323">
        <f>E81-$K19</f>
        <v>100</v>
      </c>
      <c r="G81" s="1323">
        <f>F81-$K19</f>
        <v>100</v>
      </c>
      <c r="H81" s="1323"/>
      <c r="I81" s="1323"/>
      <c r="J81" s="1323"/>
      <c r="K81" s="1323"/>
      <c r="L81" s="1323"/>
      <c r="M81" s="1372"/>
      <c r="N81" s="1368"/>
      <c r="O81" s="1368"/>
      <c r="P81" s="1644"/>
      <c r="Q81" s="1292"/>
      <c r="R81" s="1187"/>
      <c r="S81" s="1187"/>
      <c r="T81" s="1187"/>
      <c r="U81" s="1187"/>
      <c r="V81" s="1187"/>
      <c r="W81" s="1187"/>
      <c r="X81" s="1187"/>
      <c r="Y81" s="1187"/>
      <c r="Z81" s="1187"/>
      <c r="AA81" s="1187"/>
      <c r="AB81" s="1187"/>
      <c r="AC81" s="1187"/>
    </row>
    <row r="82" spans="1:29" ht="15">
      <c r="A82" s="1318"/>
      <c r="B82" s="1324" t="s">
        <v>1360</v>
      </c>
      <c r="C82" s="1343" t="s">
        <v>1401</v>
      </c>
      <c r="D82" s="1343" t="s">
        <v>1402</v>
      </c>
      <c r="E82" s="1343" t="s">
        <v>1403</v>
      </c>
      <c r="F82" s="1343" t="s">
        <v>1404</v>
      </c>
      <c r="G82" s="1343" t="s">
        <v>1405</v>
      </c>
      <c r="H82" s="1321"/>
      <c r="I82" s="1321"/>
      <c r="J82" s="1321"/>
      <c r="K82" s="1321"/>
      <c r="L82" s="1321"/>
      <c r="M82" s="1516"/>
      <c r="N82" s="1368"/>
      <c r="O82" s="1368"/>
      <c r="P82" s="1644"/>
      <c r="Q82" s="1292"/>
      <c r="R82" s="1187"/>
      <c r="S82" s="1187"/>
      <c r="T82" s="1187"/>
      <c r="U82" s="1187"/>
      <c r="V82" s="1187"/>
      <c r="W82" s="1187"/>
      <c r="X82" s="1187"/>
      <c r="Y82" s="1187"/>
      <c r="Z82" s="1187"/>
      <c r="AA82" s="1187"/>
      <c r="AB82" s="1187"/>
      <c r="AC82" s="1187"/>
    </row>
    <row r="83" spans="1:29" ht="15">
      <c r="A83" s="1318"/>
      <c r="B83" s="1324"/>
      <c r="C83" s="1323">
        <v>100</v>
      </c>
      <c r="D83" s="1323">
        <f>C83-$K21</f>
        <v>100</v>
      </c>
      <c r="E83" s="1323">
        <f t="shared" ref="E83:G83" si="19">D83-$K21</f>
        <v>100</v>
      </c>
      <c r="F83" s="1323">
        <f t="shared" si="19"/>
        <v>100</v>
      </c>
      <c r="G83" s="1323">
        <f t="shared" si="19"/>
        <v>100</v>
      </c>
      <c r="H83" s="1343"/>
      <c r="I83" s="1343"/>
      <c r="J83" s="1343"/>
      <c r="K83" s="1343"/>
      <c r="L83" s="1343"/>
      <c r="M83" s="1135"/>
      <c r="N83" s="1368"/>
      <c r="O83" s="1368"/>
      <c r="P83" s="1644"/>
      <c r="Q83" s="1292"/>
      <c r="R83" s="1187"/>
      <c r="S83" s="1187"/>
      <c r="T83" s="1187"/>
      <c r="U83" s="1187"/>
      <c r="V83" s="1187"/>
      <c r="W83" s="1187"/>
      <c r="X83" s="1187"/>
      <c r="Y83" s="1187"/>
      <c r="Z83" s="1187"/>
      <c r="AA83" s="1187"/>
      <c r="AB83" s="1187"/>
      <c r="AC83" s="1187"/>
    </row>
    <row r="84" spans="1:29" ht="15">
      <c r="A84" s="1318"/>
      <c r="B84" s="1320" t="s">
        <v>1556</v>
      </c>
      <c r="C84" s="1338" t="s">
        <v>1396</v>
      </c>
      <c r="D84" s="1338" t="s">
        <v>1397</v>
      </c>
      <c r="E84" s="1338" t="s">
        <v>1398</v>
      </c>
      <c r="F84" s="1338" t="s">
        <v>1399</v>
      </c>
      <c r="G84" s="1338" t="s">
        <v>1400</v>
      </c>
      <c r="H84" s="1321"/>
      <c r="I84" s="1321"/>
      <c r="J84" s="1321"/>
      <c r="K84" s="1369"/>
      <c r="L84" s="1370"/>
      <c r="M84" s="1371"/>
      <c r="N84" s="1365"/>
      <c r="O84" s="1365"/>
      <c r="P84" s="1644"/>
      <c r="Q84" s="1292"/>
      <c r="R84" s="1187"/>
      <c r="S84" s="1187"/>
      <c r="T84" s="1187"/>
      <c r="U84" s="1187"/>
      <c r="V84" s="1187"/>
      <c r="W84" s="1187"/>
      <c r="X84" s="1187"/>
      <c r="Y84" s="1187"/>
      <c r="Z84" s="1187"/>
      <c r="AA84" s="1187"/>
      <c r="AB84" s="1187"/>
      <c r="AC84" s="1187"/>
    </row>
    <row r="85" spans="1:29" ht="15">
      <c r="A85" s="1318"/>
      <c r="B85" s="1322"/>
      <c r="C85" s="1323">
        <v>100</v>
      </c>
      <c r="D85" s="1323">
        <f>C85-$K23</f>
        <v>100</v>
      </c>
      <c r="E85" s="1323">
        <f>D85-$K23</f>
        <v>100</v>
      </c>
      <c r="F85" s="1323">
        <f>E85-$K23</f>
        <v>100</v>
      </c>
      <c r="G85" s="1323">
        <f>F85-$K23</f>
        <v>100</v>
      </c>
      <c r="H85" s="1323"/>
      <c r="I85" s="1323"/>
      <c r="J85" s="1323"/>
      <c r="K85" s="1323"/>
      <c r="L85" s="1323"/>
      <c r="M85" s="1372"/>
      <c r="N85" s="1368"/>
      <c r="O85" s="1368"/>
      <c r="P85" s="1644"/>
      <c r="Q85" s="1292"/>
      <c r="R85" s="1187"/>
      <c r="S85" s="1187"/>
      <c r="T85" s="1187"/>
      <c r="U85" s="1187"/>
      <c r="V85" s="1187"/>
      <c r="W85" s="1187"/>
      <c r="X85" s="1187"/>
      <c r="Y85" s="1187"/>
      <c r="Z85" s="1187"/>
      <c r="AA85" s="1187"/>
      <c r="AB85" s="1187"/>
      <c r="AC85" s="1187"/>
    </row>
    <row r="86" spans="1:29" s="1071" customFormat="1" ht="15">
      <c r="A86" s="1339"/>
      <c r="B86" s="1320" t="s">
        <v>1583</v>
      </c>
      <c r="C86" s="1328"/>
      <c r="D86" s="1328"/>
      <c r="E86" s="1328"/>
      <c r="F86" s="1328"/>
      <c r="G86" s="1328"/>
      <c r="H86" s="1328"/>
      <c r="I86" s="1328"/>
      <c r="J86" s="1328"/>
      <c r="K86" s="1328"/>
      <c r="L86" s="1517"/>
      <c r="M86" s="1518"/>
      <c r="N86" s="1359"/>
      <c r="O86" s="1359"/>
      <c r="P86" s="1644"/>
      <c r="Q86" s="1292"/>
      <c r="R86" s="1409"/>
      <c r="S86" s="1409"/>
      <c r="T86" s="1409"/>
      <c r="U86" s="1409"/>
      <c r="V86" s="1409"/>
      <c r="W86" s="1409"/>
      <c r="X86" s="1409"/>
      <c r="Y86" s="1409"/>
      <c r="Z86" s="1409"/>
      <c r="AA86" s="1409"/>
      <c r="AB86" s="1409"/>
      <c r="AC86" s="1409"/>
    </row>
    <row r="87" spans="1:29" s="1071" customFormat="1" ht="15">
      <c r="A87" s="1339"/>
      <c r="B87" s="1322"/>
      <c r="C87" s="1340">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8"/>
      <c r="O87" s="1368"/>
      <c r="P87" s="1644"/>
      <c r="Q87" s="1292"/>
      <c r="R87" s="1409"/>
      <c r="S87" s="1409"/>
      <c r="T87" s="1409"/>
      <c r="U87" s="1409"/>
      <c r="V87" s="1409"/>
      <c r="W87" s="1409"/>
      <c r="X87" s="1409"/>
      <c r="Y87" s="1409"/>
      <c r="Z87" s="1409"/>
      <c r="AA87" s="1409"/>
      <c r="AB87" s="1409"/>
      <c r="AC87" s="1409"/>
    </row>
    <row r="88" spans="1:29" s="1071" customFormat="1" ht="15">
      <c r="A88" s="1339"/>
      <c r="B88" s="1320" t="str">
        <f>B26</f>
        <v>平面位置/可视性</v>
      </c>
      <c r="C88" s="1328"/>
      <c r="D88" s="1328"/>
      <c r="E88" s="1328"/>
      <c r="F88" s="1648"/>
      <c r="G88" s="1328"/>
      <c r="H88" s="1328"/>
      <c r="I88" s="1328"/>
      <c r="J88" s="1328"/>
      <c r="K88" s="1328"/>
      <c r="L88" s="1328"/>
      <c r="M88" s="1518"/>
      <c r="N88" s="1359"/>
      <c r="O88" s="1359"/>
      <c r="P88" s="1644"/>
      <c r="Q88" s="1292"/>
      <c r="R88" s="1409"/>
      <c r="S88" s="1409"/>
      <c r="T88" s="1409"/>
      <c r="U88" s="1409"/>
      <c r="V88" s="1409"/>
      <c r="W88" s="1409"/>
      <c r="X88" s="1409"/>
      <c r="Y88" s="1409"/>
      <c r="Z88" s="1409"/>
      <c r="AA88" s="1409"/>
      <c r="AB88" s="1409"/>
      <c r="AC88" s="1409"/>
    </row>
    <row r="89" spans="1:29" s="1071" customFormat="1" ht="15">
      <c r="A89" s="1339"/>
      <c r="B89" s="1322"/>
      <c r="C89" s="963"/>
      <c r="D89" s="964"/>
      <c r="E89" s="964"/>
      <c r="F89" s="964"/>
      <c r="G89" s="964"/>
      <c r="H89" s="964"/>
      <c r="I89" s="964"/>
      <c r="J89" s="964"/>
      <c r="K89" s="964"/>
      <c r="L89" s="964"/>
      <c r="M89" s="964"/>
      <c r="N89" s="1368"/>
      <c r="O89" s="1368"/>
      <c r="P89" s="1644"/>
      <c r="Q89" s="1292"/>
      <c r="R89" s="1409"/>
      <c r="S89" s="1409"/>
      <c r="T89" s="1409"/>
      <c r="U89" s="1409"/>
      <c r="V89" s="1409"/>
      <c r="W89" s="1409"/>
      <c r="X89" s="1409"/>
      <c r="Y89" s="1409"/>
      <c r="Z89" s="1409"/>
      <c r="AA89" s="1409"/>
      <c r="AB89" s="1409"/>
      <c r="AC89" s="1409"/>
    </row>
    <row r="90" spans="1:29" s="1073" customFormat="1" ht="15">
      <c r="A90" s="1327"/>
      <c r="B90" s="1320" t="str">
        <f>B27</f>
        <v>人流量</v>
      </c>
      <c r="C90" s="1328"/>
      <c r="D90" s="1328"/>
      <c r="E90" s="1328"/>
      <c r="F90" s="1328"/>
      <c r="G90" s="1328"/>
      <c r="H90" s="1329"/>
      <c r="I90" s="1329"/>
      <c r="J90" s="1329"/>
      <c r="K90" s="1329"/>
      <c r="L90" s="1376"/>
      <c r="M90" s="1377"/>
      <c r="N90" s="1378"/>
      <c r="O90" s="1378"/>
      <c r="P90" s="1650"/>
      <c r="Q90" s="1410"/>
      <c r="R90" s="1411"/>
      <c r="S90" s="1411"/>
      <c r="T90" s="1411"/>
      <c r="U90" s="1411"/>
      <c r="V90" s="1411"/>
      <c r="W90" s="1411"/>
      <c r="X90" s="1411"/>
      <c r="Y90" s="1411"/>
      <c r="Z90" s="1411"/>
      <c r="AA90" s="1411"/>
      <c r="AB90" s="1411"/>
      <c r="AC90" s="1411"/>
    </row>
    <row r="91" spans="1:29" s="1073" customFormat="1" ht="15">
      <c r="A91" s="1327"/>
      <c r="B91" s="1322"/>
      <c r="C91" s="1340">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8"/>
      <c r="O91" s="1378"/>
      <c r="P91" s="1650"/>
      <c r="Q91" s="1410"/>
      <c r="R91" s="1411"/>
      <c r="S91" s="1411"/>
      <c r="T91" s="1411"/>
      <c r="U91" s="1411"/>
      <c r="V91" s="1411"/>
      <c r="W91" s="1411"/>
      <c r="X91" s="1411"/>
      <c r="Y91" s="1411"/>
      <c r="Z91" s="1411"/>
      <c r="AA91" s="1411"/>
      <c r="AB91" s="1411"/>
      <c r="AC91" s="1411"/>
    </row>
    <row r="92" spans="1:29" ht="15">
      <c r="A92" s="1318"/>
      <c r="B92" s="1320" t="str">
        <f>B28</f>
        <v>楼层</v>
      </c>
      <c r="C92" s="1328"/>
      <c r="D92" s="1328"/>
      <c r="E92" s="1328"/>
      <c r="F92" s="1328"/>
      <c r="G92" s="1328"/>
      <c r="H92" s="1328"/>
      <c r="I92" s="1328"/>
      <c r="J92" s="1328"/>
      <c r="K92" s="1328"/>
      <c r="L92" s="1517"/>
      <c r="M92" s="1518"/>
      <c r="N92" s="1365"/>
      <c r="O92" s="1365"/>
      <c r="P92" s="1644"/>
      <c r="Q92" s="1292"/>
      <c r="R92" s="1187"/>
      <c r="S92" s="1187"/>
      <c r="T92" s="1187"/>
      <c r="U92" s="1187"/>
      <c r="V92" s="1187"/>
      <c r="W92" s="1187"/>
      <c r="X92" s="1187"/>
      <c r="Y92" s="1187"/>
      <c r="Z92" s="1187"/>
      <c r="AA92" s="1187"/>
      <c r="AB92" s="1187"/>
      <c r="AC92" s="1187"/>
    </row>
    <row r="93" spans="1:29" ht="15">
      <c r="A93" s="1318"/>
      <c r="B93" s="1322"/>
      <c r="C93" s="964"/>
      <c r="D93" s="964"/>
      <c r="E93" s="964"/>
      <c r="F93" s="964"/>
      <c r="G93" s="964"/>
      <c r="H93" s="964"/>
      <c r="I93" s="964"/>
      <c r="J93" s="964"/>
      <c r="K93" s="964"/>
      <c r="L93" s="964"/>
      <c r="M93" s="1367"/>
      <c r="N93" s="1368"/>
      <c r="O93" s="1368"/>
      <c r="P93" s="1644"/>
      <c r="Q93" s="1292"/>
      <c r="R93" s="1187"/>
      <c r="S93" s="1187"/>
      <c r="T93" s="1187"/>
      <c r="U93" s="1187"/>
      <c r="V93" s="1187"/>
      <c r="W93" s="1187"/>
      <c r="X93" s="1187"/>
      <c r="Y93" s="1187"/>
      <c r="Z93" s="1187"/>
      <c r="AA93" s="1187"/>
      <c r="AB93" s="1187"/>
      <c r="AC93" s="1187"/>
    </row>
    <row r="94" spans="1:29" ht="15">
      <c r="A94" s="1318"/>
      <c r="B94" s="1320">
        <f>B29</f>
        <v>111</v>
      </c>
      <c r="C94" s="1328"/>
      <c r="D94" s="1328"/>
      <c r="E94" s="1328"/>
      <c r="F94" s="1328"/>
      <c r="G94" s="1344"/>
      <c r="H94" s="1344"/>
      <c r="I94" s="1344"/>
      <c r="J94" s="1344"/>
      <c r="K94" s="1395"/>
      <c r="L94" s="1396"/>
      <c r="M94" s="1397"/>
      <c r="N94" s="1365"/>
      <c r="O94" s="1365"/>
      <c r="P94" s="1644"/>
      <c r="Q94" s="1292"/>
      <c r="R94" s="1187"/>
      <c r="S94" s="1187"/>
      <c r="T94" s="1187"/>
      <c r="U94" s="1187"/>
      <c r="V94" s="1187"/>
      <c r="W94" s="1187"/>
      <c r="X94" s="1187"/>
      <c r="Y94" s="1187"/>
      <c r="Z94" s="1187"/>
      <c r="AA94" s="1187"/>
      <c r="AB94" s="1187"/>
      <c r="AC94" s="1187"/>
    </row>
    <row r="95" spans="1:29" ht="15">
      <c r="A95" s="1318"/>
      <c r="B95" s="1322"/>
      <c r="C95" s="963"/>
      <c r="D95" s="964"/>
      <c r="E95" s="964"/>
      <c r="F95" s="964"/>
      <c r="G95" s="964"/>
      <c r="H95" s="964"/>
      <c r="I95" s="964"/>
      <c r="J95" s="964"/>
      <c r="K95" s="964"/>
      <c r="L95" s="964"/>
      <c r="M95" s="1367"/>
      <c r="N95" s="1368"/>
      <c r="O95" s="1368"/>
      <c r="P95" s="1644"/>
      <c r="Q95" s="1292"/>
      <c r="R95" s="1187"/>
      <c r="S95" s="1187"/>
      <c r="T95" s="1187"/>
      <c r="U95" s="1187"/>
      <c r="V95" s="1187"/>
      <c r="W95" s="1187"/>
      <c r="X95" s="1187"/>
      <c r="Y95" s="1187"/>
      <c r="Z95" s="1187"/>
      <c r="AA95" s="1187"/>
      <c r="AB95" s="1187"/>
      <c r="AC95" s="1187"/>
    </row>
    <row r="96" spans="1:29" ht="15">
      <c r="A96" s="1318"/>
      <c r="B96" s="1320">
        <f>B30</f>
        <v>111</v>
      </c>
      <c r="C96" s="1328"/>
      <c r="D96" s="1328"/>
      <c r="E96" s="1328"/>
      <c r="F96" s="1328"/>
      <c r="G96" s="1344"/>
      <c r="H96" s="1344"/>
      <c r="I96" s="1344"/>
      <c r="J96" s="1344"/>
      <c r="K96" s="1395"/>
      <c r="L96" s="1396"/>
      <c r="M96" s="1397"/>
      <c r="N96" s="1365"/>
      <c r="O96" s="1365"/>
      <c r="P96" s="1644"/>
      <c r="Q96" s="1292"/>
      <c r="R96" s="1187"/>
      <c r="S96" s="1187"/>
      <c r="T96" s="1187"/>
      <c r="U96" s="1187"/>
      <c r="V96" s="1187"/>
      <c r="W96" s="1187"/>
      <c r="X96" s="1187"/>
      <c r="Y96" s="1187"/>
      <c r="Z96" s="1187"/>
      <c r="AA96" s="1187"/>
      <c r="AB96" s="1187"/>
      <c r="AC96" s="1187"/>
    </row>
    <row r="97" spans="1:29" ht="15">
      <c r="A97" s="1318"/>
      <c r="B97" s="1322"/>
      <c r="C97" s="963"/>
      <c r="D97" s="964"/>
      <c r="E97" s="964"/>
      <c r="F97" s="964"/>
      <c r="G97" s="964"/>
      <c r="H97" s="964"/>
      <c r="I97" s="964"/>
      <c r="J97" s="964"/>
      <c r="K97" s="964"/>
      <c r="L97" s="964"/>
      <c r="M97" s="1367"/>
      <c r="N97" s="1368"/>
      <c r="O97" s="1368"/>
      <c r="P97" s="1644"/>
      <c r="Q97" s="1292"/>
      <c r="R97" s="1187"/>
      <c r="S97" s="1187"/>
      <c r="T97" s="1187"/>
      <c r="U97" s="1187"/>
      <c r="V97" s="1187"/>
      <c r="W97" s="1187"/>
      <c r="X97" s="1187"/>
      <c r="Y97" s="1187"/>
      <c r="Z97" s="1187"/>
      <c r="AA97" s="1187"/>
      <c r="AB97" s="1187"/>
      <c r="AC97" s="1187"/>
    </row>
    <row r="98" spans="1:29" ht="15">
      <c r="A98" s="1318"/>
      <c r="B98" s="1324">
        <f>B31</f>
        <v>111</v>
      </c>
      <c r="C98" s="1328"/>
      <c r="D98" s="1328"/>
      <c r="E98" s="1328"/>
      <c r="F98" s="1328"/>
      <c r="G98" s="1345"/>
      <c r="H98" s="1345"/>
      <c r="I98" s="1345"/>
      <c r="J98" s="1345"/>
      <c r="K98" s="1398"/>
      <c r="L98" s="1399"/>
      <c r="M98" s="1400"/>
      <c r="N98" s="1365"/>
      <c r="O98" s="1365"/>
      <c r="P98" s="1644"/>
      <c r="Q98" s="1292"/>
      <c r="R98" s="1187"/>
      <c r="S98" s="1187"/>
      <c r="T98" s="1187"/>
      <c r="U98" s="1187"/>
      <c r="V98" s="1187"/>
      <c r="W98" s="1187"/>
      <c r="X98" s="1187"/>
      <c r="Y98" s="1187"/>
      <c r="Z98" s="1187"/>
      <c r="AA98" s="1187"/>
      <c r="AB98" s="1187"/>
      <c r="AC98" s="1187"/>
    </row>
    <row r="99" spans="1:29" ht="15">
      <c r="A99" s="1618"/>
      <c r="B99" s="1333"/>
      <c r="C99" s="1334"/>
      <c r="D99" s="1334"/>
      <c r="E99" s="1334"/>
      <c r="F99" s="1334"/>
      <c r="G99" s="1346"/>
      <c r="H99" s="1346"/>
      <c r="I99" s="1346"/>
      <c r="J99" s="1346"/>
      <c r="K99" s="1346"/>
      <c r="L99" s="1346"/>
      <c r="M99" s="1401"/>
      <c r="N99" s="1368"/>
      <c r="O99" s="1368"/>
      <c r="P99" s="1644"/>
      <c r="Q99" s="1292"/>
      <c r="R99" s="1187"/>
      <c r="S99" s="1187"/>
      <c r="T99" s="1187"/>
      <c r="U99" s="1187"/>
      <c r="V99" s="1187"/>
      <c r="W99" s="1187"/>
      <c r="X99" s="1187"/>
      <c r="Y99" s="1187"/>
      <c r="Z99" s="1187"/>
      <c r="AA99" s="1187"/>
      <c r="AB99" s="1187"/>
      <c r="AC99" s="1187"/>
    </row>
    <row r="100" spans="1:29">
      <c r="A100" s="1316" t="s">
        <v>1367</v>
      </c>
      <c r="B100" s="1317" t="s">
        <v>1586</v>
      </c>
      <c r="C100" s="1260"/>
      <c r="D100" s="1260"/>
      <c r="E100" s="1260"/>
      <c r="F100" s="1260"/>
      <c r="G100" s="1260"/>
      <c r="H100" s="1260"/>
      <c r="I100" s="1260"/>
      <c r="J100" s="1260"/>
      <c r="K100" s="1362"/>
      <c r="L100" s="1363"/>
      <c r="M100" s="1364"/>
      <c r="N100" s="1365"/>
      <c r="O100" s="1365"/>
      <c r="P100" s="1644"/>
      <c r="Q100" s="1292"/>
      <c r="R100" s="1187"/>
      <c r="S100" s="1187"/>
      <c r="T100" s="1187"/>
      <c r="U100" s="1187"/>
      <c r="V100" s="1187"/>
      <c r="W100" s="1187"/>
      <c r="X100" s="1187"/>
      <c r="Y100" s="1187"/>
      <c r="Z100" s="1187"/>
      <c r="AA100" s="1187"/>
      <c r="AB100" s="1187"/>
      <c r="AC100" s="1187"/>
    </row>
    <row r="101" spans="1:29" ht="15">
      <c r="A101" s="1318"/>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2">
        <f t="shared" si="22"/>
        <v>100</v>
      </c>
      <c r="N101" s="1368"/>
      <c r="O101" s="1368"/>
      <c r="P101" s="1644"/>
      <c r="Q101" s="1292"/>
      <c r="R101" s="1187"/>
      <c r="S101" s="1187"/>
      <c r="T101" s="1187"/>
      <c r="U101" s="1187"/>
      <c r="V101" s="1187"/>
      <c r="W101" s="1187"/>
      <c r="X101" s="1187"/>
      <c r="Y101" s="1187"/>
      <c r="Z101" s="1187"/>
      <c r="AA101" s="1187"/>
      <c r="AB101" s="1187"/>
      <c r="AC101" s="1187"/>
    </row>
    <row r="102" spans="1:29" ht="15">
      <c r="A102" s="1318"/>
      <c r="B102" s="1320" t="s">
        <v>1370</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92"/>
      <c r="R102" s="1187"/>
      <c r="S102" s="1187"/>
      <c r="T102" s="1187"/>
      <c r="U102" s="1187"/>
      <c r="V102" s="1187"/>
      <c r="W102" s="1187"/>
      <c r="X102" s="1187"/>
      <c r="Y102" s="1187"/>
      <c r="Z102" s="1187"/>
      <c r="AA102" s="1187"/>
      <c r="AB102" s="1187"/>
      <c r="AC102" s="1187"/>
    </row>
    <row r="103" spans="1:29" s="1073" customFormat="1">
      <c r="A103" s="1347"/>
      <c r="B103" s="1348"/>
      <c r="C103" s="959"/>
      <c r="D103" s="959"/>
      <c r="E103" s="959"/>
      <c r="F103" s="959"/>
      <c r="G103" s="959"/>
      <c r="H103" s="959"/>
      <c r="I103" s="959"/>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3" customFormat="1" ht="15">
      <c r="A104" s="1327"/>
      <c r="B104" s="1322"/>
      <c r="C104" s="963"/>
      <c r="D104" s="964"/>
      <c r="E104" s="964"/>
      <c r="F104" s="964"/>
      <c r="G104" s="964"/>
      <c r="H104" s="964"/>
      <c r="I104" s="964"/>
      <c r="J104" s="964"/>
      <c r="K104" s="964"/>
      <c r="L104" s="964"/>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20" t="s">
        <v>1371</v>
      </c>
      <c r="C105" s="1328"/>
      <c r="D105" s="1328"/>
      <c r="E105" s="1344"/>
      <c r="F105" s="1344"/>
      <c r="G105" s="1344"/>
      <c r="H105" s="1344"/>
      <c r="I105" s="1344"/>
      <c r="J105" s="1344"/>
      <c r="K105" s="1395"/>
      <c r="L105" s="1396"/>
      <c r="M105" s="1397"/>
      <c r="N105" s="1365"/>
      <c r="O105" s="1365"/>
      <c r="P105" s="1644"/>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2">
        <f t="shared" si="24"/>
        <v>100</v>
      </c>
      <c r="N106" s="1368"/>
      <c r="O106" s="1368"/>
      <c r="P106" s="1644"/>
      <c r="Q106" s="1292"/>
      <c r="R106" s="1187"/>
      <c r="S106" s="1187"/>
      <c r="T106" s="1187"/>
      <c r="U106" s="1187"/>
      <c r="V106" s="1187"/>
      <c r="W106" s="1187"/>
      <c r="X106" s="1187"/>
      <c r="Y106" s="1187"/>
      <c r="Z106" s="1187"/>
      <c r="AA106" s="1187"/>
      <c r="AB106" s="1187"/>
      <c r="AC106" s="1187"/>
    </row>
    <row r="107" spans="1:29">
      <c r="A107" s="1350"/>
      <c r="B107" s="1320" t="s">
        <v>1373</v>
      </c>
      <c r="C107" s="1328"/>
      <c r="D107" s="1328"/>
      <c r="E107" s="1328"/>
      <c r="F107" s="1344"/>
      <c r="G107" s="1344"/>
      <c r="H107" s="1344"/>
      <c r="I107" s="1344"/>
      <c r="J107" s="1344"/>
      <c r="K107" s="1395"/>
      <c r="L107" s="1396"/>
      <c r="M107" s="1397"/>
      <c r="N107" s="1365"/>
      <c r="O107" s="1365"/>
      <c r="P107" s="1644"/>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2">
        <f t="shared" si="25"/>
        <v>100</v>
      </c>
      <c r="N108" s="1368"/>
      <c r="O108" s="1368"/>
      <c r="P108" s="1644"/>
      <c r="Q108" s="1292"/>
      <c r="R108" s="1187"/>
      <c r="S108" s="1187"/>
      <c r="T108" s="1187"/>
      <c r="U108" s="1187"/>
      <c r="V108" s="1187"/>
      <c r="W108" s="1187"/>
      <c r="X108" s="1187"/>
      <c r="Y108" s="1187"/>
      <c r="Z108" s="1187"/>
      <c r="AA108" s="1187"/>
      <c r="AB108" s="1187"/>
      <c r="AC108" s="1187"/>
    </row>
    <row r="109" spans="1:29">
      <c r="A109" s="1350"/>
      <c r="B109" s="1320"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92"/>
      <c r="R109" s="1187"/>
      <c r="S109" s="1187"/>
      <c r="T109" s="1187"/>
      <c r="U109" s="1187"/>
      <c r="V109" s="1187"/>
      <c r="W109" s="1187"/>
      <c r="X109" s="1187"/>
      <c r="Y109" s="1187"/>
      <c r="Z109" s="1187"/>
      <c r="AA109" s="1187"/>
      <c r="AB109" s="1187"/>
      <c r="AC109" s="1187"/>
    </row>
    <row r="110" spans="1:29">
      <c r="A110" s="1350"/>
      <c r="B110" s="1324"/>
      <c r="C110" s="841">
        <v>0.5</v>
      </c>
      <c r="D110" s="841">
        <v>0.6</v>
      </c>
      <c r="E110" s="841">
        <v>0.7</v>
      </c>
      <c r="F110" s="841">
        <v>0.8</v>
      </c>
      <c r="G110" s="841">
        <v>0.9</v>
      </c>
      <c r="H110" s="841">
        <v>1.0001</v>
      </c>
      <c r="I110" s="1578"/>
      <c r="J110" s="1578"/>
      <c r="K110" s="1579"/>
      <c r="L110" s="1580"/>
      <c r="M110" s="1581"/>
      <c r="N110" s="1365"/>
      <c r="O110" s="1365"/>
      <c r="P110" s="1644"/>
      <c r="Q110" s="1292"/>
      <c r="R110" s="1187"/>
      <c r="S110" s="1187"/>
      <c r="T110" s="1187"/>
      <c r="U110" s="1187"/>
      <c r="V110" s="1187"/>
      <c r="W110" s="1187"/>
      <c r="X110" s="1187"/>
      <c r="Y110" s="1187"/>
      <c r="Z110" s="1187"/>
      <c r="AA110" s="1187"/>
      <c r="AB110" s="1187"/>
      <c r="AC110" s="1187"/>
    </row>
    <row r="111" spans="1:29" ht="15">
      <c r="A111" s="1318"/>
      <c r="B111" s="1322"/>
      <c r="C111" s="1340">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8"/>
      <c r="O111" s="1368"/>
      <c r="P111" s="1644"/>
      <c r="Q111" s="1292"/>
      <c r="R111" s="1187"/>
      <c r="S111" s="1187"/>
      <c r="T111" s="1187"/>
      <c r="U111" s="1187"/>
      <c r="V111" s="1187"/>
      <c r="W111" s="1187"/>
      <c r="X111" s="1187"/>
      <c r="Y111" s="1187"/>
      <c r="Z111" s="1187"/>
      <c r="AA111" s="1187"/>
      <c r="AB111" s="1187"/>
      <c r="AC111" s="1187"/>
    </row>
    <row r="112" spans="1:29" s="1073" customFormat="1">
      <c r="A112" s="1347"/>
      <c r="B112" s="1320" t="s">
        <v>1379</v>
      </c>
      <c r="C112" s="1328"/>
      <c r="D112" s="1328"/>
      <c r="E112" s="1328"/>
      <c r="F112" s="1328"/>
      <c r="G112" s="1328"/>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3"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20" t="s">
        <v>1587</v>
      </c>
      <c r="C114" s="1328"/>
      <c r="D114" s="1328"/>
      <c r="E114" s="1344"/>
      <c r="F114" s="1344"/>
      <c r="G114" s="1344"/>
      <c r="H114" s="1344"/>
      <c r="I114" s="1344"/>
      <c r="J114" s="1344"/>
      <c r="K114" s="1395"/>
      <c r="L114" s="1396"/>
      <c r="M114" s="1397"/>
      <c r="N114" s="1365"/>
      <c r="O114" s="1365"/>
      <c r="P114" s="1644"/>
      <c r="Q114" s="1292"/>
      <c r="R114" s="1187"/>
      <c r="S114" s="1187"/>
      <c r="T114" s="1187"/>
      <c r="U114" s="1187"/>
      <c r="V114" s="1187"/>
      <c r="W114" s="1187"/>
      <c r="X114" s="1187"/>
      <c r="Y114" s="1187"/>
      <c r="Z114" s="1187"/>
      <c r="AA114" s="1187"/>
      <c r="AB114" s="1187"/>
      <c r="AC114" s="1187"/>
    </row>
    <row r="115" spans="1:29" ht="15">
      <c r="A115" s="1318"/>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644"/>
      <c r="Q115" s="1292"/>
      <c r="R115" s="1187"/>
      <c r="S115" s="1187"/>
      <c r="T115" s="1187"/>
      <c r="U115" s="1187"/>
      <c r="V115" s="1187"/>
      <c r="W115" s="1187"/>
      <c r="X115" s="1187"/>
      <c r="Y115" s="1187"/>
      <c r="Z115" s="1187"/>
      <c r="AA115" s="1187"/>
      <c r="AB115" s="1187"/>
      <c r="AC115" s="1187"/>
    </row>
    <row r="116" spans="1:29">
      <c r="A116" s="1350"/>
      <c r="B116" s="1320" t="s">
        <v>1380</v>
      </c>
      <c r="C116" s="1328"/>
      <c r="D116" s="1328"/>
      <c r="E116" s="1328"/>
      <c r="F116" s="1328"/>
      <c r="G116" s="1328"/>
      <c r="H116" s="1344"/>
      <c r="I116" s="1344"/>
      <c r="J116" s="1344"/>
      <c r="K116" s="1395"/>
      <c r="L116" s="1396"/>
      <c r="M116" s="1397"/>
      <c r="N116" s="1365"/>
      <c r="O116" s="1365"/>
      <c r="P116" s="1644"/>
      <c r="Q116" s="1292"/>
      <c r="R116" s="1187"/>
      <c r="S116" s="1187"/>
      <c r="T116" s="1187"/>
      <c r="U116" s="1187"/>
      <c r="V116" s="1187"/>
      <c r="W116" s="1187"/>
      <c r="X116" s="1187"/>
      <c r="Y116" s="1187"/>
      <c r="Z116" s="1187"/>
      <c r="AA116" s="1187"/>
      <c r="AB116" s="1187"/>
      <c r="AC116" s="1187"/>
    </row>
    <row r="117" spans="1:29" ht="15">
      <c r="A117" s="1318"/>
      <c r="B117" s="1322"/>
      <c r="C117" s="1323">
        <v>100</v>
      </c>
      <c r="D117" s="1323">
        <f>C117-$K39</f>
        <v>100</v>
      </c>
      <c r="E117" s="1323">
        <f>D117-$K39</f>
        <v>100</v>
      </c>
      <c r="F117" s="1323">
        <f>E117-$K39</f>
        <v>100</v>
      </c>
      <c r="G117" s="1323">
        <f>F117-$K39</f>
        <v>100</v>
      </c>
      <c r="H117" s="1323"/>
      <c r="I117" s="1323"/>
      <c r="J117" s="1323"/>
      <c r="K117" s="1323"/>
      <c r="L117" s="1323"/>
      <c r="M117" s="1372"/>
      <c r="N117" s="1368"/>
      <c r="O117" s="1368"/>
      <c r="P117" s="1644"/>
      <c r="Q117" s="1292"/>
      <c r="R117" s="1187"/>
      <c r="S117" s="1187"/>
      <c r="T117" s="1187"/>
      <c r="U117" s="1187"/>
      <c r="V117" s="1187"/>
      <c r="W117" s="1187"/>
      <c r="X117" s="1187"/>
      <c r="Y117" s="1187"/>
      <c r="Z117" s="1187"/>
      <c r="AA117" s="1187"/>
      <c r="AB117" s="1187"/>
      <c r="AC117" s="1187"/>
    </row>
    <row r="118" spans="1:29">
      <c r="A118" s="1350"/>
      <c r="B118" s="1320" t="s">
        <v>1413</v>
      </c>
      <c r="C118" s="1649"/>
      <c r="D118" s="1649"/>
      <c r="E118" s="1649"/>
      <c r="F118" s="1649"/>
      <c r="G118" s="1649"/>
      <c r="H118" s="1329"/>
      <c r="I118" s="1329"/>
      <c r="J118" s="1329"/>
      <c r="K118" s="1329"/>
      <c r="L118" s="1376"/>
      <c r="M118" s="1377"/>
      <c r="N118" s="1365"/>
      <c r="O118" s="1365"/>
      <c r="P118" s="1644"/>
      <c r="Q118" s="1292"/>
      <c r="R118" s="1187"/>
      <c r="S118" s="1187"/>
      <c r="T118" s="1187"/>
      <c r="U118" s="1187"/>
      <c r="V118" s="1187"/>
      <c r="W118" s="1187"/>
      <c r="X118" s="1187"/>
      <c r="Y118" s="1187"/>
      <c r="Z118" s="1187"/>
      <c r="AA118" s="1187"/>
      <c r="AB118" s="1187"/>
      <c r="AC118" s="1187"/>
    </row>
    <row r="119" spans="1:29" ht="15">
      <c r="A119" s="1318"/>
      <c r="B119" s="1322"/>
      <c r="C119" s="963"/>
      <c r="D119" s="964"/>
      <c r="E119" s="964"/>
      <c r="F119" s="964"/>
      <c r="G119" s="964"/>
      <c r="H119" s="964"/>
      <c r="I119" s="964"/>
      <c r="J119" s="964"/>
      <c r="K119" s="964"/>
      <c r="L119" s="964"/>
      <c r="M119" s="1367"/>
      <c r="N119" s="1368"/>
      <c r="O119" s="1368"/>
      <c r="P119" s="1644"/>
      <c r="Q119" s="1292"/>
      <c r="R119" s="1187"/>
      <c r="S119" s="1187"/>
      <c r="T119" s="1187"/>
      <c r="U119" s="1187"/>
      <c r="V119" s="1187"/>
      <c r="W119" s="1187"/>
      <c r="X119" s="1187"/>
      <c r="Y119" s="1187"/>
      <c r="Z119" s="1187"/>
      <c r="AA119" s="1187"/>
      <c r="AB119" s="1187"/>
      <c r="AC119" s="1187"/>
    </row>
    <row r="120" spans="1:29" s="1073" customFormat="1">
      <c r="A120" s="1347"/>
      <c r="B120" s="1320" t="s">
        <v>1589</v>
      </c>
      <c r="C120" s="1344"/>
      <c r="D120" s="1344"/>
      <c r="E120" s="1344"/>
      <c r="F120" s="1344"/>
      <c r="G120" s="1329"/>
      <c r="H120" s="1329"/>
      <c r="I120" s="1329"/>
      <c r="J120" s="1329"/>
      <c r="K120" s="1329"/>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3" customFormat="1" ht="15">
      <c r="A121" s="1327"/>
      <c r="B121" s="1319"/>
      <c r="C121" s="1340">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20" t="s">
        <v>1382</v>
      </c>
      <c r="C122" s="1328"/>
      <c r="D122" s="1328"/>
      <c r="E122" s="1328"/>
      <c r="F122" s="1344"/>
      <c r="G122" s="1344"/>
      <c r="H122" s="1344"/>
      <c r="I122" s="1344"/>
      <c r="J122" s="1344"/>
      <c r="K122" s="1395"/>
      <c r="L122" s="1396"/>
      <c r="M122" s="1397"/>
      <c r="N122" s="1365"/>
      <c r="O122" s="1365"/>
      <c r="P122" s="1644"/>
      <c r="Q122" s="1292"/>
      <c r="R122" s="1187"/>
      <c r="S122" s="1187"/>
      <c r="T122" s="1187"/>
      <c r="U122" s="1187"/>
      <c r="V122" s="1187"/>
      <c r="W122" s="1187"/>
      <c r="X122" s="1187"/>
      <c r="Y122" s="1187"/>
      <c r="Z122" s="1187"/>
      <c r="AA122" s="1187"/>
      <c r="AB122" s="1187"/>
      <c r="AC122" s="1187"/>
    </row>
    <row r="123" spans="1:29" ht="15">
      <c r="A123" s="1318"/>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2">
        <f t="shared" si="30"/>
        <v>100</v>
      </c>
      <c r="N123" s="1368"/>
      <c r="O123" s="1368"/>
      <c r="P123" s="1644"/>
      <c r="Q123" s="1292"/>
      <c r="R123" s="1187"/>
      <c r="S123" s="1187"/>
      <c r="T123" s="1187"/>
      <c r="U123" s="1187"/>
      <c r="V123" s="1187"/>
      <c r="W123" s="1187"/>
      <c r="X123" s="1187"/>
      <c r="Y123" s="1187"/>
      <c r="Z123" s="1187"/>
      <c r="AA123" s="1187"/>
      <c r="AB123" s="1187"/>
      <c r="AC123" s="1187"/>
    </row>
    <row r="124" spans="1:29">
      <c r="A124" s="1350"/>
      <c r="B124" s="1320" t="s">
        <v>1384</v>
      </c>
      <c r="C124" s="1338" t="s">
        <v>1396</v>
      </c>
      <c r="D124" s="1338" t="s">
        <v>1397</v>
      </c>
      <c r="E124" s="1338" t="s">
        <v>1398</v>
      </c>
      <c r="F124" s="1338" t="s">
        <v>1399</v>
      </c>
      <c r="G124" s="1338" t="s">
        <v>1400</v>
      </c>
      <c r="H124" s="1321"/>
      <c r="I124" s="1321"/>
      <c r="J124" s="1321"/>
      <c r="K124" s="1369"/>
      <c r="L124" s="1370"/>
      <c r="M124" s="1371"/>
      <c r="N124" s="1365"/>
      <c r="O124" s="1365"/>
      <c r="P124" s="1650"/>
      <c r="Q124" s="1292"/>
      <c r="R124" s="1187"/>
      <c r="S124" s="1187"/>
      <c r="T124" s="1187"/>
      <c r="U124" s="1187"/>
      <c r="V124" s="1187"/>
      <c r="W124" s="1187"/>
      <c r="X124" s="1187"/>
      <c r="Y124" s="1187"/>
      <c r="Z124" s="1187"/>
      <c r="AA124" s="1187"/>
      <c r="AB124" s="1187"/>
      <c r="AC124" s="1187"/>
    </row>
    <row r="125" spans="1:29" ht="15">
      <c r="A125" s="1318"/>
      <c r="B125" s="1322"/>
      <c r="C125" s="1323">
        <v>100</v>
      </c>
      <c r="D125" s="1323">
        <f>C125-$K43</f>
        <v>100</v>
      </c>
      <c r="E125" s="1323">
        <f>D125-$K43</f>
        <v>100</v>
      </c>
      <c r="F125" s="1323">
        <f>E125-$K43</f>
        <v>100</v>
      </c>
      <c r="G125" s="1323">
        <f>F125-$K43</f>
        <v>100</v>
      </c>
      <c r="H125" s="1323"/>
      <c r="I125" s="1323"/>
      <c r="J125" s="1323"/>
      <c r="K125" s="1323"/>
      <c r="L125" s="1323"/>
      <c r="M125" s="1372"/>
      <c r="N125" s="1368"/>
      <c r="O125" s="1368"/>
      <c r="P125" s="1644"/>
      <c r="Q125" s="1292"/>
      <c r="R125" s="1187"/>
      <c r="S125" s="1187"/>
      <c r="T125" s="1187"/>
      <c r="U125" s="1187"/>
      <c r="V125" s="1187"/>
      <c r="W125" s="1187"/>
      <c r="X125" s="1187"/>
      <c r="Y125" s="1187"/>
      <c r="Z125" s="1187"/>
      <c r="AA125" s="1187"/>
      <c r="AB125" s="1187"/>
      <c r="AC125" s="1187"/>
    </row>
    <row r="126" spans="1:29" s="1073" customFormat="1">
      <c r="A126" s="1347"/>
      <c r="B126" s="1320">
        <f>B44</f>
        <v>111</v>
      </c>
      <c r="C126" s="1328"/>
      <c r="D126" s="1328"/>
      <c r="E126" s="1328"/>
      <c r="F126" s="1328"/>
      <c r="G126" s="1328"/>
      <c r="H126" s="1329"/>
      <c r="I126" s="1329"/>
      <c r="J126" s="1329"/>
      <c r="K126" s="1329"/>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3" customFormat="1" ht="15">
      <c r="A127" s="1327"/>
      <c r="B127" s="1322"/>
      <c r="C127" s="963"/>
      <c r="D127" s="964"/>
      <c r="E127" s="964"/>
      <c r="F127" s="964"/>
      <c r="G127" s="963"/>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20">
        <f>B45</f>
        <v>111</v>
      </c>
      <c r="C128" s="1328"/>
      <c r="D128" s="1328"/>
      <c r="E128" s="1328"/>
      <c r="F128" s="1328"/>
      <c r="G128" s="1344"/>
      <c r="H128" s="1344"/>
      <c r="I128" s="1344"/>
      <c r="J128" s="1344"/>
      <c r="K128" s="1395"/>
      <c r="L128" s="1396"/>
      <c r="M128" s="1397"/>
      <c r="N128" s="1365"/>
      <c r="O128" s="1365"/>
      <c r="P128" s="1644"/>
      <c r="Q128" s="1292"/>
      <c r="R128" s="1187"/>
      <c r="S128" s="1187"/>
      <c r="T128" s="1187"/>
      <c r="U128" s="1187"/>
      <c r="V128" s="1187"/>
      <c r="W128" s="1187"/>
      <c r="X128" s="1187"/>
      <c r="Y128" s="1187"/>
      <c r="Z128" s="1187"/>
      <c r="AA128" s="1187"/>
      <c r="AB128" s="1187"/>
      <c r="AC128" s="1187"/>
    </row>
    <row r="129" spans="1:29" ht="15">
      <c r="A129" s="1318"/>
      <c r="B129" s="1322"/>
      <c r="C129" s="963"/>
      <c r="D129" s="964"/>
      <c r="E129" s="964"/>
      <c r="F129" s="964"/>
      <c r="G129" s="964"/>
      <c r="H129" s="964"/>
      <c r="I129" s="964"/>
      <c r="J129" s="964"/>
      <c r="K129" s="964"/>
      <c r="L129" s="964"/>
      <c r="M129" s="1367"/>
      <c r="N129" s="1368"/>
      <c r="O129" s="1368"/>
      <c r="P129" s="1644"/>
      <c r="Q129" s="1292"/>
      <c r="R129" s="1187"/>
      <c r="S129" s="1187"/>
      <c r="T129" s="1187"/>
      <c r="U129" s="1187"/>
      <c r="V129" s="1187"/>
      <c r="W129" s="1187"/>
      <c r="X129" s="1187"/>
      <c r="Y129" s="1187"/>
      <c r="Z129" s="1187"/>
      <c r="AA129" s="1187"/>
      <c r="AB129" s="1187"/>
      <c r="AC129" s="1187"/>
    </row>
    <row r="130" spans="1:29">
      <c r="A130" s="1350"/>
      <c r="B130" s="1324">
        <f>B46</f>
        <v>111</v>
      </c>
      <c r="C130" s="1328"/>
      <c r="D130" s="1328"/>
      <c r="E130" s="1328"/>
      <c r="F130" s="1328"/>
      <c r="G130" s="1345"/>
      <c r="H130" s="1345"/>
      <c r="I130" s="1345"/>
      <c r="J130" s="1345"/>
      <c r="K130" s="1313"/>
      <c r="L130" s="1357"/>
      <c r="M130" s="1400"/>
      <c r="N130" s="1365"/>
      <c r="O130" s="1365"/>
      <c r="P130" s="1644"/>
      <c r="Q130" s="1292"/>
      <c r="R130" s="1187"/>
      <c r="S130" s="1187"/>
      <c r="T130" s="1187"/>
      <c r="U130" s="1187"/>
      <c r="V130" s="1187"/>
      <c r="W130" s="1187"/>
      <c r="X130" s="1187"/>
      <c r="Y130" s="1187"/>
      <c r="Z130" s="1187"/>
      <c r="AA130" s="1187"/>
      <c r="AB130" s="1187"/>
      <c r="AC130" s="1187"/>
    </row>
    <row r="131" spans="1:29" ht="15">
      <c r="A131" s="1618"/>
      <c r="B131" s="1333"/>
      <c r="C131" s="1334"/>
      <c r="D131" s="1334"/>
      <c r="E131" s="1334"/>
      <c r="F131" s="1334"/>
      <c r="G131" s="1346"/>
      <c r="H131" s="1346"/>
      <c r="I131" s="1346"/>
      <c r="J131" s="1346"/>
      <c r="K131" s="1346"/>
      <c r="L131" s="1346"/>
      <c r="M131" s="1401"/>
      <c r="N131" s="1368"/>
      <c r="O131" s="1368"/>
      <c r="P131" s="1644"/>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583" t="s">
        <v>1590</v>
      </c>
      <c r="C1" s="1449" t="s">
        <v>1326</v>
      </c>
      <c r="D1" s="1450"/>
      <c r="E1" s="1451"/>
      <c r="F1" s="1452"/>
      <c r="G1" s="1453" t="s">
        <v>1329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982</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983</v>
      </c>
      <c r="F2" s="1459"/>
      <c r="G2" s="1086"/>
      <c r="H2" s="1086"/>
      <c r="I2" s="1086"/>
      <c r="J2" s="1086"/>
      <c r="K2" s="1086"/>
      <c r="L2" s="1587"/>
      <c r="M2" s="1588"/>
      <c r="N2" s="1588"/>
      <c r="O2" s="1588"/>
      <c r="P2" s="1233"/>
      <c r="Q2" s="1233"/>
      <c r="R2" s="1233"/>
      <c r="S2" s="1233"/>
      <c r="T2" s="1233"/>
      <c r="U2" s="1233"/>
      <c r="V2" s="1233"/>
      <c r="W2" s="1233"/>
      <c r="X2" s="1233"/>
      <c r="Y2" s="1233"/>
      <c r="Z2" s="1233"/>
      <c r="AA2" s="1233"/>
      <c r="AB2" s="1233"/>
      <c r="AC2" s="1295"/>
    </row>
    <row r="3" spans="1:29" s="1070" customFormat="1" ht="28.5" customHeight="1">
      <c r="A3" s="381" t="s">
        <v>984</v>
      </c>
      <c r="B3" s="1088">
        <f>IF(C2="——",C43,ROUND(B2*10000/D3,0))</f>
        <v>0</v>
      </c>
      <c r="C3" s="1460" t="s">
        <v>1330</v>
      </c>
      <c r="D3" s="1461">
        <f>IF(D1="",'数据-汇总表'!E3,SUMIF('数据-汇总表'!$C19:$C33,D1,'数据-汇总表'!$E19:$E33))</f>
        <v>46.53</v>
      </c>
      <c r="E3" s="1086"/>
      <c r="F3" s="1087"/>
      <c r="G3" s="1086"/>
      <c r="H3" s="1086"/>
      <c r="I3" s="1086"/>
      <c r="J3" s="1086"/>
      <c r="K3" s="1234"/>
      <c r="L3" s="1587"/>
      <c r="M3" s="1588"/>
      <c r="N3" s="1588"/>
      <c r="O3" s="1588"/>
      <c r="P3" s="1233"/>
      <c r="Q3" s="1233"/>
      <c r="R3" s="1233"/>
      <c r="S3" s="1233"/>
      <c r="T3" s="1233"/>
      <c r="U3" s="1233"/>
      <c r="V3" s="1233"/>
      <c r="W3" s="1233"/>
      <c r="X3" s="1233"/>
      <c r="Y3" s="1233"/>
      <c r="Z3" s="1233"/>
      <c r="AA3" s="1233"/>
      <c r="AB3" s="1294"/>
      <c r="AC3" s="1295"/>
    </row>
    <row r="4" spans="1:29" ht="15">
      <c r="A4" s="1090" t="s">
        <v>1331</v>
      </c>
      <c r="B4" s="1091"/>
      <c r="C4" s="3626" t="s">
        <v>1332</v>
      </c>
      <c r="D4" s="3627"/>
      <c r="E4" s="3628" t="s">
        <v>1333</v>
      </c>
      <c r="F4" s="3629"/>
      <c r="G4" s="3626" t="s">
        <v>1334</v>
      </c>
      <c r="H4" s="3627"/>
      <c r="I4" s="3626" t="s">
        <v>1335</v>
      </c>
      <c r="J4" s="3627"/>
      <c r="K4" s="1237" t="s">
        <v>1336</v>
      </c>
      <c r="L4" s="1589"/>
      <c r="M4" s="1590"/>
      <c r="N4" s="1590"/>
      <c r="O4" s="1590"/>
      <c r="P4" s="3704" t="s">
        <v>1337</v>
      </c>
      <c r="Q4" s="3705"/>
      <c r="R4" s="3708" t="s">
        <v>1333</v>
      </c>
      <c r="S4" s="3709"/>
      <c r="T4" s="3708" t="s">
        <v>1334</v>
      </c>
      <c r="U4" s="3709"/>
      <c r="V4" s="3676" t="s">
        <v>1335</v>
      </c>
      <c r="W4" s="3676"/>
      <c r="X4" s="1281"/>
      <c r="Y4" s="3708" t="s">
        <v>1337</v>
      </c>
      <c r="Z4" s="3709"/>
      <c r="AA4" s="3703" t="s">
        <v>1333</v>
      </c>
      <c r="AB4" s="3658" t="s">
        <v>1334</v>
      </c>
      <c r="AC4" s="3703" t="s">
        <v>1335</v>
      </c>
    </row>
    <row r="5" spans="1:29" ht="15">
      <c r="A5" s="1092"/>
      <c r="B5" s="1093"/>
      <c r="C5" s="3630" t="s">
        <v>1338</v>
      </c>
      <c r="D5" s="3631"/>
      <c r="E5" s="3698" t="s">
        <v>1552</v>
      </c>
      <c r="F5" s="3633"/>
      <c r="G5" s="3630" t="s">
        <v>1553</v>
      </c>
      <c r="H5" s="3631"/>
      <c r="I5" s="3630" t="s">
        <v>1554</v>
      </c>
      <c r="J5" s="3631"/>
      <c r="K5" s="1237"/>
      <c r="L5" s="1589"/>
      <c r="M5" s="1590"/>
      <c r="N5" s="1590"/>
      <c r="O5" s="1590"/>
      <c r="P5" s="3706"/>
      <c r="Q5" s="3666"/>
      <c r="R5" s="3671"/>
      <c r="S5" s="3672"/>
      <c r="T5" s="3671"/>
      <c r="U5" s="3672"/>
      <c r="V5" s="3676"/>
      <c r="W5" s="3676"/>
      <c r="X5" s="1281"/>
      <c r="Y5" s="3671"/>
      <c r="Z5" s="3672"/>
      <c r="AA5" s="3658"/>
      <c r="AB5" s="3658"/>
      <c r="AC5" s="3658"/>
    </row>
    <row r="6" spans="1:29" ht="15">
      <c r="A6" s="1094"/>
      <c r="B6" s="1095"/>
      <c r="C6" s="3634" t="s">
        <v>1339</v>
      </c>
      <c r="D6" s="3635"/>
      <c r="E6" s="3699" t="s">
        <v>1339</v>
      </c>
      <c r="F6" s="3637"/>
      <c r="G6" s="3634" t="s">
        <v>1339</v>
      </c>
      <c r="H6" s="3635"/>
      <c r="I6" s="3634" t="s">
        <v>1339</v>
      </c>
      <c r="J6" s="3635"/>
      <c r="K6" s="1237" t="s">
        <v>1340</v>
      </c>
      <c r="L6" s="1589"/>
      <c r="M6" s="1590"/>
      <c r="N6" s="1590"/>
      <c r="O6" s="1590"/>
      <c r="P6" s="3707"/>
      <c r="Q6" s="3668"/>
      <c r="R6" s="3671"/>
      <c r="S6" s="3672"/>
      <c r="T6" s="3673"/>
      <c r="U6" s="3674"/>
      <c r="V6" s="3676"/>
      <c r="W6" s="3676"/>
      <c r="X6" s="1281"/>
      <c r="Y6" s="3673"/>
      <c r="Z6" s="3674"/>
      <c r="AA6" s="3659"/>
      <c r="AB6" s="3659"/>
      <c r="AC6" s="3659"/>
    </row>
    <row r="7" spans="1:29" s="1071" customFormat="1" ht="15">
      <c r="A7" s="1096" t="s">
        <v>1341</v>
      </c>
      <c r="B7" s="1097"/>
      <c r="C7" s="1098">
        <f>'数据-取费表'!B2</f>
        <v>45218</v>
      </c>
      <c r="D7" s="1099">
        <v>100</v>
      </c>
      <c r="E7" s="1100"/>
      <c r="F7" s="1101">
        <f>SUMIF(52:52,YEAR(E7)&amp;"-"&amp;MONTH(E7),53:53)</f>
        <v>0</v>
      </c>
      <c r="G7" s="1100"/>
      <c r="H7" s="1099">
        <f>SUMIF(52:52,YEAR(G7)&amp;"-"&amp;MONTH(G7),53:53)</f>
        <v>0</v>
      </c>
      <c r="I7" s="1100"/>
      <c r="J7" s="1099">
        <f>SUMIF(52:52,YEAR(I7)&amp;"-"&amp;MONTH(I7),53:53)</f>
        <v>0</v>
      </c>
      <c r="K7" s="1240"/>
      <c r="L7" s="1591"/>
      <c r="M7" s="1592"/>
      <c r="N7" s="1592"/>
      <c r="O7" s="1592"/>
      <c r="P7" s="3640" t="s">
        <v>1342</v>
      </c>
      <c r="Q7" s="3639"/>
      <c r="R7" s="1282" t="s">
        <v>1343</v>
      </c>
      <c r="S7" s="1283">
        <f t="shared" ref="S7:S15" si="0">F7</f>
        <v>0</v>
      </c>
      <c r="T7" s="1282" t="s">
        <v>1343</v>
      </c>
      <c r="U7" s="1283">
        <f t="shared" ref="U7:U15" si="1">H7</f>
        <v>0</v>
      </c>
      <c r="V7" s="1282" t="s">
        <v>1343</v>
      </c>
      <c r="W7" s="1283">
        <f t="shared" ref="W7:W15" si="2">J7</f>
        <v>0</v>
      </c>
      <c r="X7" s="1284"/>
      <c r="Y7" s="3640" t="s">
        <v>1342</v>
      </c>
      <c r="Z7" s="3641"/>
      <c r="AA7" s="1296" t="e">
        <f>D7/F7</f>
        <v>#DIV/0!</v>
      </c>
      <c r="AB7" s="1296" t="e">
        <f>D7/H7</f>
        <v>#DIV/0!</v>
      </c>
      <c r="AC7" s="1296" t="e">
        <f>D7/J7</f>
        <v>#DIV/0!</v>
      </c>
    </row>
    <row r="8" spans="1:29" s="1071" customFormat="1" ht="15">
      <c r="A8" s="1096" t="s">
        <v>1344</v>
      </c>
      <c r="B8" s="1097"/>
      <c r="C8" s="1103"/>
      <c r="D8" s="1099">
        <v>100</v>
      </c>
      <c r="E8" s="1103"/>
      <c r="F8" s="1101">
        <f>SUMIF(55:55,E8,56:56)-SUMIF(55:55,C8,56:56)+100</f>
        <v>100</v>
      </c>
      <c r="G8" s="1103"/>
      <c r="H8" s="1099">
        <f>SUMIF(55:55,G8,56:56)-SUMIF(55:55,C8,56:56)+100</f>
        <v>100</v>
      </c>
      <c r="I8" s="1103"/>
      <c r="J8" s="1099">
        <f>SUMIF(55:55,I8,56:56)-SUMIF(55:55,C8,56:56)+100</f>
        <v>100</v>
      </c>
      <c r="K8" s="1240"/>
      <c r="L8" s="1591"/>
      <c r="M8" s="1592"/>
      <c r="N8" s="1592"/>
      <c r="O8" s="1592"/>
      <c r="P8" s="3640" t="s">
        <v>1347</v>
      </c>
      <c r="Q8" s="3641"/>
      <c r="R8" s="1282" t="s">
        <v>1343</v>
      </c>
      <c r="S8" s="1283">
        <f t="shared" si="0"/>
        <v>100</v>
      </c>
      <c r="T8" s="1282" t="s">
        <v>1343</v>
      </c>
      <c r="U8" s="1283">
        <f t="shared" si="1"/>
        <v>100</v>
      </c>
      <c r="V8" s="1282" t="s">
        <v>1343</v>
      </c>
      <c r="W8" s="1283">
        <f t="shared" si="2"/>
        <v>100</v>
      </c>
      <c r="X8" s="1284"/>
      <c r="Y8" s="3640" t="s">
        <v>1347</v>
      </c>
      <c r="Z8" s="3641"/>
      <c r="AA8" s="1296">
        <f t="shared" ref="AA8:AA40" si="3">D8/F8</f>
        <v>1</v>
      </c>
      <c r="AB8" s="1296">
        <f t="shared" ref="AB8:AB40" si="4">D8/H8</f>
        <v>1</v>
      </c>
      <c r="AC8" s="1296">
        <f t="shared" ref="AC8:AC40" si="5">D8/J8</f>
        <v>1</v>
      </c>
    </row>
    <row r="9" spans="1:29" s="1071" customFormat="1">
      <c r="A9" s="1104" t="s">
        <v>1348</v>
      </c>
      <c r="B9" s="1105" t="s">
        <v>1349</v>
      </c>
      <c r="C9" s="1462"/>
      <c r="D9" s="1107">
        <v>100</v>
      </c>
      <c r="E9" s="1463"/>
      <c r="F9" s="1107">
        <f>SUMIF(57:57,E9,58:58)-SUMIF(57:57,C9,58:58)+100</f>
        <v>100</v>
      </c>
      <c r="G9" s="1531"/>
      <c r="H9" s="1107">
        <f>SUMIF(57:57,G9,58:58)-SUMIF(57:57,C9,58:58)+100</f>
        <v>100</v>
      </c>
      <c r="I9" s="1531"/>
      <c r="J9" s="1107">
        <f>SUMIF(57:57,I9,58:58)-SUMIF(57:57,C9,58:58)+100</f>
        <v>100</v>
      </c>
      <c r="K9" s="1240"/>
      <c r="L9" s="1591"/>
      <c r="M9" s="1592"/>
      <c r="N9" s="1592"/>
      <c r="O9" s="1593"/>
      <c r="P9" s="3643" t="s">
        <v>1350</v>
      </c>
      <c r="Q9" s="1286" t="str">
        <f t="shared" ref="Q9:Q15" si="6">B9</f>
        <v>用途</v>
      </c>
      <c r="R9" s="1282" t="s">
        <v>1343</v>
      </c>
      <c r="S9" s="1283">
        <f t="shared" si="0"/>
        <v>100</v>
      </c>
      <c r="T9" s="1282" t="s">
        <v>1343</v>
      </c>
      <c r="U9" s="1283">
        <f t="shared" si="1"/>
        <v>100</v>
      </c>
      <c r="V9" s="1282" t="s">
        <v>1343</v>
      </c>
      <c r="W9" s="1283">
        <f t="shared" si="2"/>
        <v>100</v>
      </c>
      <c r="X9" s="1284"/>
      <c r="Y9" s="3612" t="s">
        <v>1351</v>
      </c>
      <c r="Z9" s="1297" t="str">
        <f t="shared" ref="Z9:Z15" si="7">Q9</f>
        <v>用途</v>
      </c>
      <c r="AA9" s="1296">
        <f t="shared" si="3"/>
        <v>1</v>
      </c>
      <c r="AB9" s="1296">
        <f t="shared" si="4"/>
        <v>1</v>
      </c>
      <c r="AC9" s="1296">
        <f t="shared" si="5"/>
        <v>1</v>
      </c>
    </row>
    <row r="10" spans="1:29" s="1072" customFormat="1" ht="27">
      <c r="A10" s="1108"/>
      <c r="B10" s="1109" t="s">
        <v>1352</v>
      </c>
      <c r="C10" s="1465"/>
      <c r="D10" s="1111">
        <v>100</v>
      </c>
      <c r="E10" s="1465"/>
      <c r="F10" s="1111">
        <f>SUMIF(59:59,E10,60:60)-SUMIF(59:59,C10,60:60)+100</f>
        <v>100</v>
      </c>
      <c r="G10" s="1534"/>
      <c r="H10" s="1111">
        <f>SUMIF(59:59,G10,60:60)-SUMIF(59:59,C10,60:60)+100</f>
        <v>100</v>
      </c>
      <c r="I10" s="1465"/>
      <c r="J10" s="1111">
        <f>SUMIF(59:59,I10,60:60)-SUMIF(59:59,C10,60:60)+100</f>
        <v>100</v>
      </c>
      <c r="K10" s="1240"/>
      <c r="L10" s="1594"/>
      <c r="M10" s="1595"/>
      <c r="N10" s="1595"/>
      <c r="O10" s="1596"/>
      <c r="P10" s="3643"/>
      <c r="Q10" s="1286" t="str">
        <f t="shared" si="6"/>
        <v>土地使用年限（年）</v>
      </c>
      <c r="R10" s="1282" t="s">
        <v>1343</v>
      </c>
      <c r="S10" s="1283">
        <f t="shared" si="0"/>
        <v>100</v>
      </c>
      <c r="T10" s="1282" t="s">
        <v>1343</v>
      </c>
      <c r="U10" s="1283">
        <f t="shared" si="1"/>
        <v>100</v>
      </c>
      <c r="V10" s="1282" t="s">
        <v>1343</v>
      </c>
      <c r="W10" s="1283">
        <f t="shared" si="2"/>
        <v>100</v>
      </c>
      <c r="X10" s="1284"/>
      <c r="Y10" s="3612"/>
      <c r="Z10" s="1297" t="str">
        <f t="shared" si="7"/>
        <v>土地使用年限（年）</v>
      </c>
      <c r="AA10" s="1296">
        <f t="shared" si="3"/>
        <v>1</v>
      </c>
      <c r="AB10" s="1296">
        <f t="shared" si="4"/>
        <v>1</v>
      </c>
      <c r="AC10" s="1296">
        <f t="shared" si="5"/>
        <v>1</v>
      </c>
    </row>
    <row r="11" spans="1:29" ht="15">
      <c r="A11" s="1112"/>
      <c r="B11" s="1109" t="s">
        <v>1353</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597"/>
      <c r="M11" s="1590"/>
      <c r="N11" s="1590"/>
      <c r="O11" s="1598"/>
      <c r="P11" s="3643"/>
      <c r="Q11" s="1286" t="str">
        <f t="shared" si="6"/>
        <v>容积率</v>
      </c>
      <c r="R11" s="1282" t="s">
        <v>1343</v>
      </c>
      <c r="S11" s="1283">
        <f t="shared" si="0"/>
        <v>100</v>
      </c>
      <c r="T11" s="1282" t="s">
        <v>1343</v>
      </c>
      <c r="U11" s="1283">
        <f t="shared" si="1"/>
        <v>100</v>
      </c>
      <c r="V11" s="1282" t="s">
        <v>1343</v>
      </c>
      <c r="W11" s="1283">
        <f t="shared" si="2"/>
        <v>100</v>
      </c>
      <c r="X11" s="1284"/>
      <c r="Y11" s="3612"/>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84"/>
      <c r="H12" s="1111">
        <f>SUMIF(64:64,G12,65:65)-SUMIF(64:64,C12,65:65)+100</f>
        <v>100</v>
      </c>
      <c r="I12" s="1467"/>
      <c r="J12" s="1111">
        <f>SUMIF(64:64,I12,65:65)-SUMIF(64:64,C12,65:65)+100</f>
        <v>100</v>
      </c>
      <c r="K12" s="1256"/>
      <c r="L12" s="1591"/>
      <c r="M12" s="1592"/>
      <c r="N12" s="1592"/>
      <c r="O12" s="1593"/>
      <c r="P12" s="3643"/>
      <c r="Q12" s="1286">
        <f t="shared" si="6"/>
        <v>111</v>
      </c>
      <c r="R12" s="1282" t="s">
        <v>1343</v>
      </c>
      <c r="S12" s="1283">
        <f t="shared" si="0"/>
        <v>100</v>
      </c>
      <c r="T12" s="1282" t="s">
        <v>1343</v>
      </c>
      <c r="U12" s="1283">
        <f t="shared" si="1"/>
        <v>100</v>
      </c>
      <c r="V12" s="1282" t="s">
        <v>1343</v>
      </c>
      <c r="W12" s="1283">
        <f t="shared" si="2"/>
        <v>100</v>
      </c>
      <c r="X12" s="1284"/>
      <c r="Y12" s="3612"/>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84"/>
      <c r="H13" s="1121">
        <f>SUMIF(66:66,G13,67:67)-SUMIF(66:66,C13,67:67)+100</f>
        <v>100</v>
      </c>
      <c r="I13" s="1467"/>
      <c r="J13" s="1121">
        <f>SUMIF(66:66,I13,67:67)-SUMIF(66:66,C13,67:67)+100</f>
        <v>100</v>
      </c>
      <c r="K13" s="1256"/>
      <c r="L13" s="1599"/>
      <c r="M13" s="1590"/>
      <c r="N13" s="1590"/>
      <c r="O13" s="1598"/>
      <c r="P13" s="3643"/>
      <c r="Q13" s="1286">
        <f t="shared" si="6"/>
        <v>111</v>
      </c>
      <c r="R13" s="1282" t="s">
        <v>1343</v>
      </c>
      <c r="S13" s="1283">
        <f t="shared" si="0"/>
        <v>100</v>
      </c>
      <c r="T13" s="1282" t="s">
        <v>1343</v>
      </c>
      <c r="U13" s="1283">
        <f t="shared" si="1"/>
        <v>100</v>
      </c>
      <c r="V13" s="1282" t="s">
        <v>1343</v>
      </c>
      <c r="W13" s="1283">
        <f t="shared" si="2"/>
        <v>100</v>
      </c>
      <c r="X13" s="1284"/>
      <c r="Y13" s="3612"/>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84"/>
      <c r="H14" s="1125">
        <f>SUMIF(68:68,G14,69:69)-SUMIF(68:68,C14,69:69)+100</f>
        <v>100</v>
      </c>
      <c r="I14" s="1467"/>
      <c r="J14" s="1125">
        <f>SUMIF(68:68,I14,69:69)-SUMIF(68:68,C14,69:69)+100</f>
        <v>100</v>
      </c>
      <c r="K14" s="1256"/>
      <c r="L14" s="1599"/>
      <c r="M14" s="1590"/>
      <c r="N14" s="1590"/>
      <c r="O14" s="1598"/>
      <c r="P14" s="3643"/>
      <c r="Q14" s="1286">
        <f t="shared" si="6"/>
        <v>111</v>
      </c>
      <c r="R14" s="1282" t="s">
        <v>1343</v>
      </c>
      <c r="S14" s="1283">
        <f t="shared" si="0"/>
        <v>100</v>
      </c>
      <c r="T14" s="1282" t="s">
        <v>1343</v>
      </c>
      <c r="U14" s="1283">
        <f t="shared" si="1"/>
        <v>100</v>
      </c>
      <c r="V14" s="1282" t="s">
        <v>1343</v>
      </c>
      <c r="W14" s="1283">
        <f t="shared" si="2"/>
        <v>100</v>
      </c>
      <c r="X14" s="1284"/>
      <c r="Y14" s="3612"/>
      <c r="Z14" s="1297">
        <f t="shared" si="7"/>
        <v>111</v>
      </c>
      <c r="AA14" s="1296">
        <f t="shared" si="3"/>
        <v>1</v>
      </c>
      <c r="AB14" s="1296">
        <f t="shared" si="4"/>
        <v>1</v>
      </c>
      <c r="AC14" s="1296">
        <f t="shared" si="5"/>
        <v>1</v>
      </c>
    </row>
    <row r="15" spans="1:29" ht="57">
      <c r="A15" s="1126" t="s">
        <v>1354</v>
      </c>
      <c r="B15" s="1416" t="s">
        <v>1591</v>
      </c>
      <c r="C15" s="1128" t="str">
        <f>估价对象房地状况!G3</f>
        <v>估价对象位于XX开发区，园区建设成熟度XX，产业集聚程度XX</v>
      </c>
      <c r="D15" s="1129">
        <v>100</v>
      </c>
      <c r="E15" s="1130"/>
      <c r="F15" s="1469">
        <f>SUMIF(70:70,E16,71:71)-SUMIF(70:70,C16,71:71)+100</f>
        <v>100</v>
      </c>
      <c r="G15" s="1252"/>
      <c r="H15" s="1129">
        <f>SUMIF(70:70,G16,71:71)-SUMIF(70:70,C16,71:71)+100</f>
        <v>100</v>
      </c>
      <c r="I15" s="1130"/>
      <c r="J15" s="1129">
        <f>SUMIF(70:70,I16,71:71)-SUMIF(70:70,C16,71:71)+100</f>
        <v>100</v>
      </c>
      <c r="K15" s="1508"/>
      <c r="L15" s="1599"/>
      <c r="M15" s="1590"/>
      <c r="N15" s="1590"/>
      <c r="O15" s="1598"/>
      <c r="P15" s="3650" t="s">
        <v>1356</v>
      </c>
      <c r="Q15" s="664" t="str">
        <f t="shared" si="6"/>
        <v>产业集聚程度</v>
      </c>
      <c r="R15" s="1287" t="s">
        <v>1343</v>
      </c>
      <c r="S15" s="1288">
        <f t="shared" si="0"/>
        <v>100</v>
      </c>
      <c r="T15" s="1287" t="s">
        <v>1343</v>
      </c>
      <c r="U15" s="1288">
        <f t="shared" si="1"/>
        <v>100</v>
      </c>
      <c r="V15" s="1287" t="s">
        <v>1343</v>
      </c>
      <c r="W15" s="1288">
        <f t="shared" si="2"/>
        <v>100</v>
      </c>
      <c r="X15" s="1281"/>
      <c r="Y15" s="3650" t="s">
        <v>1356</v>
      </c>
      <c r="Z15" s="1271" t="str">
        <f t="shared" si="7"/>
        <v>产业集聚程度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599"/>
      <c r="M16" s="1590"/>
      <c r="N16" s="1590"/>
      <c r="O16" s="1598"/>
      <c r="P16" s="3651"/>
      <c r="Q16" s="664"/>
      <c r="R16" s="1287"/>
      <c r="S16" s="1288"/>
      <c r="T16" s="1287"/>
      <c r="U16" s="1288"/>
      <c r="V16" s="1287"/>
      <c r="W16" s="1288"/>
      <c r="X16" s="1281"/>
      <c r="Y16" s="3651"/>
      <c r="Z16" s="1271"/>
      <c r="AA16" s="1298">
        <v>1</v>
      </c>
      <c r="AB16" s="1298">
        <v>1</v>
      </c>
      <c r="AC16" s="1298">
        <v>1</v>
      </c>
    </row>
    <row r="17" spans="1:29" ht="85.5">
      <c r="A17" s="1112"/>
      <c r="B17" s="1419" t="s">
        <v>1358</v>
      </c>
      <c r="C17" s="1137" t="str">
        <f>估价对象房地状况!G4</f>
        <v>估价对象周边道路状况、公共交通通达情况、停车便捷程度，综合评价交通便捷度较好</v>
      </c>
      <c r="D17" s="1135">
        <v>100</v>
      </c>
      <c r="E17" s="1138"/>
      <c r="F17" s="1472">
        <f>SUMIF(72:72,E18,73:73)-SUMIF(72:72,C18,73:73)+100</f>
        <v>100</v>
      </c>
      <c r="G17" s="1253"/>
      <c r="H17" s="1139">
        <f>SUMIF(72:72,G18,73:73)-SUMIF(72:72,C18,73:73)+100</f>
        <v>100</v>
      </c>
      <c r="I17" s="1138"/>
      <c r="J17" s="1139">
        <f>SUMIF(72:72,I18,73:73)-SUMIF(72:72,C18,73:73)+100</f>
        <v>100</v>
      </c>
      <c r="K17" s="1508"/>
      <c r="L17" s="1599"/>
      <c r="M17" s="1590"/>
      <c r="N17" s="1590"/>
      <c r="O17" s="1598"/>
      <c r="P17" s="3651"/>
      <c r="Q17" s="664" t="str">
        <f>B17</f>
        <v>交通便捷度</v>
      </c>
      <c r="R17" s="1287" t="s">
        <v>1343</v>
      </c>
      <c r="S17" s="1288">
        <f>F17</f>
        <v>100</v>
      </c>
      <c r="T17" s="1287" t="s">
        <v>1343</v>
      </c>
      <c r="U17" s="1288">
        <f>H17</f>
        <v>100</v>
      </c>
      <c r="V17" s="1287" t="s">
        <v>1343</v>
      </c>
      <c r="W17" s="1288">
        <f>J17</f>
        <v>100</v>
      </c>
      <c r="X17" s="1281"/>
      <c r="Y17" s="3651"/>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599"/>
      <c r="M18" s="1590"/>
      <c r="N18" s="1590"/>
      <c r="O18" s="1598"/>
      <c r="P18" s="3651"/>
      <c r="Q18" s="664"/>
      <c r="R18" s="1287"/>
      <c r="S18" s="1288"/>
      <c r="T18" s="1287"/>
      <c r="U18" s="1288"/>
      <c r="V18" s="1287"/>
      <c r="W18" s="1288"/>
      <c r="X18" s="1281"/>
      <c r="Y18" s="3651"/>
      <c r="Z18" s="1271"/>
      <c r="AA18" s="1298">
        <v>1</v>
      </c>
      <c r="AB18" s="1298">
        <v>1</v>
      </c>
      <c r="AC18" s="1298">
        <v>1</v>
      </c>
    </row>
    <row r="19" spans="1:29" ht="42.75">
      <c r="A19" s="1112"/>
      <c r="B19" s="1419" t="s">
        <v>1359</v>
      </c>
      <c r="C19" s="1137" t="str">
        <f>估价对象房地状况!G5</f>
        <v>估价对象所在区域公共配套设施齐备情况</v>
      </c>
      <c r="D19" s="1139">
        <v>100</v>
      </c>
      <c r="E19" s="1422"/>
      <c r="F19" s="1471">
        <f>SUMIF(74:74,E20,75:75)-SUMIF(74:74,C20,75:75)+100</f>
        <v>100</v>
      </c>
      <c r="G19" s="1430"/>
      <c r="H19" s="1135">
        <f>SUMIF(74:74,G20,75:75)-SUMIF(74:74,C20,75:75)+100</f>
        <v>100</v>
      </c>
      <c r="I19" s="1422"/>
      <c r="J19" s="1135">
        <f>SUMIF(74:74,I20,75:75)-SUMIF(74:74,C20,75:75)+100</f>
        <v>100</v>
      </c>
      <c r="K19" s="1508"/>
      <c r="L19" s="1599"/>
      <c r="M19" s="1590"/>
      <c r="N19" s="1590"/>
      <c r="O19" s="1598"/>
      <c r="P19" s="3651"/>
      <c r="Q19" s="664" t="str">
        <f>B19</f>
        <v>公共配套设施</v>
      </c>
      <c r="R19" s="1287" t="s">
        <v>1343</v>
      </c>
      <c r="S19" s="1288">
        <f>F19</f>
        <v>100</v>
      </c>
      <c r="T19" s="1287" t="s">
        <v>1343</v>
      </c>
      <c r="U19" s="1288">
        <f>H19</f>
        <v>100</v>
      </c>
      <c r="V19" s="1287" t="s">
        <v>1343</v>
      </c>
      <c r="W19" s="1288">
        <f>J19</f>
        <v>100</v>
      </c>
      <c r="X19" s="1281"/>
      <c r="Y19" s="3651"/>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599"/>
      <c r="M20" s="1590"/>
      <c r="N20" s="1590"/>
      <c r="O20" s="1598"/>
      <c r="P20" s="3651"/>
      <c r="Q20" s="664"/>
      <c r="R20" s="1287"/>
      <c r="S20" s="1288"/>
      <c r="T20" s="1287"/>
      <c r="U20" s="1288"/>
      <c r="V20" s="1287"/>
      <c r="W20" s="1288"/>
      <c r="X20" s="1281"/>
      <c r="Y20" s="3651"/>
      <c r="Z20" s="1271"/>
      <c r="AA20" s="1298">
        <v>1</v>
      </c>
      <c r="AB20" s="1298">
        <v>1</v>
      </c>
      <c r="AC20" s="1298">
        <v>1</v>
      </c>
    </row>
    <row r="21" spans="1:29" ht="28.5">
      <c r="A21" s="1112"/>
      <c r="B21" s="1423" t="s">
        <v>1360</v>
      </c>
      <c r="C21" s="1137" t="str">
        <f>估价对象房地状况!G6</f>
        <v>估价对象所在区域基础设施水平</v>
      </c>
      <c r="D21" s="1135">
        <v>100</v>
      </c>
      <c r="E21" s="1422"/>
      <c r="F21" s="1471">
        <f>SUMIF(76:76,E22,77:77)-SUMIF(76:76,C22,77:77)+100</f>
        <v>100</v>
      </c>
      <c r="G21" s="1430"/>
      <c r="H21" s="1135">
        <f>SUMIF(76:76,G22,77:77)-SUMIF(76:76,C22,77:77)+100</f>
        <v>100</v>
      </c>
      <c r="I21" s="1422"/>
      <c r="J21" s="1135">
        <f>SUMIF(76:76,I22,77:77)-SUMIF(76:76,C22,77:77)+100</f>
        <v>100</v>
      </c>
      <c r="K21" s="1508"/>
      <c r="L21" s="1599"/>
      <c r="M21" s="1590"/>
      <c r="N21" s="1590"/>
      <c r="O21" s="1598"/>
      <c r="P21" s="3651"/>
      <c r="Q21" s="664" t="str">
        <f>B21</f>
        <v>基础设施水平</v>
      </c>
      <c r="R21" s="1287" t="s">
        <v>1343</v>
      </c>
      <c r="S21" s="1288">
        <f>F21</f>
        <v>100</v>
      </c>
      <c r="T21" s="1287" t="s">
        <v>1343</v>
      </c>
      <c r="U21" s="1288">
        <f>H21</f>
        <v>100</v>
      </c>
      <c r="V21" s="1287" t="s">
        <v>1343</v>
      </c>
      <c r="W21" s="1288">
        <f>J21</f>
        <v>100</v>
      </c>
      <c r="X21" s="1281"/>
      <c r="Y21" s="3651"/>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599"/>
      <c r="M22" s="1590"/>
      <c r="N22" s="1590"/>
      <c r="O22" s="1598"/>
      <c r="P22" s="3651"/>
      <c r="Q22" s="664"/>
      <c r="R22" s="1287"/>
      <c r="S22" s="1288"/>
      <c r="T22" s="1287"/>
      <c r="U22" s="1288"/>
      <c r="V22" s="1287"/>
      <c r="W22" s="1288"/>
      <c r="X22" s="1281"/>
      <c r="Y22" s="3651"/>
      <c r="Z22" s="1271"/>
      <c r="AA22" s="1298">
        <v>1</v>
      </c>
      <c r="AB22" s="1298">
        <v>1</v>
      </c>
      <c r="AC22" s="1298">
        <v>1</v>
      </c>
    </row>
    <row r="23" spans="1:29" ht="71.25">
      <c r="A23" s="1112"/>
      <c r="B23" s="1419" t="s">
        <v>1361</v>
      </c>
      <c r="C23" s="1137" t="str">
        <f>估价对象房地状况!G7</f>
        <v>该园区内是否有污染型企业，绿化情况，卫生条件，整体环境状况判断</v>
      </c>
      <c r="D23" s="1135">
        <v>100</v>
      </c>
      <c r="E23" s="1138"/>
      <c r="F23" s="1472">
        <f>SUMIF(78:78,E24,79:79)-SUMIF(78:78,C24,79:79)+100</f>
        <v>100</v>
      </c>
      <c r="G23" s="1253"/>
      <c r="H23" s="1135">
        <f>SUMIF(78:78,G24,79:79)-SUMIF(78:78,C24,79:79)+100</f>
        <v>100</v>
      </c>
      <c r="I23" s="1138"/>
      <c r="J23" s="1135">
        <f>SUMIF(78:78,I24,79:79)-SUMIF(78:78,C24,79:79)+100</f>
        <v>100</v>
      </c>
      <c r="K23" s="1508"/>
      <c r="L23" s="1599"/>
      <c r="M23" s="1590"/>
      <c r="N23" s="1590"/>
      <c r="O23" s="1598"/>
      <c r="P23" s="3651"/>
      <c r="Q23" s="664" t="str">
        <f>B23</f>
        <v>环境质量</v>
      </c>
      <c r="R23" s="1287" t="s">
        <v>1343</v>
      </c>
      <c r="S23" s="1288">
        <f>F23</f>
        <v>100</v>
      </c>
      <c r="T23" s="1287" t="s">
        <v>1343</v>
      </c>
      <c r="U23" s="1288">
        <f>H23</f>
        <v>100</v>
      </c>
      <c r="V23" s="1287" t="s">
        <v>1343</v>
      </c>
      <c r="W23" s="1288">
        <f>J23</f>
        <v>100</v>
      </c>
      <c r="X23" s="1281"/>
      <c r="Y23" s="3651"/>
      <c r="Z23" s="1271" t="str">
        <f>Q23</f>
        <v>环境质量</v>
      </c>
      <c r="AA23" s="1298">
        <f t="shared" si="3"/>
        <v>1</v>
      </c>
      <c r="AB23" s="1298">
        <f t="shared" si="4"/>
        <v>1</v>
      </c>
      <c r="AC23" s="1298">
        <f t="shared" si="5"/>
        <v>1</v>
      </c>
    </row>
    <row r="24" spans="1:29" ht="15">
      <c r="A24" s="1112"/>
      <c r="B24" s="1423"/>
      <c r="C24" s="1132"/>
      <c r="D24" s="1133"/>
      <c r="E24" s="1141"/>
      <c r="F24" s="1470"/>
      <c r="G24" s="1254"/>
      <c r="H24" s="1133"/>
      <c r="I24" s="1141"/>
      <c r="J24" s="1133"/>
      <c r="K24" s="1509"/>
      <c r="L24" s="1599"/>
      <c r="M24" s="1590"/>
      <c r="N24" s="1590"/>
      <c r="O24" s="1598"/>
      <c r="P24" s="3651"/>
      <c r="Q24" s="664"/>
      <c r="R24" s="1287"/>
      <c r="S24" s="1288"/>
      <c r="T24" s="1287"/>
      <c r="U24" s="1288"/>
      <c r="V24" s="1287"/>
      <c r="W24" s="1288"/>
      <c r="X24" s="1281"/>
      <c r="Y24" s="3651"/>
      <c r="Z24" s="1271"/>
      <c r="AA24" s="1298">
        <v>1</v>
      </c>
      <c r="AB24" s="1298">
        <v>1</v>
      </c>
      <c r="AC24" s="1298">
        <v>1</v>
      </c>
    </row>
    <row r="25" spans="1:29" ht="15">
      <c r="A25" s="1092"/>
      <c r="B25" s="1424">
        <v>111</v>
      </c>
      <c r="C25" s="1120">
        <v>111</v>
      </c>
      <c r="D25" s="1121">
        <v>100</v>
      </c>
      <c r="E25" s="1120"/>
      <c r="F25" s="1473">
        <f>SUMIF(80:80,E25,81:81)-SUMIF(80:80,C25,81:81)+100</f>
        <v>100</v>
      </c>
      <c r="G25" s="1120"/>
      <c r="H25" s="1121">
        <f>SUMIF(80:80,G25,81:81)-SUMIF(80:80,C25,81:81)+100</f>
        <v>100</v>
      </c>
      <c r="I25" s="1120"/>
      <c r="J25" s="1121">
        <f>SUMIF(80:80,I25,81:81)-SUMIF(80:80,C25,81:81)+100</f>
        <v>100</v>
      </c>
      <c r="K25" s="1256"/>
      <c r="L25" s="1599"/>
      <c r="M25" s="1590"/>
      <c r="N25" s="1590"/>
      <c r="O25" s="1598"/>
      <c r="P25" s="3651"/>
      <c r="Q25" s="664">
        <f>B25</f>
        <v>111</v>
      </c>
      <c r="R25" s="1287" t="s">
        <v>1343</v>
      </c>
      <c r="S25" s="1288">
        <f>F25</f>
        <v>100</v>
      </c>
      <c r="T25" s="1287" t="s">
        <v>1343</v>
      </c>
      <c r="U25" s="1288">
        <f>H25</f>
        <v>100</v>
      </c>
      <c r="V25" s="1287" t="s">
        <v>1343</v>
      </c>
      <c r="W25" s="1288">
        <f>J25</f>
        <v>100</v>
      </c>
      <c r="X25" s="1281"/>
      <c r="Y25" s="3651"/>
      <c r="Z25" s="1271">
        <f>Q25</f>
        <v>111</v>
      </c>
      <c r="AA25" s="1298">
        <f t="shared" si="3"/>
        <v>1</v>
      </c>
      <c r="AB25" s="1298">
        <f t="shared" si="4"/>
        <v>1</v>
      </c>
      <c r="AC25" s="1298">
        <f t="shared" si="5"/>
        <v>1</v>
      </c>
    </row>
    <row r="26" spans="1:29" ht="15">
      <c r="A26" s="1112"/>
      <c r="B26" s="1424">
        <v>111</v>
      </c>
      <c r="C26" s="1120">
        <v>111</v>
      </c>
      <c r="D26" s="1121">
        <v>100</v>
      </c>
      <c r="E26" s="1120"/>
      <c r="F26" s="1473">
        <f>SUMIF(82:82,E26,83:83)-SUMIF(82:82,C26,83:83)+100</f>
        <v>100</v>
      </c>
      <c r="G26" s="1120"/>
      <c r="H26" s="1121">
        <f>SUMIF(82:82,G26,83:83)-SUMIF(82:82,C26,83:83)+100</f>
        <v>100</v>
      </c>
      <c r="I26" s="1120"/>
      <c r="J26" s="1121">
        <f>SUMIF(82:82,I26,83:83)-SUMIF(82:82,C26,83:83)+100</f>
        <v>100</v>
      </c>
      <c r="K26" s="1256"/>
      <c r="L26" s="1599"/>
      <c r="M26" s="1590"/>
      <c r="N26" s="1590"/>
      <c r="O26" s="1598"/>
      <c r="P26" s="3651"/>
      <c r="Q26" s="664">
        <f t="shared" ref="Q26:Q40" si="11">B26</f>
        <v>111</v>
      </c>
      <c r="R26" s="1287" t="s">
        <v>1343</v>
      </c>
      <c r="S26" s="1288">
        <f>F26</f>
        <v>100</v>
      </c>
      <c r="T26" s="1287" t="s">
        <v>1343</v>
      </c>
      <c r="U26" s="1288">
        <f>H26</f>
        <v>100</v>
      </c>
      <c r="V26" s="1287" t="s">
        <v>1343</v>
      </c>
      <c r="W26" s="1288">
        <f>J26</f>
        <v>100</v>
      </c>
      <c r="X26" s="1281"/>
      <c r="Y26" s="3651"/>
      <c r="Z26" s="1271">
        <f>Q26</f>
        <v>111</v>
      </c>
      <c r="AA26" s="1298">
        <f t="shared" si="3"/>
        <v>1</v>
      </c>
      <c r="AB26" s="1298">
        <f t="shared" si="4"/>
        <v>1</v>
      </c>
      <c r="AC26" s="1298">
        <f t="shared" si="5"/>
        <v>1</v>
      </c>
    </row>
    <row r="27" spans="1:29" s="1071" customFormat="1" ht="15">
      <c r="A27" s="1115"/>
      <c r="B27" s="1424">
        <v>111</v>
      </c>
      <c r="C27" s="1120">
        <v>111</v>
      </c>
      <c r="D27" s="1585">
        <v>100</v>
      </c>
      <c r="E27" s="1120"/>
      <c r="F27" s="1586">
        <f>SUMIF(84:84,E27,85:85)-SUMIF(84:84,C27,85:85)+100</f>
        <v>100</v>
      </c>
      <c r="G27" s="1120"/>
      <c r="H27" s="1585">
        <f>SUMIF(84:84,G27,85:85)-SUMIF(84:84,C27,85:85)+100</f>
        <v>100</v>
      </c>
      <c r="I27" s="1120"/>
      <c r="J27" s="1585">
        <f>SUMIF(84:84,I27,85:85)-SUMIF(84:84,C27,85:85)+100</f>
        <v>100</v>
      </c>
      <c r="K27" s="1256"/>
      <c r="L27" s="1591"/>
      <c r="M27" s="1592"/>
      <c r="N27" s="1592"/>
      <c r="O27" s="1593"/>
      <c r="P27" s="3651"/>
      <c r="Q27" s="1286">
        <f t="shared" si="11"/>
        <v>111</v>
      </c>
      <c r="R27" s="1282" t="s">
        <v>1343</v>
      </c>
      <c r="S27" s="1283">
        <f>F27</f>
        <v>100</v>
      </c>
      <c r="T27" s="1282" t="s">
        <v>1343</v>
      </c>
      <c r="U27" s="1283">
        <f>H27</f>
        <v>100</v>
      </c>
      <c r="V27" s="1282" t="s">
        <v>1343</v>
      </c>
      <c r="W27" s="1283">
        <f>J27</f>
        <v>100</v>
      </c>
      <c r="X27" s="1284"/>
      <c r="Y27" s="3651"/>
      <c r="Z27" s="1297">
        <f>Q27</f>
        <v>111</v>
      </c>
      <c r="AA27" s="1298">
        <f t="shared" si="3"/>
        <v>1</v>
      </c>
      <c r="AB27" s="1298">
        <f t="shared" si="4"/>
        <v>1</v>
      </c>
      <c r="AC27" s="1298">
        <f t="shared" si="5"/>
        <v>1</v>
      </c>
    </row>
    <row r="28" spans="1:29" ht="15">
      <c r="A28" s="1122"/>
      <c r="B28" s="1424">
        <v>111</v>
      </c>
      <c r="C28" s="1124">
        <v>111</v>
      </c>
      <c r="D28" s="1125">
        <v>100</v>
      </c>
      <c r="E28" s="1120"/>
      <c r="F28" s="1486">
        <f>SUMIF(86:86,E28,87:87)-SUMIF(86:86,C28,87:87)+100</f>
        <v>100</v>
      </c>
      <c r="G28" s="1467"/>
      <c r="H28" s="1125">
        <f>SUMIF(86:86,G28,87:87)-SUMIF(86:86,C28,87:87)+100</f>
        <v>100</v>
      </c>
      <c r="I28" s="1467"/>
      <c r="J28" s="1125">
        <f>SUMIF(86:86,I28,87:87)-SUMIF(86:86,C28,87:87)+100</f>
        <v>100</v>
      </c>
      <c r="K28" s="1256"/>
      <c r="L28" s="1599"/>
      <c r="M28" s="1590"/>
      <c r="N28" s="1590"/>
      <c r="O28" s="1598"/>
      <c r="P28" s="3651"/>
      <c r="Q28" s="664">
        <f t="shared" si="11"/>
        <v>111</v>
      </c>
      <c r="R28" s="1287" t="s">
        <v>1343</v>
      </c>
      <c r="S28" s="1288">
        <f t="shared" ref="S28:S40" si="12">F28</f>
        <v>100</v>
      </c>
      <c r="T28" s="1287" t="s">
        <v>1343</v>
      </c>
      <c r="U28" s="1288">
        <f t="shared" ref="U28:U40" si="13">H28</f>
        <v>100</v>
      </c>
      <c r="V28" s="1287" t="s">
        <v>1343</v>
      </c>
      <c r="W28" s="1288">
        <f t="shared" ref="W28:W40" si="14">J28</f>
        <v>100</v>
      </c>
      <c r="X28" s="1281"/>
      <c r="Y28" s="3651"/>
      <c r="Z28" s="1271">
        <f t="shared" ref="Z28:Z40" si="15">Q28</f>
        <v>111</v>
      </c>
      <c r="AA28" s="1298">
        <f t="shared" si="3"/>
        <v>1</v>
      </c>
      <c r="AB28" s="1298">
        <f t="shared" si="4"/>
        <v>1</v>
      </c>
      <c r="AC28" s="1298">
        <f t="shared" si="5"/>
        <v>1</v>
      </c>
    </row>
    <row r="29" spans="1:29" ht="28.5">
      <c r="A29" s="1477" t="s">
        <v>1367</v>
      </c>
      <c r="B29" s="1105" t="s">
        <v>1368</v>
      </c>
      <c r="C29" s="1478"/>
      <c r="D29" s="1162">
        <v>100</v>
      </c>
      <c r="E29" s="1478"/>
      <c r="F29" s="1473">
        <f>SUMIF(88:88,E29,89:89)-SUMIF(88:88,C29,89:89)+100</f>
        <v>100</v>
      </c>
      <c r="G29" s="1478"/>
      <c r="H29" s="1121">
        <f>SUMIF(88:88,G29,89:89)-SUMIF(88:88,C29,89:89)+100</f>
        <v>100</v>
      </c>
      <c r="I29" s="1478"/>
      <c r="J29" s="1162">
        <f>SUMIF(88:88,I29,89:89)-SUMIF(88:88,C29,89:89)+100</f>
        <v>100</v>
      </c>
      <c r="K29" s="1257"/>
      <c r="L29" s="1599"/>
      <c r="M29" s="1590"/>
      <c r="N29" s="1590"/>
      <c r="O29" s="1598"/>
      <c r="P29" s="3710" t="s">
        <v>1369</v>
      </c>
      <c r="Q29" s="664" t="str">
        <f t="shared" si="11"/>
        <v>建筑类型</v>
      </c>
      <c r="R29" s="1287" t="s">
        <v>1343</v>
      </c>
      <c r="S29" s="1288">
        <f t="shared" si="12"/>
        <v>100</v>
      </c>
      <c r="T29" s="1287" t="s">
        <v>1343</v>
      </c>
      <c r="U29" s="1288">
        <f t="shared" si="13"/>
        <v>100</v>
      </c>
      <c r="V29" s="1287" t="s">
        <v>1343</v>
      </c>
      <c r="W29" s="1288">
        <f t="shared" si="14"/>
        <v>100</v>
      </c>
      <c r="X29" s="1281"/>
      <c r="Y29" s="3652" t="s">
        <v>1369</v>
      </c>
      <c r="Z29" s="1271" t="str">
        <f t="shared" si="15"/>
        <v>建筑类型</v>
      </c>
      <c r="AA29" s="1298">
        <f t="shared" si="3"/>
        <v>1</v>
      </c>
      <c r="AB29" s="1298">
        <f t="shared" si="4"/>
        <v>1</v>
      </c>
      <c r="AC29" s="1298">
        <f t="shared" si="5"/>
        <v>1</v>
      </c>
    </row>
    <row r="30" spans="1:29" s="1073" customFormat="1" ht="15">
      <c r="A30" s="1168"/>
      <c r="B30" s="1109" t="s">
        <v>1370</v>
      </c>
      <c r="C30" s="1467"/>
      <c r="D30" s="1111">
        <v>100</v>
      </c>
      <c r="E30" s="1114"/>
      <c r="F30" s="1466" t="e">
        <f>LOOKUP(E30,91:91,92:92)-LOOKUP(C30,91:91,92:92)+100</f>
        <v>#N/A</v>
      </c>
      <c r="G30" s="1113"/>
      <c r="H30" s="1111" t="e">
        <f>LOOKUP(G30,91:91,92:92)-LOOKUP(C30,91:91,92:92)+100</f>
        <v>#N/A</v>
      </c>
      <c r="I30" s="1113"/>
      <c r="J30" s="1111" t="e">
        <f>LOOKUP(I30,91:91,92:92)-LOOKUP(C30,91:91,92:92)+100</f>
        <v>#N/A</v>
      </c>
      <c r="K30" s="1256"/>
      <c r="L30" s="1597"/>
      <c r="M30" s="1600"/>
      <c r="N30" s="1600"/>
      <c r="O30" s="1601"/>
      <c r="P30" s="3652"/>
      <c r="Q30" s="1512" t="str">
        <f t="shared" si="11"/>
        <v>项目建筑规模</v>
      </c>
      <c r="R30" s="1289" t="s">
        <v>1343</v>
      </c>
      <c r="S30" s="1290" t="e">
        <f t="shared" si="12"/>
        <v>#N/A</v>
      </c>
      <c r="T30" s="1289" t="s">
        <v>1343</v>
      </c>
      <c r="U30" s="1290" t="e">
        <f t="shared" si="13"/>
        <v>#N/A</v>
      </c>
      <c r="V30" s="1289" t="s">
        <v>1343</v>
      </c>
      <c r="W30" s="1290" t="e">
        <f t="shared" si="14"/>
        <v>#N/A</v>
      </c>
      <c r="X30" s="1291"/>
      <c r="Y30" s="3652"/>
      <c r="Z30" s="1299" t="str">
        <f t="shared" si="15"/>
        <v>项目建筑规模</v>
      </c>
      <c r="AA30" s="1298" t="e">
        <f t="shared" si="3"/>
        <v>#N/A</v>
      </c>
      <c r="AB30" s="1298" t="e">
        <f t="shared" si="4"/>
        <v>#N/A</v>
      </c>
      <c r="AC30" s="1298" t="e">
        <f t="shared" si="5"/>
        <v>#N/A</v>
      </c>
    </row>
    <row r="31" spans="1:29" ht="15">
      <c r="A31" s="1163"/>
      <c r="B31" s="1109" t="s">
        <v>1371</v>
      </c>
      <c r="C31" s="1483"/>
      <c r="D31" s="1121">
        <v>100</v>
      </c>
      <c r="E31" s="1483"/>
      <c r="F31" s="1473">
        <f>SUMIF(93:93,E31,94:94)-SUMIF(93:93,C31,94:94)+100</f>
        <v>100</v>
      </c>
      <c r="G31" s="1483"/>
      <c r="H31" s="1121">
        <f>SUMIF(93:93,G31,94:94)-SUMIF(93:93,C31,94:94)+100</f>
        <v>100</v>
      </c>
      <c r="I31" s="1483"/>
      <c r="J31" s="1121">
        <f>SUMIF(93:93,I31,94:94)-SUMIF(93:93,C31,94:94)+100</f>
        <v>100</v>
      </c>
      <c r="K31" s="1257"/>
      <c r="L31" s="1599"/>
      <c r="M31" s="1590"/>
      <c r="N31" s="1590"/>
      <c r="O31" s="1598"/>
      <c r="P31" s="3652"/>
      <c r="Q31" s="664" t="str">
        <f t="shared" si="11"/>
        <v>建筑结构</v>
      </c>
      <c r="R31" s="1287" t="s">
        <v>1343</v>
      </c>
      <c r="S31" s="1288">
        <f t="shared" si="12"/>
        <v>100</v>
      </c>
      <c r="T31" s="1287" t="s">
        <v>1343</v>
      </c>
      <c r="U31" s="1288">
        <f t="shared" si="13"/>
        <v>100</v>
      </c>
      <c r="V31" s="1287" t="s">
        <v>1343</v>
      </c>
      <c r="W31" s="1288">
        <f t="shared" si="14"/>
        <v>100</v>
      </c>
      <c r="X31" s="1281"/>
      <c r="Y31" s="3652"/>
      <c r="Z31" s="1271" t="str">
        <f t="shared" si="15"/>
        <v>建筑结构</v>
      </c>
      <c r="AA31" s="1298">
        <f t="shared" si="3"/>
        <v>1</v>
      </c>
      <c r="AB31" s="1298">
        <f t="shared" si="4"/>
        <v>1</v>
      </c>
      <c r="AC31" s="1298">
        <f t="shared" si="5"/>
        <v>1</v>
      </c>
    </row>
    <row r="32" spans="1:29" ht="15">
      <c r="A32" s="1163"/>
      <c r="B32" s="1109" t="s">
        <v>1373</v>
      </c>
      <c r="C32" s="1483"/>
      <c r="D32" s="1121">
        <v>100</v>
      </c>
      <c r="E32" s="1483"/>
      <c r="F32" s="1473">
        <f>SUMIF(95:95,E32,96:96)-SUMIF(95:95,C32,96:96)+100</f>
        <v>100</v>
      </c>
      <c r="G32" s="1483"/>
      <c r="H32" s="1121">
        <f>SUMIF(95:95,G32,96:96)-SUMIF(95:95,C32,96:96)+100</f>
        <v>100</v>
      </c>
      <c r="I32" s="1483"/>
      <c r="J32" s="1121">
        <f>SUMIF(95:95,I32,96:96)-SUMIF(95:95,C32,96:96)+100</f>
        <v>100</v>
      </c>
      <c r="K32" s="1257"/>
      <c r="L32" s="1599"/>
      <c r="M32" s="1590"/>
      <c r="N32" s="1590"/>
      <c r="O32" s="1598"/>
      <c r="P32" s="3652"/>
      <c r="Q32" s="664" t="str">
        <f t="shared" si="11"/>
        <v>公共部分装修</v>
      </c>
      <c r="R32" s="1287" t="s">
        <v>1343</v>
      </c>
      <c r="S32" s="1288">
        <f t="shared" si="12"/>
        <v>100</v>
      </c>
      <c r="T32" s="1287" t="s">
        <v>1343</v>
      </c>
      <c r="U32" s="1288">
        <f t="shared" si="13"/>
        <v>100</v>
      </c>
      <c r="V32" s="1287" t="s">
        <v>1343</v>
      </c>
      <c r="W32" s="1288">
        <f t="shared" si="14"/>
        <v>100</v>
      </c>
      <c r="X32" s="1281"/>
      <c r="Y32" s="3652"/>
      <c r="Z32" s="1271" t="str">
        <f t="shared" si="15"/>
        <v>公共部分装修</v>
      </c>
      <c r="AA32" s="1298">
        <f t="shared" si="3"/>
        <v>1</v>
      </c>
      <c r="AB32" s="1298">
        <f t="shared" si="4"/>
        <v>1</v>
      </c>
      <c r="AC32" s="1298">
        <f t="shared" si="5"/>
        <v>1</v>
      </c>
    </row>
    <row r="33" spans="1:29" ht="15">
      <c r="A33" s="1163"/>
      <c r="B33" s="1109" t="s">
        <v>636</v>
      </c>
      <c r="C33" s="1467"/>
      <c r="D33" s="1121">
        <v>100</v>
      </c>
      <c r="E33" s="1480"/>
      <c r="F33" s="1473" t="e">
        <f>LOOKUP(E33,98:98,99:99)-LOOKUP(C33,98:98,99:99)+100</f>
        <v>#N/A</v>
      </c>
      <c r="G33" s="1480"/>
      <c r="H33" s="1473" t="e">
        <f>LOOKUP(G33,98:98,99:99)-LOOKUP(C33,98:98,99:99)+100</f>
        <v>#N/A</v>
      </c>
      <c r="I33" s="1480"/>
      <c r="J33" s="1121" t="e">
        <f>LOOKUP(I33,98:98,99:99)-LOOKUP(C33,98:98,99:99)+100</f>
        <v>#N/A</v>
      </c>
      <c r="K33" s="1257"/>
      <c r="L33" s="1599"/>
      <c r="M33" s="1590"/>
      <c r="N33" s="1590"/>
      <c r="O33" s="1598"/>
      <c r="P33" s="3652"/>
      <c r="Q33" s="664" t="str">
        <f t="shared" si="11"/>
        <v>成新度</v>
      </c>
      <c r="R33" s="1287" t="s">
        <v>1343</v>
      </c>
      <c r="S33" s="1288" t="e">
        <f t="shared" si="12"/>
        <v>#N/A</v>
      </c>
      <c r="T33" s="1287" t="s">
        <v>1343</v>
      </c>
      <c r="U33" s="1288" t="e">
        <f t="shared" si="13"/>
        <v>#N/A</v>
      </c>
      <c r="V33" s="1287" t="s">
        <v>1343</v>
      </c>
      <c r="W33" s="1288" t="e">
        <f t="shared" si="14"/>
        <v>#N/A</v>
      </c>
      <c r="X33" s="1281"/>
      <c r="Y33" s="3652"/>
      <c r="Z33" s="1271" t="str">
        <f t="shared" si="15"/>
        <v>成新度</v>
      </c>
      <c r="AA33" s="1298" t="e">
        <f t="shared" si="3"/>
        <v>#N/A</v>
      </c>
      <c r="AB33" s="1298" t="e">
        <f t="shared" si="4"/>
        <v>#N/A</v>
      </c>
      <c r="AC33" s="1298" t="e">
        <f t="shared" si="5"/>
        <v>#N/A</v>
      </c>
    </row>
    <row r="34" spans="1:29" s="1071" customFormat="1" ht="15">
      <c r="A34" s="1165"/>
      <c r="B34" s="1109" t="s">
        <v>1377</v>
      </c>
      <c r="C34" s="1483"/>
      <c r="D34" s="1111">
        <v>100</v>
      </c>
      <c r="E34" s="1483"/>
      <c r="F34" s="1473">
        <f>SUMIF(100:100,E34,101:101)-SUMIF(100:100,C34,101:101)+100</f>
        <v>100</v>
      </c>
      <c r="G34" s="1483"/>
      <c r="H34" s="1121">
        <f>SUMIF(100:100,G34,101:101)-SUMIF(100:100,C34,101:101)+100</f>
        <v>100</v>
      </c>
      <c r="I34" s="1483"/>
      <c r="J34" s="1121">
        <f>SUMIF(100:100,I34,101:101)-SUMIF(100:100,C34,101:101)+100</f>
        <v>100</v>
      </c>
      <c r="K34" s="1257"/>
      <c r="L34" s="1591"/>
      <c r="M34" s="1592"/>
      <c r="N34" s="1592"/>
      <c r="O34" s="1593"/>
      <c r="P34" s="3652"/>
      <c r="Q34" s="1286" t="str">
        <f t="shared" si="11"/>
        <v>物业管理</v>
      </c>
      <c r="R34" s="1282" t="s">
        <v>1343</v>
      </c>
      <c r="S34" s="1283">
        <f t="shared" si="12"/>
        <v>100</v>
      </c>
      <c r="T34" s="1282" t="s">
        <v>1343</v>
      </c>
      <c r="U34" s="1283">
        <f t="shared" si="13"/>
        <v>100</v>
      </c>
      <c r="V34" s="1282" t="s">
        <v>1343</v>
      </c>
      <c r="W34" s="1283">
        <f t="shared" si="14"/>
        <v>100</v>
      </c>
      <c r="X34" s="1284"/>
      <c r="Y34" s="3652"/>
      <c r="Z34" s="1297" t="str">
        <f t="shared" si="15"/>
        <v>物业管理</v>
      </c>
      <c r="AA34" s="1296">
        <f t="shared" si="3"/>
        <v>1</v>
      </c>
      <c r="AB34" s="1296">
        <f t="shared" si="4"/>
        <v>1</v>
      </c>
      <c r="AC34" s="1296">
        <f t="shared" si="5"/>
        <v>1</v>
      </c>
    </row>
    <row r="35" spans="1:29" ht="15">
      <c r="A35" s="1163"/>
      <c r="B35" s="1109" t="s">
        <v>1379</v>
      </c>
      <c r="C35" s="1483"/>
      <c r="D35" s="1121">
        <v>100</v>
      </c>
      <c r="E35" s="1483"/>
      <c r="F35" s="1473">
        <f>SUMIF(102:102,E35,103:103)-SUMIF(102:102,C35,103:103)+100</f>
        <v>100</v>
      </c>
      <c r="G35" s="1483"/>
      <c r="H35" s="1121">
        <f>SUMIF(102:102,G35,103:103)-SUMIF(102:102,C35,103:103)+100</f>
        <v>100</v>
      </c>
      <c r="I35" s="1483"/>
      <c r="J35" s="1121">
        <f>SUMIF(102:102,I35,103:103)-SUMIF(102:102,C35,103:103)+100</f>
        <v>100</v>
      </c>
      <c r="K35" s="1257"/>
      <c r="L35" s="1599"/>
      <c r="M35" s="1590"/>
      <c r="N35" s="1590"/>
      <c r="O35" s="1598"/>
      <c r="P35" s="3652" t="s">
        <v>1369</v>
      </c>
      <c r="Q35" s="664" t="str">
        <f t="shared" si="11"/>
        <v>市政基础设施</v>
      </c>
      <c r="R35" s="1287" t="s">
        <v>1343</v>
      </c>
      <c r="S35" s="1288">
        <f t="shared" si="12"/>
        <v>100</v>
      </c>
      <c r="T35" s="1287" t="s">
        <v>1343</v>
      </c>
      <c r="U35" s="1288">
        <f t="shared" si="13"/>
        <v>100</v>
      </c>
      <c r="V35" s="1287" t="s">
        <v>1343</v>
      </c>
      <c r="W35" s="1288">
        <f t="shared" si="14"/>
        <v>100</v>
      </c>
      <c r="X35" s="1281"/>
      <c r="Y35" s="3652" t="s">
        <v>1369</v>
      </c>
      <c r="Z35" s="1271" t="str">
        <f t="shared" si="15"/>
        <v>市政基础设施</v>
      </c>
      <c r="AA35" s="1298">
        <f t="shared" si="3"/>
        <v>1</v>
      </c>
      <c r="AB35" s="1298">
        <f t="shared" si="4"/>
        <v>1</v>
      </c>
      <c r="AC35" s="1298">
        <f t="shared" si="5"/>
        <v>1</v>
      </c>
    </row>
    <row r="36" spans="1:29" ht="15">
      <c r="A36" s="1163"/>
      <c r="B36" s="1109" t="s">
        <v>1382</v>
      </c>
      <c r="C36" s="1483"/>
      <c r="D36" s="1121">
        <v>100</v>
      </c>
      <c r="E36" s="1483"/>
      <c r="F36" s="1473">
        <f>SUMIF(104:104,E36,105:105)-SUMIF(104:104,C36,105:105)+100</f>
        <v>100</v>
      </c>
      <c r="G36" s="1483"/>
      <c r="H36" s="1121">
        <f>SUMIF(104:104,G36,105:105)-SUMIF(104:104,C36,105:105)+100</f>
        <v>100</v>
      </c>
      <c r="I36" s="1483"/>
      <c r="J36" s="1121">
        <f>SUMIF(104:104,I36,105:105)-SUMIF(104:104,C36,105:105)+100</f>
        <v>100</v>
      </c>
      <c r="K36" s="1257"/>
      <c r="L36" s="1599"/>
      <c r="M36" s="1590"/>
      <c r="N36" s="1590"/>
      <c r="O36" s="1598"/>
      <c r="P36" s="3652"/>
      <c r="Q36" s="664" t="str">
        <f t="shared" si="11"/>
        <v>内部装修</v>
      </c>
      <c r="R36" s="1287" t="s">
        <v>1343</v>
      </c>
      <c r="S36" s="1288">
        <f t="shared" si="12"/>
        <v>100</v>
      </c>
      <c r="T36" s="1287" t="s">
        <v>1343</v>
      </c>
      <c r="U36" s="1288">
        <f t="shared" si="13"/>
        <v>100</v>
      </c>
      <c r="V36" s="1287" t="s">
        <v>1343</v>
      </c>
      <c r="W36" s="1288">
        <f t="shared" si="14"/>
        <v>100</v>
      </c>
      <c r="X36" s="1281"/>
      <c r="Y36" s="3652"/>
      <c r="Z36" s="1271" t="str">
        <f t="shared" si="15"/>
        <v>内部装修</v>
      </c>
      <c r="AA36" s="1298">
        <f t="shared" si="3"/>
        <v>1</v>
      </c>
      <c r="AB36" s="1298">
        <f t="shared" si="4"/>
        <v>1</v>
      </c>
      <c r="AC36" s="1298">
        <f t="shared" si="5"/>
        <v>1</v>
      </c>
    </row>
    <row r="37" spans="1:29" ht="15">
      <c r="A37" s="1163"/>
      <c r="B37" s="1109" t="s">
        <v>1592</v>
      </c>
      <c r="C37" s="1146"/>
      <c r="D37" s="1121">
        <v>100</v>
      </c>
      <c r="E37" s="1146"/>
      <c r="F37" s="1473">
        <f>SUMIF(106:106,E37,107:107)-SUMIF(106:106,C37,107:107)+100</f>
        <v>100</v>
      </c>
      <c r="G37" s="1146"/>
      <c r="H37" s="1121">
        <f>SUMIF(106:106,G37,107:107)-SUMIF(106:106,C37,107:107)+100</f>
        <v>100</v>
      </c>
      <c r="I37" s="1146"/>
      <c r="J37" s="1121">
        <f>SUMIF(106:106,I37,107:107)-SUMIF(106:106,C37,107:107)+100</f>
        <v>100</v>
      </c>
      <c r="K37" s="1257"/>
      <c r="L37" s="1599"/>
      <c r="M37" s="1590"/>
      <c r="N37" s="1590"/>
      <c r="O37" s="1598"/>
      <c r="P37" s="3652"/>
      <c r="Q37" s="664" t="str">
        <f t="shared" si="11"/>
        <v>内部装修状况</v>
      </c>
      <c r="R37" s="1287" t="s">
        <v>1343</v>
      </c>
      <c r="S37" s="1288">
        <f t="shared" si="12"/>
        <v>100</v>
      </c>
      <c r="T37" s="1287" t="s">
        <v>1343</v>
      </c>
      <c r="U37" s="1288">
        <f t="shared" si="13"/>
        <v>100</v>
      </c>
      <c r="V37" s="1287" t="s">
        <v>1343</v>
      </c>
      <c r="W37" s="1288">
        <f t="shared" si="14"/>
        <v>100</v>
      </c>
      <c r="X37" s="1281"/>
      <c r="Y37" s="3652"/>
      <c r="Z37" s="1271" t="str">
        <f t="shared" si="15"/>
        <v>内部装修状况</v>
      </c>
      <c r="AA37" s="1298">
        <f t="shared" si="3"/>
        <v>1</v>
      </c>
      <c r="AB37" s="1298">
        <f t="shared" si="4"/>
        <v>1</v>
      </c>
      <c r="AC37" s="1298">
        <f t="shared" si="5"/>
        <v>1</v>
      </c>
    </row>
    <row r="38" spans="1:29" s="1073" customFormat="1" ht="15">
      <c r="A38" s="1168"/>
      <c r="B38" s="1424">
        <v>111</v>
      </c>
      <c r="C38" s="1467"/>
      <c r="D38" s="1121">
        <v>100</v>
      </c>
      <c r="E38" s="1120"/>
      <c r="F38" s="1473">
        <f>SUMIF(108:108,E38,109:109)-SUMIF(108:108,C38,109:109)+100</f>
        <v>100</v>
      </c>
      <c r="G38" s="1467"/>
      <c r="H38" s="1121">
        <f>SUMIF(108:108,G38,109:109)-SUMIF(108:108,C38,109:109)+100</f>
        <v>100</v>
      </c>
      <c r="I38" s="1467"/>
      <c r="J38" s="1121">
        <f>SUMIF(108:108,I38,109:1038)-SUMIF(108:108,C38,109:109)+100</f>
        <v>100</v>
      </c>
      <c r="K38" s="1256"/>
      <c r="L38" s="1597"/>
      <c r="M38" s="1600"/>
      <c r="N38" s="1600"/>
      <c r="O38" s="1601"/>
      <c r="P38" s="3652"/>
      <c r="Q38" s="1512">
        <f t="shared" si="11"/>
        <v>111</v>
      </c>
      <c r="R38" s="1289" t="s">
        <v>1343</v>
      </c>
      <c r="S38" s="1290">
        <f t="shared" si="12"/>
        <v>100</v>
      </c>
      <c r="T38" s="1289" t="s">
        <v>1343</v>
      </c>
      <c r="U38" s="1290">
        <f t="shared" si="13"/>
        <v>100</v>
      </c>
      <c r="V38" s="1289" t="s">
        <v>1343</v>
      </c>
      <c r="W38" s="1290">
        <f t="shared" si="14"/>
        <v>100</v>
      </c>
      <c r="X38" s="1291"/>
      <c r="Y38" s="3652"/>
      <c r="Z38" s="1299">
        <f t="shared" si="15"/>
        <v>111</v>
      </c>
      <c r="AA38" s="1298">
        <f t="shared" si="3"/>
        <v>1</v>
      </c>
      <c r="AB38" s="1298">
        <f t="shared" si="4"/>
        <v>1</v>
      </c>
      <c r="AC38" s="1298">
        <f t="shared" si="5"/>
        <v>1</v>
      </c>
    </row>
    <row r="39" spans="1:29" ht="15">
      <c r="A39" s="1163"/>
      <c r="B39" s="1424">
        <v>111</v>
      </c>
      <c r="C39" s="1467"/>
      <c r="D39" s="1121">
        <v>100</v>
      </c>
      <c r="E39" s="1120"/>
      <c r="F39" s="1473">
        <f>SUMIF(110:110,E39,111:111)-SUMIF(110:110,C39,111:111)+100</f>
        <v>100</v>
      </c>
      <c r="G39" s="1467"/>
      <c r="H39" s="1121">
        <f>SUMIF(110:110,G39,111:111)-SUMIF(110:110,C39,111:111)+100</f>
        <v>100</v>
      </c>
      <c r="I39" s="1467"/>
      <c r="J39" s="1121">
        <f>SUMIF(110:110,I39,111:111)-SUMIF(110:110,C39,111:111)+100</f>
        <v>100</v>
      </c>
      <c r="K39" s="1256"/>
      <c r="L39" s="1599"/>
      <c r="M39" s="1590"/>
      <c r="N39" s="1590"/>
      <c r="O39" s="1598"/>
      <c r="P39" s="3652"/>
      <c r="Q39" s="664">
        <f t="shared" si="11"/>
        <v>111</v>
      </c>
      <c r="R39" s="1287" t="s">
        <v>1343</v>
      </c>
      <c r="S39" s="1288">
        <f t="shared" si="12"/>
        <v>100</v>
      </c>
      <c r="T39" s="1287" t="s">
        <v>1343</v>
      </c>
      <c r="U39" s="1288">
        <f t="shared" si="13"/>
        <v>100</v>
      </c>
      <c r="V39" s="1287" t="s">
        <v>1343</v>
      </c>
      <c r="W39" s="1288">
        <f t="shared" si="14"/>
        <v>100</v>
      </c>
      <c r="X39" s="1281"/>
      <c r="Y39" s="3652"/>
      <c r="Z39" s="1271">
        <f t="shared" si="15"/>
        <v>111</v>
      </c>
      <c r="AA39" s="1298">
        <f t="shared" si="3"/>
        <v>1</v>
      </c>
      <c r="AB39" s="1298">
        <f t="shared" si="4"/>
        <v>1</v>
      </c>
      <c r="AC39" s="1298">
        <f t="shared" si="5"/>
        <v>1</v>
      </c>
    </row>
    <row r="40" spans="1:29" ht="15">
      <c r="A40" s="1485"/>
      <c r="B40" s="1123">
        <v>111</v>
      </c>
      <c r="C40" s="1124"/>
      <c r="D40" s="1125">
        <v>100</v>
      </c>
      <c r="E40" s="1120"/>
      <c r="F40" s="1486">
        <f>SUMIF(112:112,E40,113:113)-SUMIF(112:112,C40,113:113)+100</f>
        <v>100</v>
      </c>
      <c r="G40" s="1467"/>
      <c r="H40" s="1125">
        <f>SUMIF(112:112,G40,113:113)-SUMIF(112:112,C40,113:113)+100</f>
        <v>100</v>
      </c>
      <c r="I40" s="1467"/>
      <c r="J40" s="1125">
        <f>SUMIF(112:112,I40,113:113)-SUMIF(112:112,C40,113:113)+100</f>
        <v>100</v>
      </c>
      <c r="K40" s="1256"/>
      <c r="L40" s="1599"/>
      <c r="M40" s="1590"/>
      <c r="N40" s="1590"/>
      <c r="O40" s="1598"/>
      <c r="P40" s="3653"/>
      <c r="Q40" s="664">
        <f t="shared" si="11"/>
        <v>111</v>
      </c>
      <c r="R40" s="1287" t="s">
        <v>1343</v>
      </c>
      <c r="S40" s="1288">
        <f t="shared" si="12"/>
        <v>100</v>
      </c>
      <c r="T40" s="1287" t="s">
        <v>1343</v>
      </c>
      <c r="U40" s="1288">
        <f t="shared" si="13"/>
        <v>100</v>
      </c>
      <c r="V40" s="1287" t="s">
        <v>1343</v>
      </c>
      <c r="W40" s="1288">
        <f t="shared" si="14"/>
        <v>100</v>
      </c>
      <c r="X40" s="1281"/>
      <c r="Y40" s="3653"/>
      <c r="Z40" s="1271">
        <f t="shared" si="15"/>
        <v>111</v>
      </c>
      <c r="AA40" s="1298">
        <f t="shared" si="3"/>
        <v>1</v>
      </c>
      <c r="AB40" s="1298">
        <f t="shared" si="4"/>
        <v>1</v>
      </c>
      <c r="AC40" s="1298">
        <f t="shared" si="5"/>
        <v>1</v>
      </c>
    </row>
    <row r="41" spans="1:29" ht="15">
      <c r="A41" s="1170" t="s">
        <v>1385</v>
      </c>
      <c r="B41" s="1487"/>
      <c r="C41" s="1488" t="s">
        <v>124</v>
      </c>
      <c r="D41" s="1489"/>
      <c r="E41" s="1490"/>
      <c r="F41" s="1491"/>
      <c r="G41" s="1492"/>
      <c r="H41" s="1493"/>
      <c r="I41" s="1490"/>
      <c r="J41" s="1493"/>
      <c r="K41" s="1262"/>
      <c r="L41" s="1602"/>
      <c r="M41" s="1222"/>
      <c r="N41" s="1590"/>
      <c r="O41" s="1222"/>
      <c r="P41" s="3643" t="str">
        <f>A41</f>
        <v>成交单价（元/平方米）</v>
      </c>
      <c r="Q41" s="3643"/>
      <c r="R41" s="3644">
        <f>E41</f>
        <v>0</v>
      </c>
      <c r="S41" s="3644"/>
      <c r="T41" s="3644">
        <f>G41</f>
        <v>0</v>
      </c>
      <c r="U41" s="3644"/>
      <c r="V41" s="3644">
        <f>I41</f>
        <v>0</v>
      </c>
      <c r="W41" s="3644"/>
      <c r="X41" s="1227"/>
      <c r="Y41" s="1300"/>
      <c r="Z41" s="1227"/>
      <c r="AA41" s="1227"/>
      <c r="AB41" s="1227"/>
      <c r="AC41" s="1227"/>
    </row>
    <row r="42" spans="1:29" ht="15">
      <c r="A42" s="1178" t="s">
        <v>1386</v>
      </c>
      <c r="B42" s="1494"/>
      <c r="C42" s="1495" t="e">
        <f>R43</f>
        <v>#DIV/0!</v>
      </c>
      <c r="D42" s="1181" t="s">
        <v>1387</v>
      </c>
      <c r="E42" s="1496" t="e">
        <f>R42</f>
        <v>#DIV/0!</v>
      </c>
      <c r="F42" s="1182"/>
      <c r="G42" s="1495" t="e">
        <f>T42</f>
        <v>#DIV/0!</v>
      </c>
      <c r="H42" s="1182"/>
      <c r="I42" s="1496" t="e">
        <f>V42</f>
        <v>#DIV/0!</v>
      </c>
      <c r="J42" s="1182"/>
      <c r="K42" s="1264">
        <f>F42+H42+J42</f>
        <v>0</v>
      </c>
      <c r="L42" s="1602"/>
      <c r="M42" s="1222"/>
      <c r="N42" s="1590"/>
      <c r="O42" s="1222"/>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227"/>
      <c r="Y42" s="1227"/>
      <c r="Z42" s="1227"/>
      <c r="AA42" s="1227"/>
      <c r="AB42" s="1227"/>
      <c r="AC42" s="1227"/>
    </row>
    <row r="43" spans="1:29" ht="15">
      <c r="A43" s="1184" t="s">
        <v>1388</v>
      </c>
      <c r="B43" s="1185"/>
      <c r="C43" s="1497" t="e">
        <f>R43</f>
        <v>#DIV/0!</v>
      </c>
      <c r="D43" s="1497"/>
      <c r="E43" s="1497"/>
      <c r="F43" s="1497"/>
      <c r="G43" s="1497"/>
      <c r="H43" s="1497"/>
      <c r="I43" s="1497"/>
      <c r="J43" s="1497"/>
      <c r="K43" s="1265"/>
      <c r="L43" s="1602"/>
      <c r="M43" s="1222"/>
      <c r="N43" s="1222"/>
      <c r="O43" s="1222"/>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1389</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1390</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1391</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03"/>
      <c r="M48" s="1604"/>
      <c r="N48" s="1604"/>
      <c r="O48" s="1604"/>
    </row>
    <row r="49" spans="1:17" s="1074" customFormat="1">
      <c r="A49" s="1192"/>
      <c r="B49" s="1193"/>
      <c r="C49" s="1498"/>
      <c r="D49" s="1192"/>
      <c r="E49" s="1192"/>
      <c r="F49" s="1192"/>
      <c r="G49" s="1192"/>
      <c r="H49" s="1192"/>
      <c r="I49" s="1192"/>
      <c r="J49" s="1192"/>
      <c r="K49" s="1269"/>
      <c r="L49" s="1603"/>
      <c r="M49" s="1604"/>
      <c r="N49" s="1604"/>
      <c r="O49" s="1604"/>
    </row>
    <row r="50" spans="1:17">
      <c r="A50" s="1187"/>
      <c r="B50" s="1193"/>
      <c r="C50" s="1498"/>
      <c r="D50" s="1187"/>
      <c r="E50" s="1187"/>
      <c r="F50" s="1187"/>
      <c r="G50" s="1187"/>
      <c r="H50" s="1187"/>
      <c r="I50" s="1187"/>
      <c r="J50" s="1187"/>
      <c r="K50" s="1267"/>
      <c r="L50" s="1276"/>
      <c r="M50" s="1222"/>
      <c r="N50" s="1222"/>
      <c r="O50" s="1222"/>
    </row>
    <row r="51" spans="1:17" ht="21">
      <c r="A51" s="1226" t="s">
        <v>1392</v>
      </c>
      <c r="B51" s="1227"/>
      <c r="C51" s="1228"/>
      <c r="D51" s="1228"/>
      <c r="E51" s="1228"/>
      <c r="F51" s="1229"/>
      <c r="G51" s="1229"/>
      <c r="H51" s="1228"/>
      <c r="I51" s="1228"/>
      <c r="J51" s="1228"/>
      <c r="K51" s="1442"/>
      <c r="L51" s="1443"/>
      <c r="M51" s="1279"/>
      <c r="N51" s="1279"/>
      <c r="O51" s="1279"/>
      <c r="P51" s="1605"/>
      <c r="Q51" s="1607"/>
    </row>
    <row r="52" spans="1:17" s="1076" customFormat="1" ht="15">
      <c r="A52" s="1499" t="s">
        <v>1341</v>
      </c>
      <c r="B52" s="1500"/>
      <c r="C52" s="1501" t="str">
        <f>YEAR(C7)&amp;"-"&amp;MONTH(C7)</f>
        <v>2023-10</v>
      </c>
      <c r="D52" s="1502">
        <f>EDATE(C52,-1)</f>
        <v>45170</v>
      </c>
      <c r="E52" s="1502">
        <f t="shared" ref="E52:O52" si="16">EDATE(D52,-1)</f>
        <v>45139</v>
      </c>
      <c r="F52" s="1502">
        <f t="shared" si="16"/>
        <v>45108</v>
      </c>
      <c r="G52" s="1502">
        <f t="shared" si="16"/>
        <v>45078</v>
      </c>
      <c r="H52" s="1502">
        <f t="shared" si="16"/>
        <v>45047</v>
      </c>
      <c r="I52" s="1502">
        <f t="shared" si="16"/>
        <v>45017</v>
      </c>
      <c r="J52" s="1502">
        <f t="shared" si="16"/>
        <v>44986</v>
      </c>
      <c r="K52" s="1502">
        <f t="shared" si="16"/>
        <v>44958</v>
      </c>
      <c r="L52" s="1502">
        <f t="shared" si="16"/>
        <v>44927</v>
      </c>
      <c r="M52" s="1502">
        <f t="shared" si="16"/>
        <v>44896</v>
      </c>
      <c r="N52" s="1502">
        <f t="shared" si="16"/>
        <v>44866</v>
      </c>
      <c r="O52" s="1502">
        <f t="shared" si="16"/>
        <v>44835</v>
      </c>
      <c r="P52" s="1606"/>
    </row>
    <row r="53" spans="1:17" s="1071" customFormat="1" ht="15">
      <c r="A53" s="1503"/>
      <c r="B53" s="1311"/>
      <c r="C53" s="1504">
        <v>100</v>
      </c>
      <c r="D53" s="1315"/>
      <c r="E53" s="1315"/>
      <c r="F53" s="1315"/>
      <c r="G53" s="1315"/>
      <c r="H53" s="1315"/>
      <c r="I53" s="1315"/>
      <c r="J53" s="1315"/>
      <c r="K53" s="1315"/>
      <c r="L53" s="1315"/>
      <c r="M53" s="1511"/>
      <c r="N53" s="1315"/>
      <c r="O53" s="1361"/>
      <c r="P53" s="1607"/>
    </row>
    <row r="54" spans="1:17" s="1071" customFormat="1" ht="15">
      <c r="A54" s="1306" t="s">
        <v>1393</v>
      </c>
      <c r="B54" s="1307"/>
      <c r="C54" s="1308"/>
      <c r="D54" s="1309"/>
      <c r="E54" s="1309"/>
      <c r="F54" s="1309"/>
      <c r="G54" s="1309"/>
      <c r="H54" s="1309"/>
      <c r="I54" s="1309"/>
      <c r="J54" s="1309"/>
      <c r="K54" s="1309"/>
      <c r="L54" s="1309"/>
      <c r="M54" s="1355"/>
      <c r="N54" s="1608"/>
      <c r="O54" s="1609"/>
      <c r="P54" s="1607"/>
      <c r="Q54" s="1607"/>
    </row>
    <row r="55" spans="1:17" s="1071" customFormat="1" ht="15">
      <c r="A55" s="1310" t="s">
        <v>1344</v>
      </c>
      <c r="B55" s="1311"/>
      <c r="C55" s="1312" t="s">
        <v>1394</v>
      </c>
      <c r="D55" s="1313"/>
      <c r="E55" s="1313"/>
      <c r="F55" s="1313"/>
      <c r="G55" s="1313"/>
      <c r="H55" s="1313"/>
      <c r="I55" s="1313"/>
      <c r="J55" s="1313"/>
      <c r="K55" s="1313"/>
      <c r="L55" s="1357"/>
      <c r="M55" s="1358"/>
      <c r="N55" s="1610"/>
      <c r="O55" s="1610"/>
      <c r="P55" s="1611"/>
      <c r="Q55" s="1607"/>
    </row>
    <row r="56" spans="1:17" s="1071" customFormat="1" ht="15">
      <c r="A56" s="1310"/>
      <c r="B56" s="1311"/>
      <c r="C56" s="1314">
        <v>100</v>
      </c>
      <c r="D56" s="1315"/>
      <c r="E56" s="1315"/>
      <c r="F56" s="1315"/>
      <c r="G56" s="1315"/>
      <c r="H56" s="1315"/>
      <c r="I56" s="1315"/>
      <c r="J56" s="1315"/>
      <c r="K56" s="1315"/>
      <c r="L56" s="1315"/>
      <c r="M56" s="1361"/>
      <c r="N56" s="1610"/>
      <c r="O56" s="1610"/>
      <c r="P56" s="1607"/>
      <c r="Q56" s="1607"/>
    </row>
    <row r="57" spans="1:17">
      <c r="A57" s="1316" t="s">
        <v>1395</v>
      </c>
      <c r="B57" s="1317" t="s">
        <v>1349</v>
      </c>
      <c r="C57" s="1337">
        <f>C9</f>
        <v>0</v>
      </c>
      <c r="D57" s="1260"/>
      <c r="E57" s="1260"/>
      <c r="F57" s="1260"/>
      <c r="G57" s="1260"/>
      <c r="H57" s="1260"/>
      <c r="I57" s="1260"/>
      <c r="J57" s="1260"/>
      <c r="K57" s="1362"/>
      <c r="L57" s="1363"/>
      <c r="M57" s="1364"/>
      <c r="N57" s="1612"/>
      <c r="O57" s="1612"/>
      <c r="P57" s="1613"/>
      <c r="Q57" s="1607"/>
    </row>
    <row r="58" spans="1:17" ht="15">
      <c r="A58" s="1318"/>
      <c r="B58" s="1319"/>
      <c r="C58" s="964">
        <v>100</v>
      </c>
      <c r="D58" s="964"/>
      <c r="E58" s="964"/>
      <c r="F58" s="964"/>
      <c r="G58" s="964"/>
      <c r="H58" s="964"/>
      <c r="I58" s="964"/>
      <c r="J58" s="964"/>
      <c r="K58" s="964"/>
      <c r="L58" s="964"/>
      <c r="M58" s="1367"/>
      <c r="N58" s="1614"/>
      <c r="O58" s="1614"/>
      <c r="P58" s="1613"/>
      <c r="Q58" s="1607"/>
    </row>
    <row r="59" spans="1:17" ht="27">
      <c r="A59" s="1318"/>
      <c r="B59" s="1320" t="s">
        <v>1352</v>
      </c>
      <c r="C59" s="1344"/>
      <c r="D59" s="1344"/>
      <c r="E59" s="1344"/>
      <c r="F59" s="1344"/>
      <c r="G59" s="1344"/>
      <c r="H59" s="1344"/>
      <c r="I59" s="1344"/>
      <c r="J59" s="1344"/>
      <c r="K59" s="1395"/>
      <c r="L59" s="1396"/>
      <c r="M59" s="1397"/>
      <c r="N59" s="1612"/>
      <c r="O59" s="1612"/>
      <c r="P59" s="1613"/>
      <c r="Q59" s="1607"/>
    </row>
    <row r="60" spans="1:17" ht="15">
      <c r="A60" s="1318"/>
      <c r="B60" s="1322"/>
      <c r="C60" s="964"/>
      <c r="D60" s="964"/>
      <c r="E60" s="964"/>
      <c r="F60" s="964"/>
      <c r="G60" s="964"/>
      <c r="H60" s="964"/>
      <c r="I60" s="964"/>
      <c r="J60" s="964"/>
      <c r="K60" s="964"/>
      <c r="L60" s="964"/>
      <c r="M60" s="1367"/>
      <c r="N60" s="1614"/>
      <c r="O60" s="1614"/>
      <c r="P60" s="1613"/>
      <c r="Q60" s="1607"/>
    </row>
    <row r="61" spans="1:17" ht="15">
      <c r="A61" s="1318"/>
      <c r="B61" s="1324" t="s">
        <v>1353</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3" t="str">
        <f>M62&amp;"（含）"&amp;"-"&amp;P62</f>
        <v>（含）-</v>
      </c>
      <c r="N61" s="1614"/>
      <c r="O61" s="1614"/>
      <c r="P61" s="1613"/>
      <c r="Q61" s="1607"/>
    </row>
    <row r="62" spans="1:17" ht="15">
      <c r="A62" s="1318"/>
      <c r="B62" s="1326"/>
      <c r="C62" s="1118">
        <v>0</v>
      </c>
      <c r="D62" s="1118">
        <v>2</v>
      </c>
      <c r="E62" s="1118"/>
      <c r="F62" s="1118"/>
      <c r="G62" s="1118"/>
      <c r="H62" s="1118"/>
      <c r="I62" s="1118"/>
      <c r="J62" s="1118"/>
      <c r="K62" s="1373"/>
      <c r="L62" s="1374"/>
      <c r="M62" s="1375"/>
      <c r="N62" s="1612"/>
      <c r="O62" s="1612"/>
      <c r="P62" s="1613"/>
      <c r="Q62" s="1607"/>
    </row>
    <row r="63" spans="1:17" ht="15">
      <c r="A63" s="1318"/>
      <c r="B63" s="1319"/>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2">
        <f t="shared" si="18"/>
        <v>100</v>
      </c>
      <c r="N63" s="1614"/>
      <c r="O63" s="1614"/>
      <c r="P63" s="1613"/>
      <c r="Q63" s="1607"/>
    </row>
    <row r="64" spans="1:17" s="1073" customFormat="1" ht="15">
      <c r="A64" s="1327"/>
      <c r="B64" s="1320">
        <f>B12</f>
        <v>111</v>
      </c>
      <c r="C64" s="1328"/>
      <c r="D64" s="1328"/>
      <c r="E64" s="1328"/>
      <c r="F64" s="1328"/>
      <c r="G64" s="1328"/>
      <c r="H64" s="1329"/>
      <c r="I64" s="1329"/>
      <c r="J64" s="1329"/>
      <c r="K64" s="1329"/>
      <c r="L64" s="1376"/>
      <c r="M64" s="1377"/>
      <c r="N64" s="1615"/>
      <c r="O64" s="1615"/>
      <c r="P64" s="1616"/>
      <c r="Q64" s="1617"/>
    </row>
    <row r="65" spans="1:17" s="1073" customFormat="1" ht="15">
      <c r="A65" s="1327"/>
      <c r="B65" s="1322"/>
      <c r="C65" s="963"/>
      <c r="D65" s="964"/>
      <c r="E65" s="964"/>
      <c r="F65" s="964"/>
      <c r="G65" s="964"/>
      <c r="H65" s="964"/>
      <c r="I65" s="964"/>
      <c r="J65" s="964"/>
      <c r="K65" s="964"/>
      <c r="L65" s="964"/>
      <c r="M65" s="1367"/>
      <c r="N65" s="1614"/>
      <c r="O65" s="1614"/>
      <c r="P65" s="1616"/>
      <c r="Q65" s="1617"/>
    </row>
    <row r="66" spans="1:17" s="1073" customFormat="1" ht="15">
      <c r="A66" s="1327"/>
      <c r="B66" s="1320">
        <f>B13</f>
        <v>111</v>
      </c>
      <c r="C66" s="1328"/>
      <c r="D66" s="1328"/>
      <c r="E66" s="1328"/>
      <c r="F66" s="1328"/>
      <c r="G66" s="1328"/>
      <c r="H66" s="1329"/>
      <c r="I66" s="1329"/>
      <c r="J66" s="1329"/>
      <c r="K66" s="1329"/>
      <c r="L66" s="1376"/>
      <c r="M66" s="1377"/>
      <c r="N66" s="1615"/>
      <c r="O66" s="1615"/>
      <c r="P66" s="1619"/>
      <c r="Q66" s="1623"/>
    </row>
    <row r="67" spans="1:17" s="1073" customFormat="1" ht="15">
      <c r="A67" s="1327"/>
      <c r="B67" s="1322"/>
      <c r="C67" s="963"/>
      <c r="D67" s="964"/>
      <c r="E67" s="964"/>
      <c r="F67" s="964"/>
      <c r="G67" s="963"/>
      <c r="H67" s="1330"/>
      <c r="I67" s="1330"/>
      <c r="J67" s="1330"/>
      <c r="K67" s="1330"/>
      <c r="L67" s="1330"/>
      <c r="M67" s="1380"/>
      <c r="N67" s="1615"/>
      <c r="O67" s="1615"/>
      <c r="P67" s="1616"/>
      <c r="Q67" s="1617"/>
    </row>
    <row r="68" spans="1:17" s="1073" customFormat="1" ht="15">
      <c r="A68" s="1327"/>
      <c r="B68" s="1324">
        <f>B14</f>
        <v>111</v>
      </c>
      <c r="C68" s="1313"/>
      <c r="D68" s="1313"/>
      <c r="E68" s="1313"/>
      <c r="F68" s="1313"/>
      <c r="G68" s="1313"/>
      <c r="H68" s="1331"/>
      <c r="I68" s="1331"/>
      <c r="J68" s="1331"/>
      <c r="K68" s="1331"/>
      <c r="L68" s="1381"/>
      <c r="M68" s="1382"/>
      <c r="N68" s="1615"/>
      <c r="O68" s="1615"/>
      <c r="P68" s="1620"/>
      <c r="Q68" s="1617"/>
    </row>
    <row r="69" spans="1:17" s="1073" customFormat="1" ht="15">
      <c r="A69" s="1332"/>
      <c r="B69" s="1333"/>
      <c r="C69" s="1334"/>
      <c r="D69" s="1334"/>
      <c r="E69" s="1334"/>
      <c r="F69" s="1334"/>
      <c r="G69" s="1334"/>
      <c r="H69" s="1335"/>
      <c r="I69" s="1335"/>
      <c r="J69" s="1335"/>
      <c r="K69" s="1335"/>
      <c r="L69" s="1335"/>
      <c r="M69" s="1384"/>
      <c r="N69" s="1615"/>
      <c r="O69" s="1615"/>
      <c r="P69" s="1616"/>
      <c r="Q69" s="1617"/>
    </row>
    <row r="70" spans="1:17">
      <c r="A70" s="1316" t="s">
        <v>1354</v>
      </c>
      <c r="B70" s="1317" t="s">
        <v>1591</v>
      </c>
      <c r="C70" s="1336" t="s">
        <v>1396</v>
      </c>
      <c r="D70" s="1336" t="s">
        <v>1397</v>
      </c>
      <c r="E70" s="1336" t="s">
        <v>1398</v>
      </c>
      <c r="F70" s="1336" t="s">
        <v>1399</v>
      </c>
      <c r="G70" s="1336" t="s">
        <v>1400</v>
      </c>
      <c r="H70" s="1337"/>
      <c r="I70" s="1337"/>
      <c r="J70" s="1337"/>
      <c r="K70" s="1385"/>
      <c r="L70" s="1386"/>
      <c r="M70" s="1387"/>
      <c r="N70" s="1612"/>
      <c r="O70" s="1612"/>
      <c r="P70" s="1621"/>
      <c r="Q70" s="1607"/>
    </row>
    <row r="71" spans="1:17" ht="15">
      <c r="A71" s="1318"/>
      <c r="B71" s="1322"/>
      <c r="C71" s="1323">
        <v>100</v>
      </c>
      <c r="D71" s="1323">
        <f>C71-$K15</f>
        <v>100</v>
      </c>
      <c r="E71" s="1323">
        <f>D71-$K15</f>
        <v>100</v>
      </c>
      <c r="F71" s="1323">
        <f>E71-$K15</f>
        <v>100</v>
      </c>
      <c r="G71" s="1323">
        <f>F71-$K15</f>
        <v>100</v>
      </c>
      <c r="H71" s="1323"/>
      <c r="I71" s="1323"/>
      <c r="J71" s="1323"/>
      <c r="K71" s="1323"/>
      <c r="L71" s="1323"/>
      <c r="M71" s="1372"/>
      <c r="N71" s="1614"/>
      <c r="O71" s="1614"/>
      <c r="P71" s="1613"/>
      <c r="Q71" s="1607"/>
    </row>
    <row r="72" spans="1:17" ht="15">
      <c r="A72" s="1318"/>
      <c r="B72" s="1320" t="s">
        <v>1358</v>
      </c>
      <c r="C72" s="1338" t="s">
        <v>1396</v>
      </c>
      <c r="D72" s="1338" t="s">
        <v>1397</v>
      </c>
      <c r="E72" s="1338" t="s">
        <v>1398</v>
      </c>
      <c r="F72" s="1338" t="s">
        <v>1399</v>
      </c>
      <c r="G72" s="1338" t="s">
        <v>1400</v>
      </c>
      <c r="H72" s="1321"/>
      <c r="I72" s="1321"/>
      <c r="J72" s="1321"/>
      <c r="K72" s="1369"/>
      <c r="L72" s="1370"/>
      <c r="M72" s="1371"/>
      <c r="N72" s="1612"/>
      <c r="O72" s="1612"/>
      <c r="P72" s="1613"/>
      <c r="Q72" s="1607"/>
    </row>
    <row r="73" spans="1:17" ht="15">
      <c r="A73" s="1318"/>
      <c r="B73" s="1322"/>
      <c r="C73" s="1323">
        <v>100</v>
      </c>
      <c r="D73" s="1323">
        <f>C73-$K17</f>
        <v>100</v>
      </c>
      <c r="E73" s="1323">
        <f>D73-$K17</f>
        <v>100</v>
      </c>
      <c r="F73" s="1323">
        <f>E73-$K17</f>
        <v>100</v>
      </c>
      <c r="G73" s="1323">
        <f>F73-$K17</f>
        <v>100</v>
      </c>
      <c r="H73" s="1323"/>
      <c r="I73" s="1323"/>
      <c r="J73" s="1323"/>
      <c r="K73" s="1323"/>
      <c r="L73" s="1323"/>
      <c r="M73" s="1372"/>
      <c r="N73" s="1614"/>
      <c r="O73" s="1614"/>
      <c r="P73" s="1613"/>
      <c r="Q73" s="1607"/>
    </row>
    <row r="74" spans="1:17" ht="15">
      <c r="A74" s="1318"/>
      <c r="B74" s="1320" t="s">
        <v>1359</v>
      </c>
      <c r="C74" s="1338" t="s">
        <v>1396</v>
      </c>
      <c r="D74" s="1338" t="s">
        <v>1397</v>
      </c>
      <c r="E74" s="1338" t="s">
        <v>1398</v>
      </c>
      <c r="F74" s="1338" t="s">
        <v>1399</v>
      </c>
      <c r="G74" s="1338" t="s">
        <v>1400</v>
      </c>
      <c r="H74" s="1321"/>
      <c r="I74" s="1321"/>
      <c r="J74" s="1321"/>
      <c r="K74" s="1369"/>
      <c r="L74" s="1370"/>
      <c r="M74" s="1371"/>
      <c r="N74" s="1612"/>
      <c r="O74" s="1612"/>
      <c r="P74" s="1613"/>
      <c r="Q74" s="1607"/>
    </row>
    <row r="75" spans="1:17" ht="15">
      <c r="A75" s="1318"/>
      <c r="B75" s="1322"/>
      <c r="C75" s="1323">
        <v>100</v>
      </c>
      <c r="D75" s="1323">
        <f>C75-$K19</f>
        <v>100</v>
      </c>
      <c r="E75" s="1323">
        <f>D75-$K19</f>
        <v>100</v>
      </c>
      <c r="F75" s="1323">
        <f>E75-$K19</f>
        <v>100</v>
      </c>
      <c r="G75" s="1323">
        <f>F75-$K19</f>
        <v>100</v>
      </c>
      <c r="H75" s="1323"/>
      <c r="I75" s="1323"/>
      <c r="J75" s="1323"/>
      <c r="K75" s="1323"/>
      <c r="L75" s="1323"/>
      <c r="M75" s="1372"/>
      <c r="N75" s="1614"/>
      <c r="O75" s="1614"/>
      <c r="P75" s="1613"/>
      <c r="Q75" s="1607"/>
    </row>
    <row r="76" spans="1:17" ht="15">
      <c r="A76" s="1318"/>
      <c r="B76" s="1324" t="s">
        <v>1360</v>
      </c>
      <c r="C76" s="1343" t="s">
        <v>1401</v>
      </c>
      <c r="D76" s="1343" t="s">
        <v>1402</v>
      </c>
      <c r="E76" s="1343" t="s">
        <v>1403</v>
      </c>
      <c r="F76" s="1343" t="s">
        <v>1404</v>
      </c>
      <c r="G76" s="1343" t="s">
        <v>1405</v>
      </c>
      <c r="H76" s="1321"/>
      <c r="I76" s="1321"/>
      <c r="J76" s="1321"/>
      <c r="K76" s="1321"/>
      <c r="L76" s="1321"/>
      <c r="M76" s="1516"/>
      <c r="N76" s="1614"/>
      <c r="O76" s="1614"/>
      <c r="P76" s="1613"/>
      <c r="Q76" s="1607"/>
    </row>
    <row r="77" spans="1:17" ht="15">
      <c r="A77" s="1318"/>
      <c r="B77" s="1324"/>
      <c r="C77" s="1323">
        <v>100</v>
      </c>
      <c r="D77" s="1323">
        <f>C77-$K21</f>
        <v>100</v>
      </c>
      <c r="E77" s="1323">
        <f>D77-$K21</f>
        <v>100</v>
      </c>
      <c r="F77" s="1323">
        <f>E77-$K21</f>
        <v>100</v>
      </c>
      <c r="G77" s="1323">
        <f>F77-$K21</f>
        <v>100</v>
      </c>
      <c r="H77" s="1343"/>
      <c r="I77" s="1343"/>
      <c r="J77" s="1343"/>
      <c r="K77" s="1343"/>
      <c r="L77" s="1343"/>
      <c r="M77" s="1135"/>
      <c r="N77" s="1614"/>
      <c r="O77" s="1614"/>
      <c r="P77" s="1613"/>
      <c r="Q77" s="1607"/>
    </row>
    <row r="78" spans="1:17" ht="15">
      <c r="A78" s="1318"/>
      <c r="B78" s="1320" t="s">
        <v>1361</v>
      </c>
      <c r="C78" s="1338" t="s">
        <v>1396</v>
      </c>
      <c r="D78" s="1338" t="s">
        <v>1397</v>
      </c>
      <c r="E78" s="1338" t="s">
        <v>1398</v>
      </c>
      <c r="F78" s="1338" t="s">
        <v>1399</v>
      </c>
      <c r="G78" s="1338" t="s">
        <v>1400</v>
      </c>
      <c r="H78" s="1321"/>
      <c r="I78" s="1321"/>
      <c r="J78" s="1321"/>
      <c r="K78" s="1369"/>
      <c r="L78" s="1370"/>
      <c r="M78" s="1371"/>
      <c r="N78" s="1612"/>
      <c r="O78" s="1612"/>
      <c r="P78" s="1613"/>
      <c r="Q78" s="1607"/>
    </row>
    <row r="79" spans="1:17" ht="15">
      <c r="A79" s="1318"/>
      <c r="B79" s="1322"/>
      <c r="C79" s="1323">
        <v>100</v>
      </c>
      <c r="D79" s="1323">
        <f>C79-$K23</f>
        <v>100</v>
      </c>
      <c r="E79" s="1323">
        <f>D79-$K23</f>
        <v>100</v>
      </c>
      <c r="F79" s="1323">
        <f>E79-$K23</f>
        <v>100</v>
      </c>
      <c r="G79" s="1323">
        <f>F79-$K23</f>
        <v>100</v>
      </c>
      <c r="H79" s="1323"/>
      <c r="I79" s="1323"/>
      <c r="J79" s="1323"/>
      <c r="K79" s="1323"/>
      <c r="L79" s="1323"/>
      <c r="M79" s="1372"/>
      <c r="N79" s="1614"/>
      <c r="O79" s="1614"/>
      <c r="P79" s="1613"/>
      <c r="Q79" s="1607"/>
    </row>
    <row r="80" spans="1:17" s="1071" customFormat="1" ht="15">
      <c r="A80" s="1339"/>
      <c r="B80" s="1320">
        <f>B25</f>
        <v>111</v>
      </c>
      <c r="C80" s="1328"/>
      <c r="D80" s="1328"/>
      <c r="E80" s="1328"/>
      <c r="F80" s="1328"/>
      <c r="G80" s="1328"/>
      <c r="H80" s="1328"/>
      <c r="I80" s="1328"/>
      <c r="J80" s="1328"/>
      <c r="K80" s="1328"/>
      <c r="L80" s="1517"/>
      <c r="M80" s="1518"/>
      <c r="N80" s="1610"/>
      <c r="O80" s="1610"/>
      <c r="P80" s="1613"/>
      <c r="Q80" s="1607"/>
    </row>
    <row r="81" spans="1:17" s="1071" customFormat="1" ht="15">
      <c r="A81" s="1339"/>
      <c r="B81" s="1322"/>
      <c r="C81" s="963"/>
      <c r="D81" s="964"/>
      <c r="E81" s="964"/>
      <c r="F81" s="964"/>
      <c r="G81" s="964"/>
      <c r="H81" s="964"/>
      <c r="I81" s="964"/>
      <c r="J81" s="964"/>
      <c r="K81" s="964"/>
      <c r="L81" s="964"/>
      <c r="M81" s="1367"/>
      <c r="N81" s="1614"/>
      <c r="O81" s="1614"/>
      <c r="P81" s="1613"/>
      <c r="Q81" s="1607"/>
    </row>
    <row r="82" spans="1:17" s="1071" customFormat="1" ht="15">
      <c r="A82" s="1339"/>
      <c r="B82" s="1320">
        <f>B26</f>
        <v>111</v>
      </c>
      <c r="C82" s="1328"/>
      <c r="D82" s="1328"/>
      <c r="E82" s="1328"/>
      <c r="F82" s="1328"/>
      <c r="G82" s="1328"/>
      <c r="H82" s="1328"/>
      <c r="I82" s="1328"/>
      <c r="J82" s="1328"/>
      <c r="K82" s="1328"/>
      <c r="L82" s="1517"/>
      <c r="M82" s="1518"/>
      <c r="N82" s="1610"/>
      <c r="O82" s="1610"/>
      <c r="P82" s="1613"/>
      <c r="Q82" s="1607"/>
    </row>
    <row r="83" spans="1:17" s="1071" customFormat="1" ht="15">
      <c r="A83" s="1339"/>
      <c r="B83" s="1322"/>
      <c r="C83" s="963"/>
      <c r="D83" s="964"/>
      <c r="E83" s="964"/>
      <c r="F83" s="964"/>
      <c r="G83" s="964"/>
      <c r="H83" s="964"/>
      <c r="I83" s="964"/>
      <c r="J83" s="964"/>
      <c r="K83" s="964"/>
      <c r="L83" s="964"/>
      <c r="M83" s="1367"/>
      <c r="N83" s="1614"/>
      <c r="O83" s="1614"/>
      <c r="P83" s="1613"/>
      <c r="Q83" s="1607"/>
    </row>
    <row r="84" spans="1:17" s="1073"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3" customFormat="1" ht="15">
      <c r="A85" s="1327"/>
      <c r="B85" s="1322"/>
      <c r="C85" s="963"/>
      <c r="D85" s="964"/>
      <c r="E85" s="964"/>
      <c r="F85" s="964"/>
      <c r="G85" s="964"/>
      <c r="H85" s="964"/>
      <c r="I85" s="964"/>
      <c r="J85" s="964"/>
      <c r="K85" s="964"/>
      <c r="L85" s="964"/>
      <c r="M85" s="1367"/>
      <c r="N85" s="1615"/>
      <c r="O85" s="1615"/>
      <c r="P85" s="1616"/>
      <c r="Q85" s="1617"/>
    </row>
    <row r="86" spans="1:17" ht="15">
      <c r="A86" s="1318"/>
      <c r="B86" s="1324">
        <f>B28</f>
        <v>111</v>
      </c>
      <c r="C86" s="1313"/>
      <c r="D86" s="1313"/>
      <c r="E86" s="1313"/>
      <c r="F86" s="1313"/>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6" t="s">
        <v>1367</v>
      </c>
      <c r="B88" s="1317" t="s">
        <v>1368</v>
      </c>
      <c r="C88" s="1260"/>
      <c r="D88" s="1260"/>
      <c r="E88" s="1260"/>
      <c r="F88" s="1260"/>
      <c r="G88" s="1260"/>
      <c r="H88" s="1260"/>
      <c r="I88" s="1260"/>
      <c r="J88" s="1260"/>
      <c r="K88" s="1362"/>
      <c r="L88" s="1363"/>
      <c r="M88" s="1364"/>
      <c r="N88" s="1612"/>
      <c r="O88" s="1612"/>
      <c r="P88" s="1613"/>
      <c r="Q88" s="1607"/>
    </row>
    <row r="89" spans="1:17" ht="15">
      <c r="A89" s="1318"/>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2">
        <f t="shared" si="19"/>
        <v>100</v>
      </c>
      <c r="N89" s="1614"/>
      <c r="O89" s="1614"/>
      <c r="P89" s="1613"/>
      <c r="Q89" s="1607"/>
    </row>
    <row r="90" spans="1:17" ht="15">
      <c r="A90" s="1318"/>
      <c r="B90" s="1320" t="s">
        <v>1370</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3" customFormat="1">
      <c r="A91" s="1347"/>
      <c r="B91" s="1348"/>
      <c r="C91" s="959"/>
      <c r="D91" s="959"/>
      <c r="E91" s="959"/>
      <c r="F91" s="959"/>
      <c r="G91" s="959"/>
      <c r="H91" s="959"/>
      <c r="I91" s="959"/>
      <c r="J91" s="1402"/>
      <c r="K91" s="1402"/>
      <c r="L91" s="1403"/>
      <c r="M91" s="1404"/>
      <c r="N91" s="1615"/>
      <c r="O91" s="1615"/>
      <c r="P91" s="1616"/>
      <c r="Q91" s="1617"/>
    </row>
    <row r="92" spans="1:17" s="1073" customFormat="1" ht="15">
      <c r="A92" s="1327"/>
      <c r="B92" s="1322"/>
      <c r="C92" s="963"/>
      <c r="D92" s="964"/>
      <c r="E92" s="964"/>
      <c r="F92" s="964"/>
      <c r="G92" s="964"/>
      <c r="H92" s="964"/>
      <c r="I92" s="964"/>
      <c r="J92" s="964"/>
      <c r="K92" s="964"/>
      <c r="L92" s="964"/>
      <c r="M92" s="1367"/>
      <c r="N92" s="1614"/>
      <c r="O92" s="1614"/>
      <c r="P92" s="1616"/>
      <c r="Q92" s="1617"/>
    </row>
    <row r="93" spans="1:17">
      <c r="A93" s="1350"/>
      <c r="B93" s="1320" t="s">
        <v>1371</v>
      </c>
      <c r="C93" s="1328"/>
      <c r="D93" s="1328"/>
      <c r="E93" s="1344"/>
      <c r="F93" s="1344"/>
      <c r="G93" s="1344"/>
      <c r="H93" s="1344"/>
      <c r="I93" s="1344"/>
      <c r="J93" s="1344"/>
      <c r="K93" s="1395"/>
      <c r="L93" s="1396"/>
      <c r="M93" s="1397"/>
      <c r="N93" s="1612"/>
      <c r="O93" s="1612"/>
      <c r="P93" s="1613"/>
      <c r="Q93" s="1607"/>
    </row>
    <row r="94" spans="1:17" ht="15">
      <c r="A94" s="1318"/>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2">
        <f t="shared" si="21"/>
        <v>100</v>
      </c>
      <c r="N94" s="1614"/>
      <c r="O94" s="1614"/>
      <c r="P94" s="1613"/>
      <c r="Q94" s="1607"/>
    </row>
    <row r="95" spans="1:17">
      <c r="A95" s="1350"/>
      <c r="B95" s="1320" t="s">
        <v>1373</v>
      </c>
      <c r="C95" s="1328"/>
      <c r="D95" s="1328"/>
      <c r="E95" s="1328"/>
      <c r="F95" s="1344"/>
      <c r="G95" s="1344"/>
      <c r="H95" s="1344"/>
      <c r="I95" s="1344"/>
      <c r="J95" s="1344"/>
      <c r="K95" s="1395"/>
      <c r="L95" s="1396"/>
      <c r="M95" s="1397"/>
      <c r="N95" s="1612"/>
      <c r="O95" s="1612"/>
      <c r="P95" s="1613"/>
      <c r="Q95" s="1607"/>
    </row>
    <row r="96" spans="1:17" ht="15">
      <c r="A96" s="1318"/>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2">
        <f t="shared" si="22"/>
        <v>100</v>
      </c>
      <c r="N96" s="1614"/>
      <c r="O96" s="1614"/>
      <c r="P96" s="1613"/>
      <c r="Q96" s="1607"/>
    </row>
    <row r="97" spans="1:17">
      <c r="A97" s="1350"/>
      <c r="B97" s="1320"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8"/>
      <c r="B99" s="1322"/>
      <c r="C99" s="1340">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3" customFormat="1">
      <c r="A100" s="1347"/>
      <c r="B100" s="1320" t="s">
        <v>1377</v>
      </c>
      <c r="C100" s="1328"/>
      <c r="D100" s="1328"/>
      <c r="E100" s="1328"/>
      <c r="F100" s="1328"/>
      <c r="G100" s="1328"/>
      <c r="H100" s="1344"/>
      <c r="I100" s="1344"/>
      <c r="J100" s="1344"/>
      <c r="K100" s="1395"/>
      <c r="L100" s="1396"/>
      <c r="M100" s="1397"/>
      <c r="N100" s="1615"/>
      <c r="O100" s="1615"/>
      <c r="P100" s="1616"/>
      <c r="Q100" s="1617"/>
    </row>
    <row r="101" spans="1:17" s="1073"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0"/>
      <c r="B102" s="1320" t="s">
        <v>1379</v>
      </c>
      <c r="C102" s="1328"/>
      <c r="D102" s="1328"/>
      <c r="E102" s="1328"/>
      <c r="F102" s="1328"/>
      <c r="G102" s="1328"/>
      <c r="H102" s="1344"/>
      <c r="I102" s="1344"/>
      <c r="J102" s="1344"/>
      <c r="K102" s="1395"/>
      <c r="L102" s="1396"/>
      <c r="M102" s="1397"/>
      <c r="N102" s="1612"/>
      <c r="O102" s="1612"/>
      <c r="P102" s="1613"/>
      <c r="Q102" s="1607"/>
    </row>
    <row r="103" spans="1:17" ht="15">
      <c r="A103" s="1318"/>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2">
        <f t="shared" si="25"/>
        <v>100</v>
      </c>
      <c r="N103" s="1614"/>
      <c r="O103" s="1614"/>
      <c r="P103" s="1613"/>
      <c r="Q103" s="1607"/>
    </row>
    <row r="104" spans="1:17">
      <c r="A104" s="1350"/>
      <c r="B104" s="1320" t="s">
        <v>1382</v>
      </c>
      <c r="C104" s="1328"/>
      <c r="D104" s="1328"/>
      <c r="E104" s="1328"/>
      <c r="F104" s="1328"/>
      <c r="G104" s="1328"/>
      <c r="H104" s="1344"/>
      <c r="I104" s="1344"/>
      <c r="J104" s="1344"/>
      <c r="K104" s="1395"/>
      <c r="L104" s="1396"/>
      <c r="M104" s="1397"/>
      <c r="N104" s="1612"/>
      <c r="O104" s="1612"/>
      <c r="P104" s="1613"/>
      <c r="Q104" s="1607"/>
    </row>
    <row r="105" spans="1:17" ht="15">
      <c r="A105" s="1318"/>
      <c r="B105" s="1322"/>
      <c r="C105" s="1323">
        <v>100</v>
      </c>
      <c r="D105" s="1323">
        <f>C105-$K36</f>
        <v>100</v>
      </c>
      <c r="E105" s="1323">
        <f>D105-$K36</f>
        <v>100</v>
      </c>
      <c r="F105" s="1323">
        <f>E105-$K36</f>
        <v>100</v>
      </c>
      <c r="G105" s="1323">
        <f>F105-$K36</f>
        <v>100</v>
      </c>
      <c r="H105" s="1323"/>
      <c r="I105" s="1323"/>
      <c r="J105" s="1323"/>
      <c r="K105" s="1323"/>
      <c r="L105" s="1323"/>
      <c r="M105" s="1372"/>
      <c r="N105" s="1614"/>
      <c r="O105" s="1614"/>
      <c r="P105" s="1613"/>
      <c r="Q105" s="1607"/>
    </row>
    <row r="106" spans="1:17">
      <c r="A106" s="1350"/>
      <c r="B106" s="1514" t="s">
        <v>1593</v>
      </c>
      <c r="C106" s="1338" t="s">
        <v>1396</v>
      </c>
      <c r="D106" s="1338" t="s">
        <v>1397</v>
      </c>
      <c r="E106" s="1338" t="s">
        <v>1398</v>
      </c>
      <c r="F106" s="1338" t="s">
        <v>1399</v>
      </c>
      <c r="G106" s="1338" t="s">
        <v>1400</v>
      </c>
      <c r="H106" s="1321"/>
      <c r="I106" s="1321"/>
      <c r="J106" s="1321"/>
      <c r="K106" s="1369"/>
      <c r="L106" s="1370"/>
      <c r="M106" s="1371"/>
      <c r="N106" s="1614"/>
      <c r="O106" s="1614"/>
      <c r="P106" s="1622"/>
      <c r="Q106" s="1624"/>
    </row>
    <row r="107" spans="1:17" ht="15">
      <c r="A107" s="1318"/>
      <c r="B107" s="1322"/>
      <c r="C107" s="1340">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3" customFormat="1">
      <c r="A108" s="1347"/>
      <c r="B108" s="1320">
        <f>B38</f>
        <v>111</v>
      </c>
      <c r="C108" s="1328"/>
      <c r="D108" s="1328"/>
      <c r="E108" s="1328"/>
      <c r="F108" s="1328"/>
      <c r="G108" s="1328"/>
      <c r="H108" s="1329"/>
      <c r="I108" s="1329"/>
      <c r="J108" s="1329"/>
      <c r="K108" s="1329"/>
      <c r="L108" s="1376"/>
      <c r="M108" s="1377"/>
      <c r="N108" s="1615"/>
      <c r="O108" s="1615"/>
      <c r="P108" s="1616"/>
      <c r="Q108" s="1617"/>
    </row>
    <row r="109" spans="1:17" s="1073" customFormat="1" ht="15">
      <c r="A109" s="1327"/>
      <c r="B109" s="1319"/>
      <c r="C109" s="963"/>
      <c r="D109" s="964"/>
      <c r="E109" s="964"/>
      <c r="F109" s="964"/>
      <c r="G109" s="963"/>
      <c r="H109" s="1330"/>
      <c r="I109" s="1330"/>
      <c r="J109" s="1330"/>
      <c r="K109" s="1330"/>
      <c r="L109" s="1330"/>
      <c r="M109" s="1380"/>
      <c r="N109" s="1615"/>
      <c r="O109" s="1615"/>
      <c r="P109" s="1616"/>
      <c r="Q109" s="1617"/>
    </row>
    <row r="110" spans="1:17">
      <c r="A110" s="1350"/>
      <c r="B110" s="1320">
        <f>B39</f>
        <v>111</v>
      </c>
      <c r="C110" s="1328"/>
      <c r="D110" s="1328"/>
      <c r="E110" s="1328"/>
      <c r="F110" s="1328"/>
      <c r="G110" s="1328"/>
      <c r="H110" s="1329"/>
      <c r="I110" s="1329"/>
      <c r="J110" s="1329"/>
      <c r="K110" s="1329"/>
      <c r="L110" s="1376"/>
      <c r="M110" s="1377"/>
      <c r="N110" s="1612"/>
      <c r="O110" s="1612"/>
      <c r="P110" s="1613"/>
      <c r="Q110" s="1607"/>
    </row>
    <row r="111" spans="1:17" ht="15">
      <c r="A111" s="1318"/>
      <c r="B111" s="1322"/>
      <c r="C111" s="963"/>
      <c r="D111" s="964"/>
      <c r="E111" s="964"/>
      <c r="F111" s="964"/>
      <c r="G111" s="963"/>
      <c r="H111" s="1330"/>
      <c r="I111" s="1330"/>
      <c r="J111" s="1330"/>
      <c r="K111" s="1330"/>
      <c r="L111" s="1330"/>
      <c r="M111" s="1380"/>
      <c r="N111" s="1614"/>
      <c r="O111" s="1614"/>
      <c r="P111" s="1613"/>
      <c r="Q111" s="1607"/>
    </row>
    <row r="112" spans="1:17">
      <c r="A112" s="1350"/>
      <c r="B112" s="1324">
        <f>B40</f>
        <v>111</v>
      </c>
      <c r="C112" s="1313"/>
      <c r="D112" s="1313"/>
      <c r="E112" s="1313"/>
      <c r="F112" s="1313"/>
      <c r="G112" s="1345"/>
      <c r="H112" s="1345"/>
      <c r="I112" s="1345"/>
      <c r="J112" s="1345"/>
      <c r="K112" s="1313"/>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36">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估价对象为北京市房地产，为所有。根据《国有土地使用证》[]，估价对象（分摊）出让国有建设用地使用权面积为0平方米，建筑面积为46.53平方米。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估价对象为北京市房地产,属开发建设的办公项目，该项目尚在开发建设中。根据《国有土地使用证》[]，估价对象（分摊）出让国有建设用地使用权面积为0平方米，规划建筑面积为46.53平方米。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2023年10月19日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19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本次评估采用的主估价方法为比较法和收益法。</v>
      </c>
    </row>
    <row r="25" spans="1:1" ht="18">
      <c r="A25" s="3375"/>
    </row>
    <row r="26" spans="1:1" ht="18.75">
      <c r="A26" s="3410"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1594</v>
      </c>
      <c r="B1" s="1448" t="s">
        <v>1595</v>
      </c>
      <c r="C1" s="1449" t="s">
        <v>1326</v>
      </c>
      <c r="D1" s="1450"/>
      <c r="E1" s="1451"/>
      <c r="F1" s="1452"/>
      <c r="G1" s="1527" t="s">
        <v>1329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70" customFormat="1" ht="28.5" customHeight="1">
      <c r="A2" s="1455" t="s">
        <v>982</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983</v>
      </c>
      <c r="F2" s="1459"/>
      <c r="G2" s="1086"/>
      <c r="H2" s="1086"/>
      <c r="I2" s="1086"/>
      <c r="J2" s="1086"/>
      <c r="K2" s="1234"/>
      <c r="L2" s="1235"/>
      <c r="M2" s="1236"/>
      <c r="N2" s="1236"/>
      <c r="O2" s="1236"/>
      <c r="P2" s="1561"/>
      <c r="Q2" s="1233"/>
      <c r="R2" s="1233"/>
      <c r="S2" s="1233"/>
      <c r="T2" s="1233"/>
      <c r="U2" s="1233"/>
      <c r="V2" s="1233"/>
      <c r="W2" s="1233"/>
      <c r="X2" s="1233"/>
      <c r="Y2" s="1233"/>
      <c r="Z2" s="1233"/>
      <c r="AA2" s="1233"/>
      <c r="AB2" s="1233"/>
      <c r="AC2" s="1293"/>
    </row>
    <row r="3" spans="1:29" s="1070" customFormat="1" ht="28.5" customHeight="1">
      <c r="A3" s="381" t="s">
        <v>984</v>
      </c>
      <c r="B3" s="1088" t="e">
        <f>IF(AND(C2="——",B37="元/平方米"),C39,ROUND(B2*10000/D3,0))</f>
        <v>#DIV/0!</v>
      </c>
      <c r="C3" s="1460" t="s">
        <v>1330</v>
      </c>
      <c r="D3" s="1461">
        <f>SUMIF('数据-汇总表'!$C19:$C33,D1,'数据-汇总表'!$E19:$E33)</f>
        <v>0</v>
      </c>
      <c r="E3" s="1460" t="s">
        <v>1596</v>
      </c>
      <c r="F3" s="1461">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1"/>
      <c r="Q3" s="1233"/>
      <c r="R3" s="1233"/>
      <c r="S3" s="1233"/>
      <c r="T3" s="1233"/>
      <c r="U3" s="1233"/>
      <c r="V3" s="1233"/>
      <c r="W3" s="1233"/>
      <c r="X3" s="1233"/>
      <c r="Y3" s="1233"/>
      <c r="Z3" s="1233"/>
      <c r="AA3" s="1233"/>
      <c r="AB3" s="1294"/>
      <c r="AC3" s="1295"/>
    </row>
    <row r="4" spans="1:29" ht="15">
      <c r="A4" s="1090" t="s">
        <v>1331</v>
      </c>
      <c r="B4" s="1091"/>
      <c r="C4" s="3626" t="s">
        <v>1332</v>
      </c>
      <c r="D4" s="3627"/>
      <c r="E4" s="3628" t="s">
        <v>1333</v>
      </c>
      <c r="F4" s="3629"/>
      <c r="G4" s="3626" t="s">
        <v>1334</v>
      </c>
      <c r="H4" s="3627"/>
      <c r="I4" s="3626" t="s">
        <v>1335</v>
      </c>
      <c r="J4" s="3627"/>
      <c r="K4" s="1237" t="s">
        <v>1336</v>
      </c>
      <c r="L4" s="1238"/>
      <c r="M4" s="1239"/>
      <c r="N4" s="1239"/>
      <c r="O4" s="1239"/>
      <c r="P4" s="3704" t="s">
        <v>1337</v>
      </c>
      <c r="Q4" s="3705"/>
      <c r="R4" s="3708" t="s">
        <v>1333</v>
      </c>
      <c r="S4" s="3709"/>
      <c r="T4" s="3708" t="s">
        <v>1334</v>
      </c>
      <c r="U4" s="3709"/>
      <c r="V4" s="3676" t="s">
        <v>1335</v>
      </c>
      <c r="W4" s="3676"/>
      <c r="X4" s="1281"/>
      <c r="Y4" s="3708" t="s">
        <v>1337</v>
      </c>
      <c r="Z4" s="3709"/>
      <c r="AA4" s="3703" t="s">
        <v>1333</v>
      </c>
      <c r="AB4" s="3658" t="s">
        <v>1334</v>
      </c>
      <c r="AC4" s="3703" t="s">
        <v>1335</v>
      </c>
    </row>
    <row r="5" spans="1:29" ht="15">
      <c r="A5" s="1092"/>
      <c r="B5" s="1093"/>
      <c r="C5" s="3630" t="s">
        <v>1338</v>
      </c>
      <c r="D5" s="3631"/>
      <c r="E5" s="3698" t="s">
        <v>1552</v>
      </c>
      <c r="F5" s="3633"/>
      <c r="G5" s="3630" t="s">
        <v>1553</v>
      </c>
      <c r="H5" s="3631"/>
      <c r="I5" s="3630" t="s">
        <v>1554</v>
      </c>
      <c r="J5" s="3631"/>
      <c r="K5" s="1237"/>
      <c r="L5" s="1238"/>
      <c r="M5" s="1239"/>
      <c r="N5" s="1239"/>
      <c r="O5" s="1239"/>
      <c r="P5" s="3706"/>
      <c r="Q5" s="3666"/>
      <c r="R5" s="3671"/>
      <c r="S5" s="3672"/>
      <c r="T5" s="3671"/>
      <c r="U5" s="3672"/>
      <c r="V5" s="3676"/>
      <c r="W5" s="3676"/>
      <c r="X5" s="1281"/>
      <c r="Y5" s="3671"/>
      <c r="Z5" s="3672"/>
      <c r="AA5" s="3658"/>
      <c r="AB5" s="3658"/>
      <c r="AC5" s="3658"/>
    </row>
    <row r="6" spans="1:29" ht="15">
      <c r="A6" s="1094"/>
      <c r="B6" s="1095"/>
      <c r="C6" s="3634" t="s">
        <v>1339</v>
      </c>
      <c r="D6" s="3635"/>
      <c r="E6" s="3699" t="s">
        <v>1339</v>
      </c>
      <c r="F6" s="3637"/>
      <c r="G6" s="3634" t="s">
        <v>1339</v>
      </c>
      <c r="H6" s="3635"/>
      <c r="I6" s="3634" t="s">
        <v>1339</v>
      </c>
      <c r="J6" s="3635"/>
      <c r="K6" s="1237" t="s">
        <v>1340</v>
      </c>
      <c r="L6" s="1238"/>
      <c r="M6" s="1239"/>
      <c r="N6" s="1239"/>
      <c r="O6" s="1239"/>
      <c r="P6" s="3707"/>
      <c r="Q6" s="3668"/>
      <c r="R6" s="3671"/>
      <c r="S6" s="3672"/>
      <c r="T6" s="3673"/>
      <c r="U6" s="3674"/>
      <c r="V6" s="3676"/>
      <c r="W6" s="3676"/>
      <c r="X6" s="1281"/>
      <c r="Y6" s="3673"/>
      <c r="Z6" s="3674"/>
      <c r="AA6" s="3659"/>
      <c r="AB6" s="3659"/>
      <c r="AC6" s="3659"/>
    </row>
    <row r="7" spans="1:29" s="1071" customFormat="1" ht="15">
      <c r="A7" s="1096" t="s">
        <v>1341</v>
      </c>
      <c r="B7" s="1097"/>
      <c r="C7" s="1098">
        <f>'数据-取费表'!B2</f>
        <v>45218</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40" t="s">
        <v>1342</v>
      </c>
      <c r="Q7" s="3639"/>
      <c r="R7" s="1282" t="s">
        <v>1343</v>
      </c>
      <c r="S7" s="1283">
        <f t="shared" ref="S7:S14" si="0">F7</f>
        <v>0</v>
      </c>
      <c r="T7" s="1282" t="s">
        <v>1343</v>
      </c>
      <c r="U7" s="1283">
        <f t="shared" ref="U7:U14" si="1">H7</f>
        <v>0</v>
      </c>
      <c r="V7" s="1282" t="s">
        <v>1343</v>
      </c>
      <c r="W7" s="1283">
        <f t="shared" ref="W7:W14" si="2">J7</f>
        <v>0</v>
      </c>
      <c r="X7" s="1284"/>
      <c r="Y7" s="3640" t="s">
        <v>1342</v>
      </c>
      <c r="Z7" s="3641"/>
      <c r="AA7" s="1296" t="e">
        <f>D7/F7</f>
        <v>#DIV/0!</v>
      </c>
      <c r="AB7" s="1296" t="e">
        <f>D7/H7</f>
        <v>#DIV/0!</v>
      </c>
      <c r="AC7" s="1296" t="e">
        <f>D7/J7</f>
        <v>#DIV/0!</v>
      </c>
    </row>
    <row r="8" spans="1:29" s="1071" customFormat="1" ht="15">
      <c r="A8" s="1096" t="s">
        <v>1344</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40" t="s">
        <v>1347</v>
      </c>
      <c r="Q8" s="3641"/>
      <c r="R8" s="1282" t="s">
        <v>1343</v>
      </c>
      <c r="S8" s="1283">
        <f t="shared" si="0"/>
        <v>100</v>
      </c>
      <c r="T8" s="1282" t="s">
        <v>1343</v>
      </c>
      <c r="U8" s="1283">
        <f t="shared" si="1"/>
        <v>100</v>
      </c>
      <c r="V8" s="1282" t="s">
        <v>1343</v>
      </c>
      <c r="W8" s="1283">
        <f t="shared" si="2"/>
        <v>100</v>
      </c>
      <c r="X8" s="1284"/>
      <c r="Y8" s="3640" t="s">
        <v>1347</v>
      </c>
      <c r="Z8" s="3641"/>
      <c r="AA8" s="1296">
        <f t="shared" ref="AA8:AA36" si="3">D8/F8</f>
        <v>1</v>
      </c>
      <c r="AB8" s="1296">
        <f t="shared" ref="AB8:AB36" si="4">D8/H8</f>
        <v>1</v>
      </c>
      <c r="AC8" s="1296">
        <f t="shared" ref="AC8:AC36" si="5">D8/J8</f>
        <v>1</v>
      </c>
    </row>
    <row r="9" spans="1:29" s="1071" customFormat="1">
      <c r="A9" s="1529" t="s">
        <v>1348</v>
      </c>
      <c r="B9" s="1530" t="s">
        <v>1349</v>
      </c>
      <c r="C9" s="1462"/>
      <c r="D9" s="1107">
        <v>100</v>
      </c>
      <c r="E9" s="1463"/>
      <c r="F9" s="1107">
        <f>SUMIF(53:53,E9,54:54)-SUMIF(53:53,C9,54:54)+100</f>
        <v>100</v>
      </c>
      <c r="G9" s="1531"/>
      <c r="H9" s="1107">
        <f>SUMIF(53:53,G9,54:54)-SUMIF(53:53,C9,54:54)+100</f>
        <v>100</v>
      </c>
      <c r="I9" s="1531"/>
      <c r="J9" s="1107">
        <f>SUMIF(53:53,I9,54:54)-SUMIF(53:53,C9,54:54)+100</f>
        <v>100</v>
      </c>
      <c r="K9" s="1240"/>
      <c r="L9" s="1241"/>
      <c r="M9" s="1242"/>
      <c r="N9" s="1242"/>
      <c r="O9" s="1242"/>
      <c r="P9" s="3643" t="s">
        <v>1350</v>
      </c>
      <c r="Q9" s="1286" t="str">
        <f t="shared" ref="Q9:Q14" si="6">B9</f>
        <v>用途</v>
      </c>
      <c r="R9" s="1282" t="s">
        <v>1343</v>
      </c>
      <c r="S9" s="1283">
        <f t="shared" si="0"/>
        <v>100</v>
      </c>
      <c r="T9" s="1282" t="s">
        <v>1343</v>
      </c>
      <c r="U9" s="1283">
        <f t="shared" si="1"/>
        <v>100</v>
      </c>
      <c r="V9" s="1282" t="s">
        <v>1343</v>
      </c>
      <c r="W9" s="1283">
        <f t="shared" si="2"/>
        <v>100</v>
      </c>
      <c r="X9" s="1284"/>
      <c r="Y9" s="3612" t="s">
        <v>1351</v>
      </c>
      <c r="Z9" s="1297" t="str">
        <f t="shared" ref="Z9:Z14" si="7">Q9</f>
        <v>用途</v>
      </c>
      <c r="AA9" s="1296">
        <f t="shared" si="3"/>
        <v>1</v>
      </c>
      <c r="AB9" s="1296">
        <f t="shared" si="4"/>
        <v>1</v>
      </c>
      <c r="AC9" s="1296">
        <f t="shared" si="5"/>
        <v>1</v>
      </c>
    </row>
    <row r="10" spans="1:29" s="1072" customFormat="1" ht="27">
      <c r="A10" s="1532"/>
      <c r="B10" s="1533" t="s">
        <v>1352</v>
      </c>
      <c r="C10" s="1465"/>
      <c r="D10" s="1111">
        <v>100</v>
      </c>
      <c r="E10" s="1465"/>
      <c r="F10" s="1111">
        <f>SUMIF(55:55,E10,56:56)-SUMIF(55:55,C10,56:56)+100</f>
        <v>100</v>
      </c>
      <c r="G10" s="1534"/>
      <c r="H10" s="1111">
        <f>SUMIF(55:55,G10,56:56)-SUMIF(55:55,C10,56:56)+100</f>
        <v>100</v>
      </c>
      <c r="I10" s="1465"/>
      <c r="J10" s="1111">
        <f>SUMIF(55:55,I10,56:56)-SUMIF(55:55,C10,56:56)+100</f>
        <v>100</v>
      </c>
      <c r="K10" s="1240"/>
      <c r="L10" s="1245"/>
      <c r="M10" s="1246"/>
      <c r="N10" s="1246"/>
      <c r="O10" s="1246"/>
      <c r="P10" s="3643"/>
      <c r="Q10" s="1286" t="str">
        <f t="shared" si="6"/>
        <v>土地使用年限（年）</v>
      </c>
      <c r="R10" s="1282" t="s">
        <v>1343</v>
      </c>
      <c r="S10" s="1283">
        <f t="shared" si="0"/>
        <v>100</v>
      </c>
      <c r="T10" s="1282" t="s">
        <v>1343</v>
      </c>
      <c r="U10" s="1283">
        <f t="shared" si="1"/>
        <v>100</v>
      </c>
      <c r="V10" s="1282" t="s">
        <v>1343</v>
      </c>
      <c r="W10" s="1283">
        <f t="shared" si="2"/>
        <v>100</v>
      </c>
      <c r="X10" s="1284"/>
      <c r="Y10" s="3612"/>
      <c r="Z10" s="1297" t="str">
        <f t="shared" si="7"/>
        <v>土地使用年限（年）</v>
      </c>
      <c r="AA10" s="1296">
        <f t="shared" si="3"/>
        <v>1</v>
      </c>
      <c r="AB10" s="1296">
        <f t="shared" si="4"/>
        <v>1</v>
      </c>
      <c r="AC10" s="1296">
        <f t="shared" si="5"/>
        <v>1</v>
      </c>
    </row>
    <row r="11" spans="1:29" ht="15">
      <c r="A11" s="1535"/>
      <c r="B11" s="1536">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43"/>
      <c r="Q11" s="1286">
        <f t="shared" si="6"/>
        <v>111</v>
      </c>
      <c r="R11" s="1282" t="s">
        <v>1343</v>
      </c>
      <c r="S11" s="1283">
        <f t="shared" si="0"/>
        <v>100</v>
      </c>
      <c r="T11" s="1282" t="s">
        <v>1343</v>
      </c>
      <c r="U11" s="1283">
        <f t="shared" si="1"/>
        <v>100</v>
      </c>
      <c r="V11" s="1282" t="s">
        <v>1343</v>
      </c>
      <c r="W11" s="1283">
        <f t="shared" si="2"/>
        <v>100</v>
      </c>
      <c r="X11" s="1284"/>
      <c r="Y11" s="3612"/>
      <c r="Z11" s="1297">
        <f t="shared" si="7"/>
        <v>111</v>
      </c>
      <c r="AA11" s="1296">
        <f t="shared" si="3"/>
        <v>1</v>
      </c>
      <c r="AB11" s="1296">
        <f t="shared" si="4"/>
        <v>1</v>
      </c>
      <c r="AC11" s="1296">
        <f t="shared" si="5"/>
        <v>1</v>
      </c>
    </row>
    <row r="12" spans="1:29" s="1071" customFormat="1" ht="15">
      <c r="A12" s="1537"/>
      <c r="B12" s="1536">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43"/>
      <c r="Q12" s="1286">
        <f t="shared" si="6"/>
        <v>111</v>
      </c>
      <c r="R12" s="1282" t="s">
        <v>1343</v>
      </c>
      <c r="S12" s="1283">
        <f t="shared" si="0"/>
        <v>100</v>
      </c>
      <c r="T12" s="1282" t="s">
        <v>1343</v>
      </c>
      <c r="U12" s="1283">
        <f t="shared" si="1"/>
        <v>100</v>
      </c>
      <c r="V12" s="1282" t="s">
        <v>1343</v>
      </c>
      <c r="W12" s="1283">
        <f t="shared" si="2"/>
        <v>100</v>
      </c>
      <c r="X12" s="1284"/>
      <c r="Y12" s="3612"/>
      <c r="Z12" s="1297">
        <f t="shared" si="7"/>
        <v>111</v>
      </c>
      <c r="AA12" s="1296">
        <f t="shared" si="3"/>
        <v>1</v>
      </c>
      <c r="AB12" s="1296">
        <f t="shared" si="4"/>
        <v>1</v>
      </c>
      <c r="AC12" s="1296">
        <f t="shared" si="5"/>
        <v>1</v>
      </c>
    </row>
    <row r="13" spans="1:29" ht="15">
      <c r="A13" s="1538"/>
      <c r="B13" s="1536">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43"/>
      <c r="Q13" s="1286">
        <f t="shared" si="6"/>
        <v>111</v>
      </c>
      <c r="R13" s="1282" t="s">
        <v>1343</v>
      </c>
      <c r="S13" s="1283">
        <f t="shared" si="0"/>
        <v>100</v>
      </c>
      <c r="T13" s="1282" t="s">
        <v>1343</v>
      </c>
      <c r="U13" s="1283">
        <f t="shared" si="1"/>
        <v>100</v>
      </c>
      <c r="V13" s="1282" t="s">
        <v>1343</v>
      </c>
      <c r="W13" s="1283">
        <f t="shared" si="2"/>
        <v>100</v>
      </c>
      <c r="X13" s="1284"/>
      <c r="Y13" s="3612"/>
      <c r="Z13" s="1297">
        <f t="shared" si="7"/>
        <v>111</v>
      </c>
      <c r="AA13" s="1296">
        <f t="shared" si="3"/>
        <v>1</v>
      </c>
      <c r="AB13" s="1296">
        <f t="shared" si="4"/>
        <v>1</v>
      </c>
      <c r="AC13" s="1296">
        <f t="shared" si="5"/>
        <v>1</v>
      </c>
    </row>
    <row r="14" spans="1:29" ht="15">
      <c r="A14" s="1090" t="s">
        <v>1354</v>
      </c>
      <c r="B14" s="1127" t="s">
        <v>1358</v>
      </c>
      <c r="C14" s="1128">
        <f>IF(B1="工业",估价对象房地状况!G4,估价对象房地状况!C6)</f>
        <v>0</v>
      </c>
      <c r="D14" s="1129">
        <v>100</v>
      </c>
      <c r="E14" s="1130"/>
      <c r="F14" s="1469">
        <f>SUMIF(63:63,E15,64:64)-SUMIF(63:63,C15,64:64)+100</f>
        <v>100</v>
      </c>
      <c r="G14" s="1252"/>
      <c r="H14" s="1129">
        <f>SUMIF(63:63,G15,64:64)-SUMIF(63:63,C15,64:64)+100</f>
        <v>100</v>
      </c>
      <c r="I14" s="1130"/>
      <c r="J14" s="1129">
        <f>SUMIF(63:63,I15,64:64)-SUMIF(63:63,C15,64:64)+100</f>
        <v>100</v>
      </c>
      <c r="K14" s="1508"/>
      <c r="L14" s="1251"/>
      <c r="M14" s="1239"/>
      <c r="N14" s="1239"/>
      <c r="O14" s="1239"/>
      <c r="P14" s="3650" t="s">
        <v>1356</v>
      </c>
      <c r="Q14" s="664" t="str">
        <f t="shared" si="6"/>
        <v>交通便捷度</v>
      </c>
      <c r="R14" s="1287" t="s">
        <v>1343</v>
      </c>
      <c r="S14" s="1288">
        <f t="shared" si="0"/>
        <v>100</v>
      </c>
      <c r="T14" s="1287" t="s">
        <v>1343</v>
      </c>
      <c r="U14" s="1288">
        <f t="shared" si="1"/>
        <v>100</v>
      </c>
      <c r="V14" s="1287" t="s">
        <v>1343</v>
      </c>
      <c r="W14" s="1288">
        <f t="shared" si="2"/>
        <v>100</v>
      </c>
      <c r="X14" s="1281"/>
      <c r="Y14" s="3650" t="s">
        <v>1356</v>
      </c>
      <c r="Z14" s="1271" t="str">
        <f t="shared" si="7"/>
        <v>交通便捷度</v>
      </c>
      <c r="AA14" s="1298">
        <f t="shared" si="3"/>
        <v>1</v>
      </c>
      <c r="AB14" s="1298">
        <f t="shared" si="4"/>
        <v>1</v>
      </c>
      <c r="AC14" s="1298">
        <f t="shared" si="5"/>
        <v>1</v>
      </c>
    </row>
    <row r="15" spans="1:29" ht="15">
      <c r="A15" s="1092"/>
      <c r="B15" s="1539"/>
      <c r="C15" s="1132"/>
      <c r="D15" s="1133"/>
      <c r="E15" s="1132"/>
      <c r="F15" s="1470"/>
      <c r="G15" s="1132"/>
      <c r="H15" s="1135"/>
      <c r="I15" s="1132"/>
      <c r="J15" s="1133"/>
      <c r="K15" s="1509"/>
      <c r="L15" s="1251"/>
      <c r="M15" s="1239"/>
      <c r="N15" s="1239"/>
      <c r="O15" s="1239"/>
      <c r="P15" s="3651"/>
      <c r="Q15" s="664"/>
      <c r="R15" s="1287"/>
      <c r="S15" s="1288"/>
      <c r="T15" s="1287"/>
      <c r="U15" s="1288"/>
      <c r="V15" s="1287"/>
      <c r="W15" s="1288"/>
      <c r="X15" s="1281"/>
      <c r="Y15" s="3651"/>
      <c r="Z15" s="1271"/>
      <c r="AA15" s="1298">
        <v>1</v>
      </c>
      <c r="AB15" s="1298">
        <v>1</v>
      </c>
      <c r="AC15" s="1298">
        <v>1</v>
      </c>
    </row>
    <row r="16" spans="1:29" ht="15">
      <c r="A16" s="1092"/>
      <c r="B16" s="1136" t="s">
        <v>1359</v>
      </c>
      <c r="C16" s="1137">
        <f>IF(B1="工业",估价对象房地状况!G5,估价对象房地状况!C7)</f>
        <v>0</v>
      </c>
      <c r="D16" s="1139">
        <v>100</v>
      </c>
      <c r="E16" s="1422"/>
      <c r="F16" s="1471">
        <f>SUMIF(65:65,E17,66:66)-SUMIF(65:65,C17,66:66)+100</f>
        <v>100</v>
      </c>
      <c r="G16" s="1430"/>
      <c r="H16" s="1139">
        <f>SUMIF(65:65,G17,66:66)-SUMIF(65:65,C17,66:66)+100</f>
        <v>100</v>
      </c>
      <c r="I16" s="1422"/>
      <c r="J16" s="1139">
        <f>SUMIF(65:65,I17,66:66)-SUMIF(65:65,C17,66:66)+100</f>
        <v>100</v>
      </c>
      <c r="K16" s="1508"/>
      <c r="L16" s="1251"/>
      <c r="M16" s="1239"/>
      <c r="N16" s="1239"/>
      <c r="O16" s="1239"/>
      <c r="P16" s="3651"/>
      <c r="Q16" s="664" t="str">
        <f>B16</f>
        <v>公共配套设施</v>
      </c>
      <c r="R16" s="1287" t="s">
        <v>1343</v>
      </c>
      <c r="S16" s="1288">
        <f>F16</f>
        <v>100</v>
      </c>
      <c r="T16" s="1287" t="s">
        <v>1343</v>
      </c>
      <c r="U16" s="1288">
        <f>H16</f>
        <v>100</v>
      </c>
      <c r="V16" s="1287" t="s">
        <v>1343</v>
      </c>
      <c r="W16" s="1288">
        <f>J16</f>
        <v>100</v>
      </c>
      <c r="X16" s="1281"/>
      <c r="Y16" s="3651"/>
      <c r="Z16" s="1271" t="str">
        <f>Q16</f>
        <v>公共配套设施</v>
      </c>
      <c r="AA16" s="1298">
        <f t="shared" si="3"/>
        <v>1</v>
      </c>
      <c r="AB16" s="1298">
        <f t="shared" si="4"/>
        <v>1</v>
      </c>
      <c r="AC16" s="1298">
        <f t="shared" si="5"/>
        <v>1</v>
      </c>
    </row>
    <row r="17" spans="1:29" ht="15">
      <c r="A17" s="1092"/>
      <c r="B17" s="1140"/>
      <c r="C17" s="1420"/>
      <c r="D17" s="1133"/>
      <c r="E17" s="1132"/>
      <c r="F17" s="1470"/>
      <c r="G17" s="1132"/>
      <c r="H17" s="1133"/>
      <c r="I17" s="1132"/>
      <c r="J17" s="1133"/>
      <c r="K17" s="1509"/>
      <c r="L17" s="1251"/>
      <c r="M17" s="1239"/>
      <c r="N17" s="1239"/>
      <c r="O17" s="1239"/>
      <c r="P17" s="3651"/>
      <c r="Q17" s="664"/>
      <c r="R17" s="1287"/>
      <c r="S17" s="1288"/>
      <c r="T17" s="1287"/>
      <c r="U17" s="1288"/>
      <c r="V17" s="1287"/>
      <c r="W17" s="1288"/>
      <c r="X17" s="1281"/>
      <c r="Y17" s="3651"/>
      <c r="Z17" s="1271"/>
      <c r="AA17" s="1298">
        <v>1</v>
      </c>
      <c r="AB17" s="1298">
        <v>1</v>
      </c>
      <c r="AC17" s="1298">
        <v>1</v>
      </c>
    </row>
    <row r="18" spans="1:29" ht="15">
      <c r="A18" s="1092"/>
      <c r="B18" s="1143" t="s">
        <v>1360</v>
      </c>
      <c r="C18" s="1137">
        <f>IF(B1="工业",估价对象房地状况!G6,估价对象房地状况!C8)</f>
        <v>0</v>
      </c>
      <c r="D18" s="1135">
        <v>100</v>
      </c>
      <c r="E18" s="1138"/>
      <c r="F18" s="1471">
        <f>SUMIF(67:67,E19,68:68)-SUMIF(67:67,C19,68:68)+100</f>
        <v>100</v>
      </c>
      <c r="G18" s="1253"/>
      <c r="H18" s="1139">
        <f>SUMIF(67:67,G19,68:68)-SUMIF(67:67,C19,68:68)+100</f>
        <v>100</v>
      </c>
      <c r="I18" s="1138"/>
      <c r="J18" s="1139">
        <f>SUMIF(67:67,I19,68:68)-SUMIF(67:67,C19,68:68)+100</f>
        <v>100</v>
      </c>
      <c r="K18" s="1508"/>
      <c r="L18" s="1251"/>
      <c r="M18" s="1239"/>
      <c r="N18" s="1239"/>
      <c r="O18" s="1239"/>
      <c r="P18" s="3651"/>
      <c r="Q18" s="664" t="str">
        <f>B18</f>
        <v>基础设施水平</v>
      </c>
      <c r="R18" s="1287" t="s">
        <v>1343</v>
      </c>
      <c r="S18" s="1288">
        <f>F18</f>
        <v>100</v>
      </c>
      <c r="T18" s="1287" t="s">
        <v>1343</v>
      </c>
      <c r="U18" s="1288">
        <f>H18</f>
        <v>100</v>
      </c>
      <c r="V18" s="1287" t="s">
        <v>1343</v>
      </c>
      <c r="W18" s="1288">
        <f>J18</f>
        <v>100</v>
      </c>
      <c r="X18" s="1281"/>
      <c r="Y18" s="3651"/>
      <c r="Z18" s="1271" t="str">
        <f>Q18</f>
        <v>基础设施水平</v>
      </c>
      <c r="AA18" s="1298">
        <f t="shared" ref="AA18" si="8">D18/F18</f>
        <v>1</v>
      </c>
      <c r="AB18" s="1298">
        <f t="shared" ref="AB18" si="9">D18/H18</f>
        <v>1</v>
      </c>
      <c r="AC18" s="1298">
        <f t="shared" ref="AC18" si="10">D18/J18</f>
        <v>1</v>
      </c>
    </row>
    <row r="19" spans="1:29" ht="15">
      <c r="A19" s="1092"/>
      <c r="B19" s="1143"/>
      <c r="C19" s="1420"/>
      <c r="D19" s="1135"/>
      <c r="E19" s="1420"/>
      <c r="F19" s="1472"/>
      <c r="G19" s="1420"/>
      <c r="H19" s="1133"/>
      <c r="I19" s="1132"/>
      <c r="J19" s="1133"/>
      <c r="K19" s="1510"/>
      <c r="L19" s="1251"/>
      <c r="M19" s="1239"/>
      <c r="N19" s="1239"/>
      <c r="O19" s="1239"/>
      <c r="P19" s="3651"/>
      <c r="Q19" s="664"/>
      <c r="R19" s="1287"/>
      <c r="S19" s="1288"/>
      <c r="T19" s="1287"/>
      <c r="U19" s="1288"/>
      <c r="V19" s="1287"/>
      <c r="W19" s="1288"/>
      <c r="X19" s="1281"/>
      <c r="Y19" s="3651"/>
      <c r="Z19" s="1271"/>
      <c r="AA19" s="1298">
        <v>1</v>
      </c>
      <c r="AB19" s="1298">
        <v>1</v>
      </c>
      <c r="AC19" s="1298">
        <v>1</v>
      </c>
    </row>
    <row r="20" spans="1:29" ht="15">
      <c r="A20" s="1092"/>
      <c r="B20" s="1136" t="s">
        <v>1556</v>
      </c>
      <c r="C20" s="1137">
        <f>IF(B1="工业",估价对象房地状况!G7,估价对象房地状况!C9)</f>
        <v>0</v>
      </c>
      <c r="D20" s="1139">
        <v>100</v>
      </c>
      <c r="E20" s="1422"/>
      <c r="F20" s="1471">
        <f>SUMIF(69:69,E21,70:70)-SUMIF(69:69,C21,70:70)+100</f>
        <v>100</v>
      </c>
      <c r="G20" s="1430"/>
      <c r="H20" s="1135">
        <f>SUMIF(69:69,G21,70:70)-SUMIF(69:69,C21,70:70)+100</f>
        <v>100</v>
      </c>
      <c r="I20" s="1138"/>
      <c r="J20" s="1135">
        <f>SUMIF(69:69,I21,70:70)-SUMIF(69:69,C21,70:70)+100</f>
        <v>100</v>
      </c>
      <c r="K20" s="1508"/>
      <c r="L20" s="1251"/>
      <c r="M20" s="1239"/>
      <c r="N20" s="1239"/>
      <c r="O20" s="1239"/>
      <c r="P20" s="3651"/>
      <c r="Q20" s="664" t="str">
        <f>B20</f>
        <v>自然及人文环境</v>
      </c>
      <c r="R20" s="1287" t="s">
        <v>1343</v>
      </c>
      <c r="S20" s="1288">
        <f>F20</f>
        <v>100</v>
      </c>
      <c r="T20" s="1287" t="s">
        <v>1343</v>
      </c>
      <c r="U20" s="1288">
        <f>H20</f>
        <v>100</v>
      </c>
      <c r="V20" s="1287" t="s">
        <v>1343</v>
      </c>
      <c r="W20" s="1288">
        <f>J20</f>
        <v>100</v>
      </c>
      <c r="X20" s="1281"/>
      <c r="Y20" s="3651"/>
      <c r="Z20" s="1271" t="str">
        <f>Q20</f>
        <v>自然及人文环境</v>
      </c>
      <c r="AA20" s="1298">
        <f t="shared" si="3"/>
        <v>1</v>
      </c>
      <c r="AB20" s="1298">
        <f t="shared" si="4"/>
        <v>1</v>
      </c>
      <c r="AC20" s="1298">
        <f t="shared" si="5"/>
        <v>1</v>
      </c>
    </row>
    <row r="21" spans="1:29" ht="15">
      <c r="A21" s="1092"/>
      <c r="B21" s="1140"/>
      <c r="C21" s="1132"/>
      <c r="D21" s="1133"/>
      <c r="E21" s="1132"/>
      <c r="F21" s="1470"/>
      <c r="G21" s="1132"/>
      <c r="H21" s="1133"/>
      <c r="I21" s="1132"/>
      <c r="J21" s="1133"/>
      <c r="K21" s="1509"/>
      <c r="L21" s="1251"/>
      <c r="M21" s="1239"/>
      <c r="N21" s="1239"/>
      <c r="O21" s="1239"/>
      <c r="P21" s="3651"/>
      <c r="Q21" s="664"/>
      <c r="R21" s="1287"/>
      <c r="S21" s="1288"/>
      <c r="T21" s="1287"/>
      <c r="U21" s="1288"/>
      <c r="V21" s="1287"/>
      <c r="W21" s="1288"/>
      <c r="X21" s="1281"/>
      <c r="Y21" s="3651"/>
      <c r="Z21" s="1271"/>
      <c r="AA21" s="1298">
        <v>1</v>
      </c>
      <c r="AB21" s="1298">
        <v>1</v>
      </c>
      <c r="AC21" s="1298">
        <v>1</v>
      </c>
    </row>
    <row r="22" spans="1:29" ht="15">
      <c r="A22" s="1092"/>
      <c r="B22" s="1136" t="s">
        <v>1363</v>
      </c>
      <c r="C22" s="1146"/>
      <c r="D22" s="1135">
        <v>100</v>
      </c>
      <c r="E22" s="1146"/>
      <c r="F22" s="1473">
        <f>SUMIF(71:71,E22,72:72)-SUMIF(71:71,C22,72:72)+100</f>
        <v>100</v>
      </c>
      <c r="G22" s="1146"/>
      <c r="H22" s="1121">
        <f>SUMIF(71:71,G22,72:72)-SUMIF(71:71,C22,72:72)+100</f>
        <v>100</v>
      </c>
      <c r="I22" s="1146"/>
      <c r="J22" s="1121">
        <f>SUMIF(71:71,I22,72:72)-SUMIF(71:71,C22,72:72)+100</f>
        <v>100</v>
      </c>
      <c r="K22" s="1257"/>
      <c r="L22" s="1251"/>
      <c r="M22" s="1239"/>
      <c r="N22" s="1239"/>
      <c r="O22" s="1239"/>
      <c r="P22" s="3651"/>
      <c r="Q22" s="664" t="str">
        <f>B22</f>
        <v>楼层</v>
      </c>
      <c r="R22" s="1287" t="s">
        <v>1343</v>
      </c>
      <c r="S22" s="1288">
        <f>F22</f>
        <v>100</v>
      </c>
      <c r="T22" s="1287" t="s">
        <v>1343</v>
      </c>
      <c r="U22" s="1288">
        <f>H22</f>
        <v>100</v>
      </c>
      <c r="V22" s="1287" t="s">
        <v>1343</v>
      </c>
      <c r="W22" s="1288">
        <f>J22</f>
        <v>100</v>
      </c>
      <c r="X22" s="1281"/>
      <c r="Y22" s="3651"/>
      <c r="Z22" s="1271" t="str">
        <f>Q22</f>
        <v>楼层</v>
      </c>
      <c r="AA22" s="1298">
        <f t="shared" si="3"/>
        <v>1</v>
      </c>
      <c r="AB22" s="1298">
        <f t="shared" si="4"/>
        <v>1</v>
      </c>
      <c r="AC22" s="1298">
        <f t="shared" si="5"/>
        <v>1</v>
      </c>
    </row>
    <row r="23" spans="1:29" ht="15">
      <c r="A23" s="1092"/>
      <c r="B23" s="1540">
        <v>111</v>
      </c>
      <c r="C23" s="1110"/>
      <c r="D23" s="1121">
        <v>100</v>
      </c>
      <c r="E23" s="1110"/>
      <c r="F23" s="1473">
        <f>SUMIF(73:73,E23,74:74)-SUMIF(73:73,C23,74:74)+100</f>
        <v>100</v>
      </c>
      <c r="G23" s="1110"/>
      <c r="H23" s="1121">
        <f>SUMIF(73:73,G23,74:74)-SUMIF(73:73,C23,74:74)+100</f>
        <v>100</v>
      </c>
      <c r="I23" s="1110"/>
      <c r="J23" s="1121">
        <f>SUMIF(73:73,I23,74:74)-SUMIF(73:73,C23,74:74)+100</f>
        <v>100</v>
      </c>
      <c r="K23" s="1256"/>
      <c r="L23" s="1251"/>
      <c r="M23" s="1239"/>
      <c r="N23" s="1239"/>
      <c r="O23" s="1239"/>
      <c r="P23" s="3651"/>
      <c r="Q23" s="664">
        <f>B23</f>
        <v>111</v>
      </c>
      <c r="R23" s="1287" t="s">
        <v>1343</v>
      </c>
      <c r="S23" s="1288">
        <f>F23</f>
        <v>100</v>
      </c>
      <c r="T23" s="1287" t="s">
        <v>1343</v>
      </c>
      <c r="U23" s="1288">
        <f>H23</f>
        <v>100</v>
      </c>
      <c r="V23" s="1287" t="s">
        <v>1343</v>
      </c>
      <c r="W23" s="1288">
        <f>J23</f>
        <v>100</v>
      </c>
      <c r="X23" s="1281"/>
      <c r="Y23" s="3651"/>
      <c r="Z23" s="1271">
        <f>Q23</f>
        <v>111</v>
      </c>
      <c r="AA23" s="1298">
        <f t="shared" si="3"/>
        <v>1</v>
      </c>
      <c r="AB23" s="1298">
        <f t="shared" si="4"/>
        <v>1</v>
      </c>
      <c r="AC23" s="1298">
        <f t="shared" si="5"/>
        <v>1</v>
      </c>
    </row>
    <row r="24" spans="1:29" ht="15">
      <c r="A24" s="1092"/>
      <c r="B24" s="1540">
        <v>111</v>
      </c>
      <c r="C24" s="1110"/>
      <c r="D24" s="1121">
        <v>100</v>
      </c>
      <c r="E24" s="1110"/>
      <c r="F24" s="1473">
        <f>SUMIF(75:75,E24,76:76)-SUMIF(75:75,C24,76:76)+100</f>
        <v>100</v>
      </c>
      <c r="G24" s="1110"/>
      <c r="H24" s="1121">
        <f>SUMIF(75:75,G24,76:76)-SUMIF(75:75,C24,76:76)+100</f>
        <v>100</v>
      </c>
      <c r="I24" s="1110"/>
      <c r="J24" s="1121">
        <f>SUMIF(75:75,I24,76:76)-SUMIF(75:75,C24,76:76)+100</f>
        <v>100</v>
      </c>
      <c r="K24" s="1256"/>
      <c r="L24" s="1251"/>
      <c r="M24" s="1239"/>
      <c r="N24" s="1239"/>
      <c r="O24" s="1239"/>
      <c r="P24" s="3651"/>
      <c r="Q24" s="664">
        <f t="shared" ref="Q24:Q36" si="11">B24</f>
        <v>111</v>
      </c>
      <c r="R24" s="1287" t="s">
        <v>1343</v>
      </c>
      <c r="S24" s="1288">
        <f>F24</f>
        <v>100</v>
      </c>
      <c r="T24" s="1287" t="s">
        <v>1343</v>
      </c>
      <c r="U24" s="1288">
        <f>H24</f>
        <v>100</v>
      </c>
      <c r="V24" s="1287" t="s">
        <v>1343</v>
      </c>
      <c r="W24" s="1288">
        <f>J24</f>
        <v>100</v>
      </c>
      <c r="X24" s="1281"/>
      <c r="Y24" s="3651"/>
      <c r="Z24" s="1271">
        <f>Q24</f>
        <v>111</v>
      </c>
      <c r="AA24" s="1298">
        <f t="shared" si="3"/>
        <v>1</v>
      </c>
      <c r="AB24" s="1298">
        <f t="shared" si="4"/>
        <v>1</v>
      </c>
      <c r="AC24" s="1298">
        <f t="shared" si="5"/>
        <v>1</v>
      </c>
    </row>
    <row r="25" spans="1:29" s="1071" customFormat="1" ht="15">
      <c r="A25" s="1142"/>
      <c r="B25" s="1541">
        <v>111</v>
      </c>
      <c r="C25" s="1124"/>
      <c r="D25" s="1542">
        <v>100</v>
      </c>
      <c r="E25" s="1543"/>
      <c r="F25" s="1544">
        <f>SUMIF(77:77,E25,78:78)-SUMIF(77:77,C25,78:78)+100</f>
        <v>100</v>
      </c>
      <c r="G25" s="1543"/>
      <c r="H25" s="1542">
        <f>SUMIF(77:77,G25,78:78)-SUMIF(77:77,C25,78:78)+100</f>
        <v>100</v>
      </c>
      <c r="I25" s="1543"/>
      <c r="J25" s="1542">
        <f>SUMIF(77:77,I25,78:78)-SUMIF(77:77,C25,78:78)+100</f>
        <v>100</v>
      </c>
      <c r="K25" s="1256"/>
      <c r="L25" s="1241"/>
      <c r="M25" s="1242"/>
      <c r="N25" s="1242"/>
      <c r="O25" s="1242"/>
      <c r="P25" s="3651"/>
      <c r="Q25" s="1286">
        <f t="shared" si="11"/>
        <v>111</v>
      </c>
      <c r="R25" s="1282" t="s">
        <v>1343</v>
      </c>
      <c r="S25" s="1283">
        <f>F25</f>
        <v>100</v>
      </c>
      <c r="T25" s="1282" t="s">
        <v>1343</v>
      </c>
      <c r="U25" s="1283">
        <f>H25</f>
        <v>100</v>
      </c>
      <c r="V25" s="1282" t="s">
        <v>1343</v>
      </c>
      <c r="W25" s="1283">
        <f>J25</f>
        <v>100</v>
      </c>
      <c r="X25" s="1284"/>
      <c r="Y25" s="3651"/>
      <c r="Z25" s="1297">
        <f>Q25</f>
        <v>111</v>
      </c>
      <c r="AA25" s="1298">
        <f t="shared" si="3"/>
        <v>1</v>
      </c>
      <c r="AB25" s="1298">
        <f t="shared" si="4"/>
        <v>1</v>
      </c>
      <c r="AC25" s="1298">
        <f t="shared" si="5"/>
        <v>1</v>
      </c>
    </row>
    <row r="26" spans="1:29" ht="28.5">
      <c r="A26" s="1545" t="s">
        <v>1367</v>
      </c>
      <c r="B26" s="1546" t="s">
        <v>1597</v>
      </c>
      <c r="C26" s="1547" t="str">
        <f>B1</f>
        <v>车库</v>
      </c>
      <c r="D26" s="1133">
        <v>100</v>
      </c>
      <c r="E26" s="1132"/>
      <c r="F26" s="1470">
        <f>SUMIF(79:79,E26,80:80)-SUMIF(79:79,C26,80:80)+100</f>
        <v>0</v>
      </c>
      <c r="G26" s="1132"/>
      <c r="H26" s="1133">
        <f>SUMIF(79:79,G26,80:80)-SUMIF(79:79,C26,80:80)+100</f>
        <v>0</v>
      </c>
      <c r="I26" s="1132"/>
      <c r="J26" s="1133">
        <f>SUMIF(79:79,I26,80:80)-SUMIF(79:79,C26,80:80)+100</f>
        <v>0</v>
      </c>
      <c r="K26" s="1257"/>
      <c r="L26" s="1251"/>
      <c r="M26" s="1239"/>
      <c r="N26" s="1239"/>
      <c r="O26" s="1239"/>
      <c r="P26" s="3710" t="s">
        <v>1369</v>
      </c>
      <c r="Q26" s="664" t="str">
        <f t="shared" si="11"/>
        <v>配套类型</v>
      </c>
      <c r="R26" s="1287" t="s">
        <v>1343</v>
      </c>
      <c r="S26" s="1288">
        <f t="shared" ref="S26:S36" si="12">F26</f>
        <v>0</v>
      </c>
      <c r="T26" s="1287" t="s">
        <v>1343</v>
      </c>
      <c r="U26" s="1288">
        <f t="shared" ref="U26:U36" si="13">H26</f>
        <v>0</v>
      </c>
      <c r="V26" s="1287" t="s">
        <v>1343</v>
      </c>
      <c r="W26" s="1288">
        <f t="shared" ref="W26:W36" si="14">J26</f>
        <v>0</v>
      </c>
      <c r="X26" s="1281"/>
      <c r="Y26" s="3652" t="s">
        <v>1369</v>
      </c>
      <c r="Z26" s="1271" t="str">
        <f t="shared" ref="Z26:Z36" si="15">Q26</f>
        <v>配套类型</v>
      </c>
      <c r="AA26" s="1298" t="e">
        <f t="shared" si="3"/>
        <v>#DIV/0!</v>
      </c>
      <c r="AB26" s="1298" t="e">
        <f t="shared" si="4"/>
        <v>#DIV/0!</v>
      </c>
      <c r="AC26" s="1298" t="e">
        <f t="shared" si="5"/>
        <v>#DIV/0!</v>
      </c>
    </row>
    <row r="27" spans="1:29" s="1073" customFormat="1" ht="15">
      <c r="A27" s="1548"/>
      <c r="B27" s="1149" t="s">
        <v>1598</v>
      </c>
      <c r="C27" s="1549"/>
      <c r="D27" s="1111">
        <v>100</v>
      </c>
      <c r="E27" s="1549"/>
      <c r="F27" s="1473">
        <f>SUMIF(81:81,E27,82:82)-SUMIF(81:81,C27,82:82)+100</f>
        <v>100</v>
      </c>
      <c r="G27" s="1549"/>
      <c r="H27" s="1121">
        <f>SUMIF(81:81,G27,82:82)-SUMIF(81:81,C27,82:82)+100</f>
        <v>100</v>
      </c>
      <c r="I27" s="1549"/>
      <c r="J27" s="1121">
        <f>SUMIF(81:81,I27,82:82)-SUMIF(81:81,C27,82:82)+100</f>
        <v>100</v>
      </c>
      <c r="K27" s="1256"/>
      <c r="L27" s="1249"/>
      <c r="M27" s="1258"/>
      <c r="N27" s="1258"/>
      <c r="O27" s="1258"/>
      <c r="P27" s="3652"/>
      <c r="Q27" s="1512" t="str">
        <f t="shared" si="11"/>
        <v>项目停车位配比</v>
      </c>
      <c r="R27" s="1289" t="s">
        <v>1343</v>
      </c>
      <c r="S27" s="1290">
        <f t="shared" si="12"/>
        <v>100</v>
      </c>
      <c r="T27" s="1289" t="s">
        <v>1343</v>
      </c>
      <c r="U27" s="1290">
        <f t="shared" si="13"/>
        <v>100</v>
      </c>
      <c r="V27" s="1289" t="s">
        <v>1343</v>
      </c>
      <c r="W27" s="1290">
        <f t="shared" si="14"/>
        <v>100</v>
      </c>
      <c r="X27" s="1291"/>
      <c r="Y27" s="3652"/>
      <c r="Z27" s="1299" t="str">
        <f t="shared" si="15"/>
        <v>项目停车位配比</v>
      </c>
      <c r="AA27" s="1298">
        <f t="shared" si="3"/>
        <v>1</v>
      </c>
      <c r="AB27" s="1298">
        <f t="shared" si="4"/>
        <v>1</v>
      </c>
      <c r="AC27" s="1298">
        <f t="shared" si="5"/>
        <v>1</v>
      </c>
    </row>
    <row r="28" spans="1:29" ht="15">
      <c r="A28" s="1550"/>
      <c r="B28" s="1149" t="s">
        <v>1373</v>
      </c>
      <c r="C28" s="1483"/>
      <c r="D28" s="1121">
        <v>100</v>
      </c>
      <c r="E28" s="1483"/>
      <c r="F28" s="1473">
        <f>SUMIF(83:83,E28,84:84)-SUMIF(83:83,C28,84:84)+100</f>
        <v>100</v>
      </c>
      <c r="G28" s="1483"/>
      <c r="H28" s="1121">
        <f>SUMIF(83:83,G28,84:84)-SUMIF(83:83,C28,84:84)+100</f>
        <v>100</v>
      </c>
      <c r="I28" s="1483"/>
      <c r="J28" s="1121">
        <f>SUMIF(83:83,I28,84:84)-SUMIF(83:83,C28,84:84)+100</f>
        <v>100</v>
      </c>
      <c r="K28" s="1257"/>
      <c r="L28" s="1251"/>
      <c r="M28" s="1239"/>
      <c r="N28" s="1239"/>
      <c r="O28" s="1239"/>
      <c r="P28" s="3652"/>
      <c r="Q28" s="664" t="str">
        <f t="shared" si="11"/>
        <v>公共部分装修</v>
      </c>
      <c r="R28" s="1287" t="s">
        <v>1343</v>
      </c>
      <c r="S28" s="1288">
        <f t="shared" si="12"/>
        <v>100</v>
      </c>
      <c r="T28" s="1287" t="s">
        <v>1343</v>
      </c>
      <c r="U28" s="1288">
        <f t="shared" si="13"/>
        <v>100</v>
      </c>
      <c r="V28" s="1287" t="s">
        <v>1343</v>
      </c>
      <c r="W28" s="1288">
        <f t="shared" si="14"/>
        <v>100</v>
      </c>
      <c r="X28" s="1281"/>
      <c r="Y28" s="3652"/>
      <c r="Z28" s="1271" t="str">
        <f t="shared" si="15"/>
        <v>公共部分装修</v>
      </c>
      <c r="AA28" s="1298">
        <f t="shared" si="3"/>
        <v>1</v>
      </c>
      <c r="AB28" s="1298">
        <f t="shared" si="4"/>
        <v>1</v>
      </c>
      <c r="AC28" s="1298">
        <f t="shared" si="5"/>
        <v>1</v>
      </c>
    </row>
    <row r="29" spans="1:29" ht="15">
      <c r="A29" s="1550"/>
      <c r="B29" s="1149" t="s">
        <v>1599</v>
      </c>
      <c r="C29" s="1480"/>
      <c r="D29" s="1121">
        <v>100</v>
      </c>
      <c r="E29" s="1480"/>
      <c r="F29" s="1473" t="e">
        <f>LOOKUP(E29,86:86,87:87)-LOOKUP(C29,86:86,87:87)+100</f>
        <v>#N/A</v>
      </c>
      <c r="G29" s="1480"/>
      <c r="H29" s="1473" t="e">
        <f>LOOKUP(G29,86:86,87:87)-LOOKUP(C29,86:86,87:87)+100</f>
        <v>#N/A</v>
      </c>
      <c r="I29" s="1480"/>
      <c r="J29" s="1121" t="e">
        <f>LOOKUP(I29,86:86,87:87)-LOOKUP(C29,86:86,87:87)+100</f>
        <v>#N/A</v>
      </c>
      <c r="K29" s="1257"/>
      <c r="L29" s="1251"/>
      <c r="M29" s="1239"/>
      <c r="N29" s="1239"/>
      <c r="O29" s="1239"/>
      <c r="P29" s="3652"/>
      <c r="Q29" s="664" t="str">
        <f t="shared" si="11"/>
        <v>成新率</v>
      </c>
      <c r="R29" s="1287" t="s">
        <v>1343</v>
      </c>
      <c r="S29" s="1288" t="e">
        <f t="shared" si="12"/>
        <v>#N/A</v>
      </c>
      <c r="T29" s="1287" t="s">
        <v>1343</v>
      </c>
      <c r="U29" s="1288" t="e">
        <f t="shared" si="13"/>
        <v>#N/A</v>
      </c>
      <c r="V29" s="1287" t="s">
        <v>1343</v>
      </c>
      <c r="W29" s="1288" t="e">
        <f t="shared" si="14"/>
        <v>#N/A</v>
      </c>
      <c r="X29" s="1281"/>
      <c r="Y29" s="3652"/>
      <c r="Z29" s="1271" t="str">
        <f t="shared" si="15"/>
        <v>成新率</v>
      </c>
      <c r="AA29" s="1298" t="e">
        <f t="shared" si="3"/>
        <v>#N/A</v>
      </c>
      <c r="AB29" s="1298" t="e">
        <f t="shared" si="4"/>
        <v>#N/A</v>
      </c>
      <c r="AC29" s="1298" t="e">
        <f t="shared" si="5"/>
        <v>#N/A</v>
      </c>
    </row>
    <row r="30" spans="1:29" ht="15">
      <c r="A30" s="1550"/>
      <c r="B30" s="1149" t="s">
        <v>1600</v>
      </c>
      <c r="C30" s="1484"/>
      <c r="D30" s="1121">
        <v>100</v>
      </c>
      <c r="E30" s="1484"/>
      <c r="F30" s="1473">
        <f>SUMIF(88:88,E30,89:89)-SUMIF(88:88,C30,89:89)+100</f>
        <v>100</v>
      </c>
      <c r="G30" s="1484"/>
      <c r="H30" s="1121">
        <f>SUMIF(88:88,E30,89:89)-SUMIF(88:88,C30,89:89)+100</f>
        <v>100</v>
      </c>
      <c r="I30" s="1484"/>
      <c r="J30" s="1121">
        <f>SUMIF(88:88,E30,89:89)-SUMIF(88:88,C30,89:89)+100</f>
        <v>100</v>
      </c>
      <c r="K30" s="1257"/>
      <c r="L30" s="1251"/>
      <c r="M30" s="1239"/>
      <c r="N30" s="1239"/>
      <c r="O30" s="1239"/>
      <c r="P30" s="3652"/>
      <c r="Q30" s="664" t="str">
        <f t="shared" si="11"/>
        <v>物业等级</v>
      </c>
      <c r="R30" s="1287" t="s">
        <v>1343</v>
      </c>
      <c r="S30" s="1288">
        <f t="shared" si="12"/>
        <v>100</v>
      </c>
      <c r="T30" s="1287" t="s">
        <v>1343</v>
      </c>
      <c r="U30" s="1288">
        <f t="shared" si="13"/>
        <v>100</v>
      </c>
      <c r="V30" s="1287" t="s">
        <v>1343</v>
      </c>
      <c r="W30" s="1288">
        <f t="shared" si="14"/>
        <v>100</v>
      </c>
      <c r="X30" s="1281"/>
      <c r="Y30" s="3652"/>
      <c r="Z30" s="1271" t="str">
        <f t="shared" si="15"/>
        <v>物业等级</v>
      </c>
      <c r="AA30" s="1298">
        <f t="shared" si="3"/>
        <v>1</v>
      </c>
      <c r="AB30" s="1298">
        <f t="shared" si="4"/>
        <v>1</v>
      </c>
      <c r="AC30" s="1298">
        <f t="shared" si="5"/>
        <v>1</v>
      </c>
    </row>
    <row r="31" spans="1:29" s="1071" customFormat="1" ht="15">
      <c r="A31" s="1551"/>
      <c r="B31" s="1149" t="s">
        <v>1601</v>
      </c>
      <c r="C31" s="1467"/>
      <c r="D31" s="1111">
        <v>100</v>
      </c>
      <c r="E31" s="1467"/>
      <c r="F31" s="1473" t="e">
        <f>LOOKUP(E31,91:91,92:92)-LOOKUP(C31,91:91,92:92)+100</f>
        <v>#N/A</v>
      </c>
      <c r="G31" s="1467"/>
      <c r="H31" s="1121" t="e">
        <f>LOOKUP(G31,91:91,92:92)-LOOKUP(C31,91:91,92:92)+100</f>
        <v>#N/A</v>
      </c>
      <c r="I31" s="1467"/>
      <c r="J31" s="1121" t="e">
        <f>LOOKUP(I31,91:91,92:92)-LOOKUP(C31,91:91,92:92)+100</f>
        <v>#N/A</v>
      </c>
      <c r="K31" s="1257"/>
      <c r="L31" s="1241"/>
      <c r="M31" s="1242"/>
      <c r="N31" s="1242"/>
      <c r="O31" s="1242"/>
      <c r="P31" s="3652"/>
      <c r="Q31" s="1286" t="str">
        <f t="shared" si="11"/>
        <v>停车位面积</v>
      </c>
      <c r="R31" s="1282" t="s">
        <v>1343</v>
      </c>
      <c r="S31" s="1283" t="e">
        <f t="shared" si="12"/>
        <v>#N/A</v>
      </c>
      <c r="T31" s="1282" t="s">
        <v>1343</v>
      </c>
      <c r="U31" s="1283" t="e">
        <f t="shared" si="13"/>
        <v>#N/A</v>
      </c>
      <c r="V31" s="1282" t="s">
        <v>1343</v>
      </c>
      <c r="W31" s="1283" t="e">
        <f t="shared" si="14"/>
        <v>#N/A</v>
      </c>
      <c r="X31" s="1284"/>
      <c r="Y31" s="3652"/>
      <c r="Z31" s="1297" t="str">
        <f t="shared" si="15"/>
        <v>停车位面积</v>
      </c>
      <c r="AA31" s="1296" t="e">
        <f t="shared" si="3"/>
        <v>#N/A</v>
      </c>
      <c r="AB31" s="1296" t="e">
        <f t="shared" si="4"/>
        <v>#N/A</v>
      </c>
      <c r="AC31" s="1296" t="e">
        <f t="shared" si="5"/>
        <v>#N/A</v>
      </c>
    </row>
    <row r="32" spans="1:29" ht="15">
      <c r="A32" s="1550"/>
      <c r="B32" s="1149" t="s">
        <v>1602</v>
      </c>
      <c r="C32" s="1483"/>
      <c r="D32" s="1121">
        <v>100</v>
      </c>
      <c r="E32" s="1483"/>
      <c r="F32" s="1473">
        <f>SUMIF(93:93,E32,94:94)-SUMIF(93:93,C32,94:94)+100</f>
        <v>100</v>
      </c>
      <c r="G32" s="1483"/>
      <c r="H32" s="1121">
        <f>SUMIF(93:93,G32,94:94)-SUMIF(93:93,C32,94:94)+100</f>
        <v>100</v>
      </c>
      <c r="I32" s="1483"/>
      <c r="J32" s="1121">
        <f>SUMIF(93:93,I32,94:94)-SUMIF(93:93,C32,94:94)+100</f>
        <v>100</v>
      </c>
      <c r="K32" s="1257"/>
      <c r="L32" s="1251"/>
      <c r="M32" s="1239"/>
      <c r="N32" s="1239"/>
      <c r="O32" s="1239"/>
      <c r="P32" s="3652" t="s">
        <v>1369</v>
      </c>
      <c r="Q32" s="664" t="str">
        <f t="shared" si="11"/>
        <v>车位类型</v>
      </c>
      <c r="R32" s="1287" t="s">
        <v>1343</v>
      </c>
      <c r="S32" s="1288">
        <f t="shared" si="12"/>
        <v>100</v>
      </c>
      <c r="T32" s="1287" t="s">
        <v>1343</v>
      </c>
      <c r="U32" s="1288">
        <f t="shared" si="13"/>
        <v>100</v>
      </c>
      <c r="V32" s="1287" t="s">
        <v>1343</v>
      </c>
      <c r="W32" s="1288">
        <f t="shared" si="14"/>
        <v>100</v>
      </c>
      <c r="X32" s="1281"/>
      <c r="Y32" s="3652" t="s">
        <v>1369</v>
      </c>
      <c r="Z32" s="1271" t="str">
        <f t="shared" si="15"/>
        <v>车位类型</v>
      </c>
      <c r="AA32" s="1298">
        <f t="shared" si="3"/>
        <v>1</v>
      </c>
      <c r="AB32" s="1298">
        <f t="shared" si="4"/>
        <v>1</v>
      </c>
      <c r="AC32" s="1298">
        <f t="shared" si="5"/>
        <v>1</v>
      </c>
    </row>
    <row r="33" spans="1:29" ht="15">
      <c r="A33" s="1550"/>
      <c r="B33" s="1149" t="s">
        <v>1603</v>
      </c>
      <c r="C33" s="1483"/>
      <c r="D33" s="1121">
        <v>100</v>
      </c>
      <c r="E33" s="1483"/>
      <c r="F33" s="1473">
        <f>SUMIF(95:95,E33,96:96)-SUMIF(95:95,C33,96:96)+100</f>
        <v>100</v>
      </c>
      <c r="G33" s="1483"/>
      <c r="H33" s="1121">
        <f>SUMIF(95:95,G33,96:96)-SUMIF(95:95,C33,96:96)+100</f>
        <v>100</v>
      </c>
      <c r="I33" s="1483"/>
      <c r="J33" s="1121">
        <f>SUMIF(95:95,I33,96:96)-SUMIF(95:95,C33,96:96)+100</f>
        <v>100</v>
      </c>
      <c r="K33" s="1257"/>
      <c r="L33" s="1251"/>
      <c r="M33" s="1239"/>
      <c r="N33" s="1239"/>
      <c r="O33" s="1239"/>
      <c r="P33" s="3652"/>
      <c r="Q33" s="664" t="str">
        <f t="shared" si="11"/>
        <v>是否直接入户</v>
      </c>
      <c r="R33" s="1287" t="s">
        <v>1343</v>
      </c>
      <c r="S33" s="1288">
        <f t="shared" si="12"/>
        <v>100</v>
      </c>
      <c r="T33" s="1287" t="s">
        <v>1343</v>
      </c>
      <c r="U33" s="1288">
        <f t="shared" si="13"/>
        <v>100</v>
      </c>
      <c r="V33" s="1287" t="s">
        <v>1343</v>
      </c>
      <c r="W33" s="1288">
        <f t="shared" si="14"/>
        <v>100</v>
      </c>
      <c r="X33" s="1281"/>
      <c r="Y33" s="3652"/>
      <c r="Z33" s="1271" t="str">
        <f t="shared" si="15"/>
        <v>是否直接入户</v>
      </c>
      <c r="AA33" s="1298">
        <f t="shared" si="3"/>
        <v>1</v>
      </c>
      <c r="AB33" s="1298">
        <f t="shared" si="4"/>
        <v>1</v>
      </c>
      <c r="AC33" s="1298">
        <f t="shared" si="5"/>
        <v>1</v>
      </c>
    </row>
    <row r="34" spans="1:29" ht="15">
      <c r="A34" s="1550"/>
      <c r="B34" s="1540">
        <v>111</v>
      </c>
      <c r="C34" s="1110"/>
      <c r="D34" s="1121">
        <v>100</v>
      </c>
      <c r="E34" s="1110"/>
      <c r="F34" s="1473">
        <f>SUMIF(97:97,E34,98:98)-SUMIF(97:97,C34,98:98)+100</f>
        <v>100</v>
      </c>
      <c r="G34" s="1110"/>
      <c r="H34" s="1121">
        <f>SUMIF(97:97,G34,98:98)-SUMIF(97:97,C34,98:98)+100</f>
        <v>100</v>
      </c>
      <c r="I34" s="1110"/>
      <c r="J34" s="1121">
        <f>SUMIF(97:97,I34,98:98)-SUMIF(97:97,C34,98:98)+100</f>
        <v>100</v>
      </c>
      <c r="K34" s="1256"/>
      <c r="L34" s="1251"/>
      <c r="M34" s="1239"/>
      <c r="N34" s="1239"/>
      <c r="O34" s="1239"/>
      <c r="P34" s="3652"/>
      <c r="Q34" s="664">
        <f t="shared" si="11"/>
        <v>111</v>
      </c>
      <c r="R34" s="1287" t="s">
        <v>1343</v>
      </c>
      <c r="S34" s="1288">
        <f t="shared" si="12"/>
        <v>100</v>
      </c>
      <c r="T34" s="1287" t="s">
        <v>1343</v>
      </c>
      <c r="U34" s="1288">
        <f t="shared" si="13"/>
        <v>100</v>
      </c>
      <c r="V34" s="1287" t="s">
        <v>1343</v>
      </c>
      <c r="W34" s="1288">
        <f t="shared" si="14"/>
        <v>100</v>
      </c>
      <c r="X34" s="1281"/>
      <c r="Y34" s="3652"/>
      <c r="Z34" s="1271">
        <f t="shared" si="15"/>
        <v>111</v>
      </c>
      <c r="AA34" s="1298">
        <f t="shared" si="3"/>
        <v>1</v>
      </c>
      <c r="AB34" s="1298">
        <f t="shared" si="4"/>
        <v>1</v>
      </c>
      <c r="AC34" s="1298">
        <f t="shared" si="5"/>
        <v>1</v>
      </c>
    </row>
    <row r="35" spans="1:29" s="1073" customFormat="1" ht="15">
      <c r="A35" s="1548"/>
      <c r="B35" s="1540">
        <v>111</v>
      </c>
      <c r="C35" s="1110"/>
      <c r="D35" s="1121">
        <v>100</v>
      </c>
      <c r="E35" s="1110"/>
      <c r="F35" s="1473">
        <f>SUMIF(99:99,E35,100:100)-SUMIF(99:99,C35,100:100)+100</f>
        <v>100</v>
      </c>
      <c r="G35" s="1110"/>
      <c r="H35" s="1121">
        <f>SUMIF(99:99,G35,100:100)-SUMIF(99:99,C35,100:100)+100</f>
        <v>100</v>
      </c>
      <c r="I35" s="1110"/>
      <c r="J35" s="1121">
        <f>SUMIF(99:99,I35,100:100)-SUMIF(99:99,C35,100:100)+100</f>
        <v>100</v>
      </c>
      <c r="K35" s="1256"/>
      <c r="L35" s="1249"/>
      <c r="M35" s="1258"/>
      <c r="N35" s="1258"/>
      <c r="O35" s="1258"/>
      <c r="P35" s="3652"/>
      <c r="Q35" s="1512">
        <f t="shared" si="11"/>
        <v>111</v>
      </c>
      <c r="R35" s="1289" t="s">
        <v>1343</v>
      </c>
      <c r="S35" s="1290">
        <f t="shared" si="12"/>
        <v>100</v>
      </c>
      <c r="T35" s="1289" t="s">
        <v>1343</v>
      </c>
      <c r="U35" s="1290">
        <f t="shared" si="13"/>
        <v>100</v>
      </c>
      <c r="V35" s="1289" t="s">
        <v>1343</v>
      </c>
      <c r="W35" s="1290">
        <f t="shared" si="14"/>
        <v>100</v>
      </c>
      <c r="X35" s="1291"/>
      <c r="Y35" s="3652"/>
      <c r="Z35" s="1299">
        <f t="shared" si="15"/>
        <v>111</v>
      </c>
      <c r="AA35" s="1298">
        <f t="shared" si="3"/>
        <v>1</v>
      </c>
      <c r="AB35" s="1298">
        <f t="shared" si="4"/>
        <v>1</v>
      </c>
      <c r="AC35" s="1298">
        <f t="shared" si="5"/>
        <v>1</v>
      </c>
    </row>
    <row r="36" spans="1:29" ht="15">
      <c r="A36" s="1552"/>
      <c r="B36" s="1541">
        <v>111</v>
      </c>
      <c r="C36" s="1120"/>
      <c r="D36" s="1121">
        <v>100</v>
      </c>
      <c r="E36" s="1110"/>
      <c r="F36" s="1473">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52"/>
      <c r="Q36" s="664">
        <f t="shared" si="11"/>
        <v>111</v>
      </c>
      <c r="R36" s="1287" t="s">
        <v>1343</v>
      </c>
      <c r="S36" s="1288">
        <f t="shared" si="12"/>
        <v>100</v>
      </c>
      <c r="T36" s="1287" t="s">
        <v>1343</v>
      </c>
      <c r="U36" s="1288">
        <f t="shared" si="13"/>
        <v>100</v>
      </c>
      <c r="V36" s="1287" t="s">
        <v>1343</v>
      </c>
      <c r="W36" s="1288">
        <f t="shared" si="14"/>
        <v>100</v>
      </c>
      <c r="X36" s="1281"/>
      <c r="Y36" s="3652"/>
      <c r="Z36" s="1271">
        <f t="shared" si="15"/>
        <v>111</v>
      </c>
      <c r="AA36" s="1298">
        <f t="shared" si="3"/>
        <v>1</v>
      </c>
      <c r="AB36" s="1298">
        <f t="shared" si="4"/>
        <v>1</v>
      </c>
      <c r="AC36" s="1298">
        <f t="shared" si="5"/>
        <v>1</v>
      </c>
    </row>
    <row r="37" spans="1:29" ht="15">
      <c r="A37" s="1170" t="s">
        <v>1604</v>
      </c>
      <c r="B37" s="1553" t="s">
        <v>1605</v>
      </c>
      <c r="C37" s="1488" t="s">
        <v>124</v>
      </c>
      <c r="D37" s="1489"/>
      <c r="E37" s="1490"/>
      <c r="F37" s="1491"/>
      <c r="G37" s="1492"/>
      <c r="H37" s="1493"/>
      <c r="I37" s="1490"/>
      <c r="J37" s="1493"/>
      <c r="K37" s="1562"/>
      <c r="L37" s="1263"/>
      <c r="M37" s="1187"/>
      <c r="N37" s="1239"/>
      <c r="O37" s="1187"/>
      <c r="P37" s="3643" t="str">
        <f>A37</f>
        <v>成交单价</v>
      </c>
      <c r="Q37" s="3643"/>
      <c r="R37" s="3644">
        <f>E37</f>
        <v>0</v>
      </c>
      <c r="S37" s="3644"/>
      <c r="T37" s="3644">
        <f>G37</f>
        <v>0</v>
      </c>
      <c r="U37" s="3644"/>
      <c r="V37" s="3644">
        <f>I37</f>
        <v>0</v>
      </c>
      <c r="W37" s="3644"/>
      <c r="X37" s="1227"/>
      <c r="Y37" s="1300"/>
      <c r="Z37" s="1227"/>
      <c r="AA37" s="1227"/>
      <c r="AB37" s="1227"/>
      <c r="AC37" s="1227"/>
    </row>
    <row r="38" spans="1:29" ht="15">
      <c r="A38" s="1178" t="s">
        <v>1386</v>
      </c>
      <c r="B38" s="1494" t="str">
        <f>B37</f>
        <v>元/平方米</v>
      </c>
      <c r="C38" s="1495" t="e">
        <f>R39</f>
        <v>#DIV/0!</v>
      </c>
      <c r="D38" s="1181" t="s">
        <v>1387</v>
      </c>
      <c r="E38" s="1496" t="e">
        <f>R38</f>
        <v>#DIV/0!</v>
      </c>
      <c r="F38" s="1182"/>
      <c r="G38" s="1495" t="e">
        <f>T38</f>
        <v>#DIV/0!</v>
      </c>
      <c r="H38" s="1182"/>
      <c r="I38" s="1496" t="e">
        <f>V38</f>
        <v>#DIV/0!</v>
      </c>
      <c r="J38" s="1182"/>
      <c r="K38" s="1264">
        <f>F38+H38+J38</f>
        <v>0</v>
      </c>
      <c r="L38" s="1263"/>
      <c r="M38" s="1187"/>
      <c r="N38" s="1187"/>
      <c r="O38" s="1187"/>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1227"/>
      <c r="Y38" s="1227"/>
      <c r="Z38" s="1227"/>
      <c r="AA38" s="1227"/>
      <c r="AB38" s="1227"/>
      <c r="AC38" s="1227"/>
    </row>
    <row r="39" spans="1:29" ht="15">
      <c r="A39" s="1184" t="s">
        <v>1606</v>
      </c>
      <c r="B39" s="1185"/>
      <c r="C39" s="1497" t="e">
        <f>R39</f>
        <v>#DIV/0!</v>
      </c>
      <c r="D39" s="1497"/>
      <c r="E39" s="1497"/>
      <c r="F39" s="1497"/>
      <c r="G39" s="1497"/>
      <c r="H39" s="1497"/>
      <c r="I39" s="1497"/>
      <c r="J39" s="1497"/>
      <c r="K39" s="1563"/>
      <c r="L39" s="1263"/>
      <c r="M39" s="1187"/>
      <c r="N39" s="1187"/>
      <c r="O39" s="1187"/>
      <c r="P39" s="3700" t="str">
        <f>A39</f>
        <v>估价对象XX用房的比较价值（楼面单价，元/平方米）</v>
      </c>
      <c r="Q39" s="3701"/>
      <c r="R39" s="3711" t="e">
        <f>IF(F1="售价",ROUND(IF(D38="简单平均",AVERAGE(R38:W38),R38*F38+T38*H38+V38*J38),0),ROUND(IF(D38="简单平均",AVERAGE(R38:V38),R38*F38+T38*H38+V38*J38),1))</f>
        <v>#DIV/0!</v>
      </c>
      <c r="S39" s="3711"/>
      <c r="T39" s="3711"/>
      <c r="U39" s="3711"/>
      <c r="V39" s="3711"/>
      <c r="W39" s="3711"/>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64"/>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64"/>
      <c r="Q41" s="1187"/>
      <c r="R41" s="1187"/>
      <c r="S41" s="1187"/>
      <c r="T41" s="1187"/>
      <c r="U41" s="1187"/>
      <c r="V41" s="1187"/>
      <c r="W41" s="1187"/>
      <c r="X41" s="1187"/>
      <c r="Y41" s="1187"/>
      <c r="Z41" s="1187"/>
      <c r="AA41" s="1187"/>
      <c r="AB41" s="1187"/>
      <c r="AC41" s="1187"/>
    </row>
    <row r="42" spans="1:29" ht="13.5" customHeight="1">
      <c r="A42" s="1187"/>
      <c r="B42" s="1187"/>
      <c r="C42" s="1189" t="s">
        <v>1389</v>
      </c>
      <c r="D42" s="708"/>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64"/>
      <c r="Q42" s="1187"/>
      <c r="R42" s="1187"/>
      <c r="S42" s="1187"/>
      <c r="T42" s="1187"/>
      <c r="U42" s="1187"/>
      <c r="V42" s="1187"/>
      <c r="W42" s="1187"/>
      <c r="X42" s="1187"/>
      <c r="Y42" s="1187"/>
      <c r="Z42" s="1187"/>
      <c r="AA42" s="1187"/>
      <c r="AB42" s="1187"/>
      <c r="AC42" s="1187"/>
    </row>
    <row r="43" spans="1:29" ht="13.5" customHeight="1">
      <c r="A43" s="1187"/>
      <c r="B43" s="1187"/>
      <c r="C43" s="1189" t="s">
        <v>1390</v>
      </c>
      <c r="D43" s="707"/>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64"/>
      <c r="Q43" s="1187"/>
      <c r="R43" s="1187"/>
      <c r="S43" s="1187"/>
      <c r="T43" s="1187"/>
      <c r="U43" s="1187"/>
      <c r="V43" s="1187"/>
      <c r="W43" s="1187"/>
      <c r="X43" s="1187"/>
      <c r="Y43" s="1187"/>
      <c r="Z43" s="1187"/>
      <c r="AA43" s="1187"/>
      <c r="AB43" s="1187"/>
      <c r="AC43" s="1187"/>
    </row>
    <row r="44" spans="1:29" s="1074" customFormat="1" ht="13.5" customHeight="1">
      <c r="A44" s="1192"/>
      <c r="B44" s="1192"/>
      <c r="C44" s="1189" t="s">
        <v>1391</v>
      </c>
      <c r="D44" s="707"/>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65"/>
      <c r="Q44" s="1192"/>
      <c r="R44" s="1192"/>
      <c r="S44" s="1192"/>
      <c r="T44" s="1192"/>
      <c r="U44" s="1192"/>
      <c r="V44" s="1192"/>
      <c r="W44" s="1192"/>
      <c r="X44" s="1192"/>
      <c r="Y44" s="1192"/>
      <c r="Z44" s="1192"/>
      <c r="AA44" s="1192"/>
      <c r="AB44" s="1192"/>
      <c r="AC44" s="1192"/>
    </row>
    <row r="45" spans="1:29" s="1074" customFormat="1">
      <c r="A45" s="1192"/>
      <c r="B45" s="1193"/>
      <c r="C45" s="1498"/>
      <c r="D45" s="1192"/>
      <c r="E45" s="1192"/>
      <c r="F45" s="1192"/>
      <c r="G45" s="1192"/>
      <c r="H45" s="1192"/>
      <c r="I45" s="1192"/>
      <c r="J45" s="1192"/>
      <c r="K45" s="1269"/>
      <c r="L45" s="1270"/>
      <c r="M45" s="1192"/>
      <c r="N45" s="1192"/>
      <c r="O45" s="1192"/>
      <c r="P45" s="1565"/>
      <c r="Q45" s="1192"/>
      <c r="R45" s="1192"/>
      <c r="S45" s="1192"/>
      <c r="T45" s="1192"/>
      <c r="U45" s="1192"/>
      <c r="V45" s="1192"/>
      <c r="W45" s="1192"/>
      <c r="X45" s="1192"/>
      <c r="Y45" s="1192"/>
      <c r="Z45" s="1192"/>
      <c r="AA45" s="1192"/>
      <c r="AB45" s="1192"/>
      <c r="AC45" s="1192"/>
    </row>
    <row r="46" spans="1:29">
      <c r="A46" s="1187"/>
      <c r="B46" s="1193"/>
      <c r="C46" s="1498"/>
      <c r="D46" s="1187"/>
      <c r="E46" s="1187"/>
      <c r="F46" s="1187"/>
      <c r="G46" s="1187"/>
      <c r="H46" s="1187"/>
      <c r="I46" s="1187"/>
      <c r="J46" s="1187"/>
      <c r="K46" s="1267"/>
      <c r="L46" s="1268"/>
      <c r="M46" s="1187"/>
      <c r="N46" s="1187"/>
      <c r="O46" s="1187"/>
      <c r="P46" s="1564"/>
      <c r="Q46" s="1187"/>
      <c r="R46" s="1187"/>
      <c r="S46" s="1187"/>
      <c r="T46" s="1187"/>
      <c r="U46" s="1187"/>
      <c r="V46" s="1187"/>
      <c r="W46" s="1187"/>
      <c r="X46" s="1187"/>
      <c r="Y46" s="1187"/>
      <c r="Z46" s="1187"/>
      <c r="AA46" s="1187"/>
      <c r="AB46" s="1187"/>
      <c r="AC46" s="1187"/>
    </row>
    <row r="47" spans="1:29" ht="21">
      <c r="A47" s="1554" t="s">
        <v>1392</v>
      </c>
      <c r="B47" s="1222"/>
      <c r="C47" s="1279"/>
      <c r="D47" s="1279"/>
      <c r="E47" s="1279"/>
      <c r="F47" s="1555"/>
      <c r="G47" s="1555"/>
      <c r="H47" s="1279"/>
      <c r="I47" s="1279"/>
      <c r="J47" s="1279"/>
      <c r="K47" s="1442"/>
      <c r="L47" s="1443"/>
      <c r="M47" s="1279"/>
      <c r="N47" s="1280"/>
      <c r="O47" s="1280"/>
      <c r="P47" s="1566"/>
      <c r="Q47" s="1292"/>
      <c r="R47" s="1187"/>
      <c r="S47" s="1187"/>
      <c r="T47" s="1187"/>
      <c r="U47" s="1187"/>
      <c r="V47" s="1187"/>
      <c r="W47" s="1187"/>
      <c r="X47" s="1187"/>
      <c r="Y47" s="1187"/>
      <c r="Z47" s="1187"/>
      <c r="AA47" s="1187"/>
      <c r="AB47" s="1187"/>
      <c r="AC47" s="1187"/>
    </row>
    <row r="48" spans="1:29" s="1076" customFormat="1" ht="15">
      <c r="A48" s="1499" t="s">
        <v>1341</v>
      </c>
      <c r="B48" s="1500"/>
      <c r="C48" s="1501" t="str">
        <f>YEAR(C7)&amp;"-"&amp;MONTH(C7)</f>
        <v>2023-10</v>
      </c>
      <c r="D48" s="1502">
        <f>EDATE(C48,-1)</f>
        <v>45170</v>
      </c>
      <c r="E48" s="1502">
        <f t="shared" ref="E48:O48" si="16">EDATE(D48,-1)</f>
        <v>45139</v>
      </c>
      <c r="F48" s="1502">
        <f t="shared" si="16"/>
        <v>45108</v>
      </c>
      <c r="G48" s="1502">
        <f t="shared" si="16"/>
        <v>45078</v>
      </c>
      <c r="H48" s="1502">
        <f t="shared" si="16"/>
        <v>45047</v>
      </c>
      <c r="I48" s="1502">
        <f t="shared" si="16"/>
        <v>45017</v>
      </c>
      <c r="J48" s="1502">
        <f t="shared" si="16"/>
        <v>44986</v>
      </c>
      <c r="K48" s="1502">
        <f t="shared" si="16"/>
        <v>44958</v>
      </c>
      <c r="L48" s="1502">
        <f t="shared" si="16"/>
        <v>44927</v>
      </c>
      <c r="M48" s="1502">
        <f t="shared" si="16"/>
        <v>44896</v>
      </c>
      <c r="N48" s="1502">
        <f t="shared" si="16"/>
        <v>44866</v>
      </c>
      <c r="O48" s="1502">
        <f t="shared" si="16"/>
        <v>44835</v>
      </c>
      <c r="P48" s="1567"/>
      <c r="Q48" s="1408"/>
      <c r="R48" s="1408"/>
      <c r="S48" s="1408"/>
      <c r="T48" s="1408"/>
      <c r="U48" s="1408"/>
      <c r="V48" s="1408"/>
      <c r="W48" s="1408"/>
      <c r="X48" s="1408"/>
      <c r="Y48" s="1408"/>
      <c r="Z48" s="1408"/>
      <c r="AA48" s="1408"/>
      <c r="AB48" s="1408"/>
      <c r="AC48" s="1408"/>
    </row>
    <row r="49" spans="1:29" s="1071" customFormat="1" ht="15">
      <c r="A49" s="1503"/>
      <c r="B49" s="1311"/>
      <c r="C49" s="1556">
        <v>100</v>
      </c>
      <c r="D49" s="1315"/>
      <c r="E49" s="1315"/>
      <c r="F49" s="1315"/>
      <c r="G49" s="1315"/>
      <c r="H49" s="1315"/>
      <c r="I49" s="1315"/>
      <c r="J49" s="1315"/>
      <c r="K49" s="1315"/>
      <c r="L49" s="1315"/>
      <c r="M49" s="1511"/>
      <c r="N49" s="1315"/>
      <c r="O49" s="1511"/>
      <c r="P49" s="1568"/>
      <c r="Q49" s="1409"/>
      <c r="R49" s="1409"/>
      <c r="S49" s="1409"/>
      <c r="T49" s="1409"/>
      <c r="U49" s="1409"/>
      <c r="V49" s="1409"/>
      <c r="W49" s="1409"/>
      <c r="X49" s="1409"/>
      <c r="Y49" s="1409"/>
      <c r="Z49" s="1409"/>
      <c r="AA49" s="1409"/>
      <c r="AB49" s="1409"/>
      <c r="AC49" s="1409"/>
    </row>
    <row r="50" spans="1:29" s="1071" customFormat="1" ht="15">
      <c r="A50" s="1306" t="s">
        <v>1393</v>
      </c>
      <c r="B50" s="1307"/>
      <c r="C50" s="1308"/>
      <c r="D50" s="1309"/>
      <c r="E50" s="1309"/>
      <c r="F50" s="1309"/>
      <c r="G50" s="1309"/>
      <c r="H50" s="1309"/>
      <c r="I50" s="1309"/>
      <c r="J50" s="1309"/>
      <c r="K50" s="1309"/>
      <c r="L50" s="1309"/>
      <c r="M50" s="1355"/>
      <c r="N50" s="1309"/>
      <c r="O50" s="1355"/>
      <c r="P50" s="1568"/>
      <c r="Q50" s="1292"/>
      <c r="R50" s="1409"/>
      <c r="S50" s="1409"/>
      <c r="T50" s="1409"/>
      <c r="U50" s="1409"/>
      <c r="V50" s="1409"/>
      <c r="W50" s="1409"/>
      <c r="X50" s="1409"/>
      <c r="Y50" s="1409"/>
      <c r="Z50" s="1409"/>
      <c r="AA50" s="1409"/>
      <c r="AB50" s="1409"/>
      <c r="AC50" s="1409"/>
    </row>
    <row r="51" spans="1:29" s="1071" customFormat="1" ht="15">
      <c r="A51" s="1310" t="s">
        <v>1344</v>
      </c>
      <c r="B51" s="1311"/>
      <c r="C51" s="1312" t="s">
        <v>1394</v>
      </c>
      <c r="D51" s="1313"/>
      <c r="E51" s="1313"/>
      <c r="F51" s="1313"/>
      <c r="G51" s="1313"/>
      <c r="H51" s="1313"/>
      <c r="I51" s="1313"/>
      <c r="J51" s="1313"/>
      <c r="K51" s="1313"/>
      <c r="L51" s="1357"/>
      <c r="M51" s="1358"/>
      <c r="N51" s="1359"/>
      <c r="O51" s="1359"/>
      <c r="P51" s="1569"/>
      <c r="Q51" s="1292"/>
      <c r="R51" s="1409"/>
      <c r="S51" s="1409"/>
      <c r="T51" s="1409"/>
      <c r="U51" s="1409"/>
      <c r="V51" s="1409"/>
      <c r="W51" s="1409"/>
      <c r="X51" s="1409"/>
      <c r="Y51" s="1409"/>
      <c r="Z51" s="1409"/>
      <c r="AA51" s="1409"/>
      <c r="AB51" s="1409"/>
      <c r="AC51" s="1409"/>
    </row>
    <row r="52" spans="1:29" s="1071" customFormat="1" ht="15">
      <c r="A52" s="1310"/>
      <c r="B52" s="1311"/>
      <c r="C52" s="1314">
        <v>100</v>
      </c>
      <c r="D52" s="1315"/>
      <c r="E52" s="1315"/>
      <c r="F52" s="1315"/>
      <c r="G52" s="1315"/>
      <c r="H52" s="1315"/>
      <c r="I52" s="1315"/>
      <c r="J52" s="1315"/>
      <c r="K52" s="1315"/>
      <c r="L52" s="1315"/>
      <c r="M52" s="1361"/>
      <c r="N52" s="1359"/>
      <c r="O52" s="1359"/>
      <c r="P52" s="1568"/>
      <c r="Q52" s="1292"/>
      <c r="R52" s="1409"/>
      <c r="S52" s="1409"/>
      <c r="T52" s="1409"/>
      <c r="U52" s="1409"/>
      <c r="V52" s="1409"/>
      <c r="W52" s="1409"/>
      <c r="X52" s="1409"/>
      <c r="Y52" s="1409"/>
      <c r="Z52" s="1409"/>
      <c r="AA52" s="1409"/>
      <c r="AB52" s="1409"/>
      <c r="AC52" s="1409"/>
    </row>
    <row r="53" spans="1:29">
      <c r="A53" s="1316" t="s">
        <v>1395</v>
      </c>
      <c r="B53" s="1317" t="s">
        <v>1349</v>
      </c>
      <c r="C53" s="1337">
        <f>C9</f>
        <v>0</v>
      </c>
      <c r="D53" s="1260"/>
      <c r="E53" s="1260"/>
      <c r="F53" s="1260"/>
      <c r="G53" s="1260"/>
      <c r="H53" s="1260"/>
      <c r="I53" s="1260"/>
      <c r="J53" s="1260"/>
      <c r="K53" s="1362"/>
      <c r="L53" s="1363"/>
      <c r="M53" s="1364"/>
      <c r="N53" s="1365"/>
      <c r="O53" s="1365"/>
      <c r="P53" s="1570"/>
      <c r="Q53" s="1292"/>
      <c r="R53" s="1187"/>
      <c r="S53" s="1187"/>
      <c r="T53" s="1187"/>
      <c r="U53" s="1187"/>
      <c r="V53" s="1187"/>
      <c r="W53" s="1187"/>
      <c r="X53" s="1187"/>
      <c r="Y53" s="1187"/>
      <c r="Z53" s="1187"/>
      <c r="AA53" s="1187"/>
      <c r="AB53" s="1187"/>
      <c r="AC53" s="1187"/>
    </row>
    <row r="54" spans="1:29" ht="15">
      <c r="A54" s="1318"/>
      <c r="B54" s="1319"/>
      <c r="C54" s="964">
        <v>100</v>
      </c>
      <c r="D54" s="964"/>
      <c r="E54" s="964"/>
      <c r="F54" s="964"/>
      <c r="G54" s="964"/>
      <c r="H54" s="964"/>
      <c r="I54" s="964"/>
      <c r="J54" s="964"/>
      <c r="K54" s="964"/>
      <c r="L54" s="964"/>
      <c r="M54" s="1367"/>
      <c r="N54" s="1368"/>
      <c r="O54" s="1368"/>
      <c r="P54" s="1570"/>
      <c r="Q54" s="1292"/>
      <c r="R54" s="1187"/>
      <c r="S54" s="1187"/>
      <c r="T54" s="1187"/>
      <c r="U54" s="1187"/>
      <c r="V54" s="1187"/>
      <c r="W54" s="1187"/>
      <c r="X54" s="1187"/>
      <c r="Y54" s="1187"/>
      <c r="Z54" s="1187"/>
      <c r="AA54" s="1187"/>
      <c r="AB54" s="1187"/>
      <c r="AC54" s="1187"/>
    </row>
    <row r="55" spans="1:29" ht="27">
      <c r="A55" s="1318"/>
      <c r="B55" s="1320" t="s">
        <v>1352</v>
      </c>
      <c r="C55" s="1344"/>
      <c r="D55" s="1344"/>
      <c r="E55" s="1344"/>
      <c r="F55" s="1344"/>
      <c r="G55" s="1344"/>
      <c r="H55" s="1344"/>
      <c r="I55" s="1344"/>
      <c r="J55" s="1344"/>
      <c r="K55" s="1395"/>
      <c r="L55" s="1396"/>
      <c r="M55" s="1397"/>
      <c r="N55" s="1365"/>
      <c r="O55" s="1365"/>
      <c r="P55" s="1570"/>
      <c r="Q55" s="1292"/>
      <c r="R55" s="1187"/>
      <c r="S55" s="1187"/>
      <c r="T55" s="1187"/>
      <c r="U55" s="1187"/>
      <c r="V55" s="1187"/>
      <c r="W55" s="1187"/>
      <c r="X55" s="1187"/>
      <c r="Y55" s="1187"/>
      <c r="Z55" s="1187"/>
      <c r="AA55" s="1187"/>
      <c r="AB55" s="1187"/>
      <c r="AC55" s="1187"/>
    </row>
    <row r="56" spans="1:29" ht="15">
      <c r="A56" s="1318"/>
      <c r="B56" s="1322"/>
      <c r="C56" s="964"/>
      <c r="D56" s="964"/>
      <c r="E56" s="964"/>
      <c r="F56" s="964"/>
      <c r="G56" s="964"/>
      <c r="H56" s="964"/>
      <c r="I56" s="964"/>
      <c r="J56" s="964"/>
      <c r="K56" s="964"/>
      <c r="L56" s="964"/>
      <c r="M56" s="1367"/>
      <c r="N56" s="1368"/>
      <c r="O56" s="1368"/>
      <c r="P56" s="1570"/>
      <c r="Q56" s="1292"/>
      <c r="R56" s="1187"/>
      <c r="S56" s="1187"/>
      <c r="T56" s="1187"/>
      <c r="U56" s="1187"/>
      <c r="V56" s="1187"/>
      <c r="W56" s="1187"/>
      <c r="X56" s="1187"/>
      <c r="Y56" s="1187"/>
      <c r="Z56" s="1187"/>
      <c r="AA56" s="1187"/>
      <c r="AB56" s="1187"/>
      <c r="AC56" s="1187"/>
    </row>
    <row r="57" spans="1:29" ht="15">
      <c r="A57" s="1318"/>
      <c r="B57" s="1343">
        <f>B11</f>
        <v>111</v>
      </c>
      <c r="C57" s="1118"/>
      <c r="D57" s="1118"/>
      <c r="E57" s="1118"/>
      <c r="F57" s="1118"/>
      <c r="G57" s="1118"/>
      <c r="H57" s="1118"/>
      <c r="I57" s="1118"/>
      <c r="J57" s="1118"/>
      <c r="K57" s="1373"/>
      <c r="L57" s="1374"/>
      <c r="M57" s="1375"/>
      <c r="N57" s="1365"/>
      <c r="O57" s="1365"/>
      <c r="P57" s="1570"/>
      <c r="Q57" s="1292"/>
      <c r="R57" s="1187"/>
      <c r="S57" s="1187"/>
      <c r="T57" s="1187"/>
      <c r="U57" s="1187"/>
      <c r="V57" s="1187"/>
      <c r="W57" s="1187"/>
      <c r="X57" s="1187"/>
      <c r="Y57" s="1187"/>
      <c r="Z57" s="1187"/>
      <c r="AA57" s="1187"/>
      <c r="AB57" s="1187"/>
      <c r="AC57" s="1187"/>
    </row>
    <row r="58" spans="1:29" ht="15">
      <c r="A58" s="1318"/>
      <c r="B58" s="1319"/>
      <c r="C58" s="963"/>
      <c r="D58" s="964"/>
      <c r="E58" s="964"/>
      <c r="F58" s="964"/>
      <c r="G58" s="964"/>
      <c r="H58" s="964"/>
      <c r="I58" s="964"/>
      <c r="J58" s="964"/>
      <c r="K58" s="964"/>
      <c r="L58" s="964"/>
      <c r="M58" s="1367"/>
      <c r="N58" s="1368"/>
      <c r="O58" s="1368"/>
      <c r="P58" s="1570"/>
      <c r="Q58" s="1292"/>
      <c r="R58" s="1187"/>
      <c r="S58" s="1187"/>
      <c r="T58" s="1187"/>
      <c r="U58" s="1187"/>
      <c r="V58" s="1187"/>
      <c r="W58" s="1187"/>
      <c r="X58" s="1187"/>
      <c r="Y58" s="1187"/>
      <c r="Z58" s="1187"/>
      <c r="AA58" s="1187"/>
      <c r="AB58" s="1187"/>
      <c r="AC58" s="1187"/>
    </row>
    <row r="59" spans="1:29" s="1073" customFormat="1" ht="15">
      <c r="A59" s="1327"/>
      <c r="B59" s="1320">
        <f>B12</f>
        <v>111</v>
      </c>
      <c r="C59" s="1118"/>
      <c r="D59" s="1118"/>
      <c r="E59" s="1118"/>
      <c r="F59" s="1118"/>
      <c r="G59" s="1328"/>
      <c r="H59" s="1329"/>
      <c r="I59" s="1329"/>
      <c r="J59" s="1329"/>
      <c r="K59" s="1329"/>
      <c r="L59" s="1376"/>
      <c r="M59" s="1377"/>
      <c r="N59" s="1378"/>
      <c r="O59" s="1378"/>
      <c r="P59" s="1571"/>
      <c r="Q59" s="1410"/>
      <c r="R59" s="1411"/>
      <c r="S59" s="1411"/>
      <c r="T59" s="1411"/>
      <c r="U59" s="1411"/>
      <c r="V59" s="1411"/>
      <c r="W59" s="1411"/>
      <c r="X59" s="1411"/>
      <c r="Y59" s="1411"/>
      <c r="Z59" s="1411"/>
      <c r="AA59" s="1411"/>
      <c r="AB59" s="1411"/>
      <c r="AC59" s="1411"/>
    </row>
    <row r="60" spans="1:29" s="1073" customFormat="1" ht="15">
      <c r="A60" s="1327"/>
      <c r="B60" s="1322"/>
      <c r="C60" s="963"/>
      <c r="D60" s="964"/>
      <c r="E60" s="964"/>
      <c r="F60" s="964"/>
      <c r="G60" s="964"/>
      <c r="H60" s="964"/>
      <c r="I60" s="964"/>
      <c r="J60" s="964"/>
      <c r="K60" s="964"/>
      <c r="L60" s="964"/>
      <c r="M60" s="1367"/>
      <c r="N60" s="1368"/>
      <c r="O60" s="1368"/>
      <c r="P60" s="1571"/>
      <c r="Q60" s="1410"/>
      <c r="R60" s="1411"/>
      <c r="S60" s="1411"/>
      <c r="T60" s="1411"/>
      <c r="U60" s="1411"/>
      <c r="V60" s="1411"/>
      <c r="W60" s="1411"/>
      <c r="X60" s="1411"/>
      <c r="Y60" s="1411"/>
      <c r="Z60" s="1411"/>
      <c r="AA60" s="1411"/>
      <c r="AB60" s="1411"/>
      <c r="AC60" s="1411"/>
    </row>
    <row r="61" spans="1:29" s="1073" customFormat="1" ht="15">
      <c r="A61" s="1327"/>
      <c r="B61" s="1320">
        <f>B13</f>
        <v>111</v>
      </c>
      <c r="C61" s="1328"/>
      <c r="D61" s="1328"/>
      <c r="E61" s="1328"/>
      <c r="F61" s="1328"/>
      <c r="G61" s="1328"/>
      <c r="H61" s="1329"/>
      <c r="I61" s="1329"/>
      <c r="J61" s="1329"/>
      <c r="K61" s="1329"/>
      <c r="L61" s="1376"/>
      <c r="M61" s="1377"/>
      <c r="N61" s="1378"/>
      <c r="O61" s="1378"/>
      <c r="P61" s="1572"/>
      <c r="Q61" s="1412"/>
      <c r="R61" s="1411"/>
      <c r="S61" s="1411"/>
      <c r="T61" s="1411"/>
      <c r="U61" s="1411"/>
      <c r="V61" s="1411"/>
      <c r="W61" s="1411"/>
      <c r="X61" s="1411"/>
      <c r="Y61" s="1411"/>
      <c r="Z61" s="1411"/>
      <c r="AA61" s="1411"/>
      <c r="AB61" s="1411"/>
      <c r="AC61" s="1411"/>
    </row>
    <row r="62" spans="1:29" s="1073" customFormat="1" ht="15">
      <c r="A62" s="1327"/>
      <c r="B62" s="1322"/>
      <c r="C62" s="963"/>
      <c r="D62" s="963"/>
      <c r="E62" s="963"/>
      <c r="F62" s="963"/>
      <c r="G62" s="963"/>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6" t="s">
        <v>1354</v>
      </c>
      <c r="B63" s="1317" t="s">
        <v>1358</v>
      </c>
      <c r="C63" s="1336" t="s">
        <v>1396</v>
      </c>
      <c r="D63" s="1336" t="s">
        <v>1397</v>
      </c>
      <c r="E63" s="1336" t="s">
        <v>1398</v>
      </c>
      <c r="F63" s="1336" t="s">
        <v>1399</v>
      </c>
      <c r="G63" s="1336" t="s">
        <v>1400</v>
      </c>
      <c r="H63" s="1337"/>
      <c r="I63" s="1337"/>
      <c r="J63" s="1337"/>
      <c r="K63" s="1385"/>
      <c r="L63" s="1386"/>
      <c r="M63" s="1387"/>
      <c r="N63" s="1365"/>
      <c r="O63" s="1365"/>
      <c r="P63" s="1573"/>
      <c r="Q63" s="1292"/>
      <c r="R63" s="1187"/>
      <c r="S63" s="1187"/>
      <c r="T63" s="1187"/>
      <c r="U63" s="1187"/>
      <c r="V63" s="1187"/>
      <c r="W63" s="1187"/>
      <c r="X63" s="1187"/>
      <c r="Y63" s="1187"/>
      <c r="Z63" s="1187"/>
      <c r="AA63" s="1187"/>
      <c r="AB63" s="1187"/>
      <c r="AC63" s="1187"/>
    </row>
    <row r="64" spans="1:29" ht="15">
      <c r="A64" s="1318"/>
      <c r="B64" s="1322"/>
      <c r="C64" s="1323">
        <v>100</v>
      </c>
      <c r="D64" s="1323">
        <f>C64-$K14</f>
        <v>100</v>
      </c>
      <c r="E64" s="1323">
        <f>D64-$K14</f>
        <v>100</v>
      </c>
      <c r="F64" s="1323">
        <f>E64-$K14</f>
        <v>100</v>
      </c>
      <c r="G64" s="1323">
        <f>F64-$K14</f>
        <v>100</v>
      </c>
      <c r="H64" s="1323"/>
      <c r="I64" s="1323"/>
      <c r="J64" s="1323"/>
      <c r="K64" s="1323"/>
      <c r="L64" s="1323"/>
      <c r="M64" s="1372"/>
      <c r="N64" s="1368"/>
      <c r="O64" s="1368"/>
      <c r="P64" s="1570"/>
      <c r="Q64" s="1292"/>
      <c r="R64" s="1187"/>
      <c r="S64" s="1187"/>
      <c r="T64" s="1187"/>
      <c r="U64" s="1187"/>
      <c r="V64" s="1187"/>
      <c r="W64" s="1187"/>
      <c r="X64" s="1187"/>
      <c r="Y64" s="1187"/>
      <c r="Z64" s="1187"/>
      <c r="AA64" s="1187"/>
      <c r="AB64" s="1187"/>
      <c r="AC64" s="1187"/>
    </row>
    <row r="65" spans="1:29" ht="15">
      <c r="A65" s="1318"/>
      <c r="B65" s="1320" t="s">
        <v>1359</v>
      </c>
      <c r="C65" s="1338" t="s">
        <v>1396</v>
      </c>
      <c r="D65" s="1338" t="s">
        <v>1397</v>
      </c>
      <c r="E65" s="1338" t="s">
        <v>1398</v>
      </c>
      <c r="F65" s="1338" t="s">
        <v>1399</v>
      </c>
      <c r="G65" s="1338" t="s">
        <v>1400</v>
      </c>
      <c r="H65" s="1321"/>
      <c r="I65" s="1321"/>
      <c r="J65" s="1321"/>
      <c r="K65" s="1369"/>
      <c r="L65" s="1370"/>
      <c r="M65" s="1371"/>
      <c r="N65" s="1365"/>
      <c r="O65" s="1365"/>
      <c r="P65" s="1570"/>
      <c r="Q65" s="1292"/>
      <c r="R65" s="1187"/>
      <c r="S65" s="1187"/>
      <c r="T65" s="1187"/>
      <c r="U65" s="1187"/>
      <c r="V65" s="1187"/>
      <c r="W65" s="1187"/>
      <c r="X65" s="1187"/>
      <c r="Y65" s="1187"/>
      <c r="Z65" s="1187"/>
      <c r="AA65" s="1187"/>
      <c r="AB65" s="1187"/>
      <c r="AC65" s="1187"/>
    </row>
    <row r="66" spans="1:29" ht="15">
      <c r="A66" s="1318"/>
      <c r="B66" s="1322"/>
      <c r="C66" s="1323">
        <v>100</v>
      </c>
      <c r="D66" s="1323">
        <f>C66-$K16</f>
        <v>100</v>
      </c>
      <c r="E66" s="1323">
        <f>D66-$K16</f>
        <v>100</v>
      </c>
      <c r="F66" s="1323">
        <f>E66-$K16</f>
        <v>100</v>
      </c>
      <c r="G66" s="1323">
        <f>F66-$K16</f>
        <v>100</v>
      </c>
      <c r="H66" s="1323"/>
      <c r="I66" s="1323"/>
      <c r="J66" s="1323"/>
      <c r="K66" s="1323"/>
      <c r="L66" s="1323"/>
      <c r="M66" s="1372"/>
      <c r="N66" s="1368"/>
      <c r="O66" s="1368"/>
      <c r="P66" s="1570"/>
      <c r="Q66" s="1292"/>
      <c r="R66" s="1187"/>
      <c r="S66" s="1187"/>
      <c r="T66" s="1187"/>
      <c r="U66" s="1187"/>
      <c r="V66" s="1187"/>
      <c r="W66" s="1187"/>
      <c r="X66" s="1187"/>
      <c r="Y66" s="1187"/>
      <c r="Z66" s="1187"/>
      <c r="AA66" s="1187"/>
      <c r="AB66" s="1187"/>
      <c r="AC66" s="1187"/>
    </row>
    <row r="67" spans="1:29" ht="15">
      <c r="A67" s="1318"/>
      <c r="B67" s="1324" t="s">
        <v>1360</v>
      </c>
      <c r="C67" s="1343" t="s">
        <v>1401</v>
      </c>
      <c r="D67" s="1343" t="s">
        <v>1402</v>
      </c>
      <c r="E67" s="1343" t="s">
        <v>1403</v>
      </c>
      <c r="F67" s="1343" t="s">
        <v>1404</v>
      </c>
      <c r="G67" s="1343" t="s">
        <v>1405</v>
      </c>
      <c r="H67" s="1321"/>
      <c r="I67" s="1321"/>
      <c r="J67" s="1321"/>
      <c r="K67" s="1321"/>
      <c r="L67" s="1321"/>
      <c r="M67" s="1516"/>
      <c r="N67" s="1368"/>
      <c r="O67" s="1368"/>
      <c r="P67" s="1570"/>
      <c r="Q67" s="1292"/>
      <c r="R67" s="1187"/>
      <c r="S67" s="1187"/>
      <c r="T67" s="1187"/>
      <c r="U67" s="1187"/>
      <c r="V67" s="1187"/>
      <c r="W67" s="1187"/>
      <c r="X67" s="1187"/>
      <c r="Y67" s="1187"/>
      <c r="Z67" s="1187"/>
      <c r="AA67" s="1187"/>
      <c r="AB67" s="1187"/>
      <c r="AC67" s="1187"/>
    </row>
    <row r="68" spans="1:29" ht="15">
      <c r="A68" s="1318"/>
      <c r="B68" s="1324"/>
      <c r="C68" s="1323">
        <v>100</v>
      </c>
      <c r="D68" s="1323">
        <f>C68-$K18</f>
        <v>100</v>
      </c>
      <c r="E68" s="1323">
        <f>D68-$K18</f>
        <v>100</v>
      </c>
      <c r="F68" s="1323">
        <f>E68-$K18</f>
        <v>100</v>
      </c>
      <c r="G68" s="1323">
        <f>F68-$K18</f>
        <v>100</v>
      </c>
      <c r="H68" s="1343"/>
      <c r="I68" s="1343"/>
      <c r="J68" s="1343"/>
      <c r="K68" s="1343"/>
      <c r="L68" s="1343"/>
      <c r="M68" s="1135"/>
      <c r="N68" s="1368"/>
      <c r="O68" s="1368"/>
      <c r="P68" s="1570"/>
      <c r="Q68" s="1292"/>
      <c r="R68" s="1187"/>
      <c r="S68" s="1187"/>
      <c r="T68" s="1187"/>
      <c r="U68" s="1187"/>
      <c r="V68" s="1187"/>
      <c r="W68" s="1187"/>
      <c r="X68" s="1187"/>
      <c r="Y68" s="1187"/>
      <c r="Z68" s="1187"/>
      <c r="AA68" s="1187"/>
      <c r="AB68" s="1187"/>
      <c r="AC68" s="1187"/>
    </row>
    <row r="69" spans="1:29" ht="15">
      <c r="A69" s="1318"/>
      <c r="B69" s="1320" t="s">
        <v>1556</v>
      </c>
      <c r="C69" s="1338" t="s">
        <v>1396</v>
      </c>
      <c r="D69" s="1338" t="s">
        <v>1397</v>
      </c>
      <c r="E69" s="1338" t="s">
        <v>1398</v>
      </c>
      <c r="F69" s="1338" t="s">
        <v>1399</v>
      </c>
      <c r="G69" s="1338" t="s">
        <v>1400</v>
      </c>
      <c r="H69" s="1321"/>
      <c r="I69" s="1321"/>
      <c r="J69" s="1321"/>
      <c r="K69" s="1369"/>
      <c r="L69" s="1370"/>
      <c r="M69" s="1371"/>
      <c r="N69" s="1365"/>
      <c r="O69" s="1365"/>
      <c r="P69" s="1570"/>
      <c r="Q69" s="1292"/>
      <c r="R69" s="1187"/>
      <c r="S69" s="1187"/>
      <c r="T69" s="1187"/>
      <c r="U69" s="1187"/>
      <c r="V69" s="1187"/>
      <c r="W69" s="1187"/>
      <c r="X69" s="1187"/>
      <c r="Y69" s="1187"/>
      <c r="Z69" s="1187"/>
      <c r="AA69" s="1187"/>
      <c r="AB69" s="1187"/>
      <c r="AC69" s="1187"/>
    </row>
    <row r="70" spans="1:29" ht="15">
      <c r="A70" s="1318"/>
      <c r="B70" s="1322"/>
      <c r="C70" s="1323">
        <v>100</v>
      </c>
      <c r="D70" s="1323">
        <f>C70-$K20</f>
        <v>100</v>
      </c>
      <c r="E70" s="1323">
        <f>D70-$K20</f>
        <v>100</v>
      </c>
      <c r="F70" s="1323">
        <f>E70-$K20</f>
        <v>100</v>
      </c>
      <c r="G70" s="1323">
        <f>F70-$K20</f>
        <v>100</v>
      </c>
      <c r="H70" s="1323"/>
      <c r="I70" s="1323"/>
      <c r="J70" s="1323"/>
      <c r="K70" s="1323"/>
      <c r="L70" s="1323"/>
      <c r="M70" s="1372"/>
      <c r="N70" s="1368"/>
      <c r="O70" s="1368"/>
      <c r="P70" s="1570"/>
      <c r="Q70" s="1292"/>
      <c r="R70" s="1187"/>
      <c r="S70" s="1187"/>
      <c r="T70" s="1187"/>
      <c r="U70" s="1187"/>
      <c r="V70" s="1187"/>
      <c r="W70" s="1187"/>
      <c r="X70" s="1187"/>
      <c r="Y70" s="1187"/>
      <c r="Z70" s="1187"/>
      <c r="AA70" s="1187"/>
      <c r="AB70" s="1187"/>
      <c r="AC70" s="1187"/>
    </row>
    <row r="71" spans="1:29" ht="15">
      <c r="A71" s="1318"/>
      <c r="B71" s="1320" t="s">
        <v>1363</v>
      </c>
      <c r="C71" s="1328"/>
      <c r="D71" s="1328"/>
      <c r="E71" s="1328"/>
      <c r="F71" s="1328"/>
      <c r="G71" s="1328"/>
      <c r="H71" s="1344"/>
      <c r="I71" s="1344"/>
      <c r="J71" s="1344"/>
      <c r="K71" s="1395"/>
      <c r="L71" s="1396"/>
      <c r="M71" s="1397"/>
      <c r="N71" s="1365"/>
      <c r="O71" s="1365"/>
      <c r="P71" s="1570"/>
      <c r="Q71" s="1292"/>
      <c r="R71" s="1187"/>
      <c r="S71" s="1187"/>
      <c r="T71" s="1187"/>
      <c r="U71" s="1187"/>
      <c r="V71" s="1187"/>
      <c r="W71" s="1187"/>
      <c r="X71" s="1187"/>
      <c r="Y71" s="1187"/>
      <c r="Z71" s="1187"/>
      <c r="AA71" s="1187"/>
      <c r="AB71" s="1187"/>
      <c r="AC71" s="1187"/>
    </row>
    <row r="72" spans="1:29" ht="15">
      <c r="A72" s="1318"/>
      <c r="B72" s="1322"/>
      <c r="C72" s="1323">
        <v>100</v>
      </c>
      <c r="D72" s="1323">
        <f>C72-$K22</f>
        <v>100</v>
      </c>
      <c r="E72" s="1323">
        <f>D72-$K22</f>
        <v>100</v>
      </c>
      <c r="F72" s="1323">
        <f>E72-$K22</f>
        <v>100</v>
      </c>
      <c r="G72" s="1323">
        <f>F72-$K22</f>
        <v>100</v>
      </c>
      <c r="H72" s="1323"/>
      <c r="I72" s="1323"/>
      <c r="J72" s="1323"/>
      <c r="K72" s="1323"/>
      <c r="L72" s="1323"/>
      <c r="M72" s="1372"/>
      <c r="N72" s="1368"/>
      <c r="O72" s="1368"/>
      <c r="P72" s="1570"/>
      <c r="Q72" s="1292"/>
      <c r="R72" s="1187"/>
      <c r="S72" s="1187"/>
      <c r="T72" s="1187"/>
      <c r="U72" s="1187"/>
      <c r="V72" s="1187"/>
      <c r="W72" s="1187"/>
      <c r="X72" s="1187"/>
      <c r="Y72" s="1187"/>
      <c r="Z72" s="1187"/>
      <c r="AA72" s="1187"/>
      <c r="AB72" s="1187"/>
      <c r="AC72" s="1187"/>
    </row>
    <row r="73" spans="1:29" s="1071" customFormat="1" ht="15">
      <c r="A73" s="1339"/>
      <c r="B73" s="1320">
        <f>B23</f>
        <v>111</v>
      </c>
      <c r="C73" s="1118"/>
      <c r="D73" s="1118"/>
      <c r="E73" s="1118"/>
      <c r="F73" s="1118"/>
      <c r="G73" s="1328"/>
      <c r="H73" s="1328"/>
      <c r="I73" s="1328"/>
      <c r="J73" s="1328"/>
      <c r="K73" s="1328"/>
      <c r="L73" s="1517"/>
      <c r="M73" s="1518"/>
      <c r="N73" s="1359"/>
      <c r="O73" s="1359"/>
      <c r="P73" s="1570"/>
      <c r="Q73" s="1292"/>
      <c r="R73" s="1409"/>
      <c r="S73" s="1409"/>
      <c r="T73" s="1409"/>
      <c r="U73" s="1409"/>
      <c r="V73" s="1409"/>
      <c r="W73" s="1409"/>
      <c r="X73" s="1409"/>
      <c r="Y73" s="1409"/>
      <c r="Z73" s="1409"/>
      <c r="AA73" s="1409"/>
      <c r="AB73" s="1409"/>
      <c r="AC73" s="1409"/>
    </row>
    <row r="74" spans="1:29" s="1071" customFormat="1" ht="15">
      <c r="A74" s="1339"/>
      <c r="B74" s="1322"/>
      <c r="C74" s="963"/>
      <c r="D74" s="964"/>
      <c r="E74" s="964"/>
      <c r="F74" s="964"/>
      <c r="G74" s="964"/>
      <c r="H74" s="964"/>
      <c r="I74" s="964"/>
      <c r="J74" s="964"/>
      <c r="K74" s="964"/>
      <c r="L74" s="964"/>
      <c r="M74" s="1367"/>
      <c r="N74" s="1368"/>
      <c r="O74" s="1368"/>
      <c r="P74" s="1570"/>
      <c r="Q74" s="1292"/>
      <c r="R74" s="1409"/>
      <c r="S74" s="1409"/>
      <c r="T74" s="1409"/>
      <c r="U74" s="1409"/>
      <c r="V74" s="1409"/>
      <c r="W74" s="1409"/>
      <c r="X74" s="1409"/>
      <c r="Y74" s="1409"/>
      <c r="Z74" s="1409"/>
      <c r="AA74" s="1409"/>
      <c r="AB74" s="1409"/>
      <c r="AC74" s="1409"/>
    </row>
    <row r="75" spans="1:29" s="1071" customFormat="1" ht="15">
      <c r="A75" s="1339"/>
      <c r="B75" s="1320">
        <f>B24</f>
        <v>111</v>
      </c>
      <c r="C75" s="1118"/>
      <c r="D75" s="1118"/>
      <c r="E75" s="1118"/>
      <c r="F75" s="1118"/>
      <c r="G75" s="1328"/>
      <c r="H75" s="1328"/>
      <c r="I75" s="1328"/>
      <c r="J75" s="1328"/>
      <c r="K75" s="1328"/>
      <c r="L75" s="1328"/>
      <c r="M75" s="1518"/>
      <c r="N75" s="1359"/>
      <c r="O75" s="1359"/>
      <c r="P75" s="1570"/>
      <c r="Q75" s="1292"/>
      <c r="R75" s="1409"/>
      <c r="S75" s="1409"/>
      <c r="T75" s="1409"/>
      <c r="U75" s="1409"/>
      <c r="V75" s="1409"/>
      <c r="W75" s="1409"/>
      <c r="X75" s="1409"/>
      <c r="Y75" s="1409"/>
      <c r="Z75" s="1409"/>
      <c r="AA75" s="1409"/>
      <c r="AB75" s="1409"/>
      <c r="AC75" s="1409"/>
    </row>
    <row r="76" spans="1:29" s="1071" customFormat="1" ht="15">
      <c r="A76" s="1339"/>
      <c r="B76" s="1322"/>
      <c r="C76" s="963"/>
      <c r="D76" s="964"/>
      <c r="E76" s="964"/>
      <c r="F76" s="964"/>
      <c r="G76" s="964"/>
      <c r="H76" s="964"/>
      <c r="I76" s="964"/>
      <c r="J76" s="964"/>
      <c r="K76" s="964"/>
      <c r="L76" s="964"/>
      <c r="M76" s="1367"/>
      <c r="N76" s="1368"/>
      <c r="O76" s="1368"/>
      <c r="P76" s="1570"/>
      <c r="Q76" s="1292"/>
      <c r="R76" s="1409"/>
      <c r="S76" s="1409"/>
      <c r="T76" s="1409"/>
      <c r="U76" s="1409"/>
      <c r="V76" s="1409"/>
      <c r="W76" s="1409"/>
      <c r="X76" s="1409"/>
      <c r="Y76" s="1409"/>
      <c r="Z76" s="1409"/>
      <c r="AA76" s="1409"/>
      <c r="AB76" s="1409"/>
      <c r="AC76" s="1409"/>
    </row>
    <row r="77" spans="1:29" s="1073" customFormat="1" ht="15">
      <c r="A77" s="1327"/>
      <c r="B77" s="1320">
        <f>B25</f>
        <v>111</v>
      </c>
      <c r="C77" s="1328"/>
      <c r="D77" s="1328"/>
      <c r="E77" s="1328"/>
      <c r="F77" s="1328"/>
      <c r="G77" s="1328"/>
      <c r="H77" s="1329"/>
      <c r="I77" s="1329"/>
      <c r="J77" s="1329"/>
      <c r="K77" s="1329"/>
      <c r="L77" s="1376"/>
      <c r="M77" s="1377"/>
      <c r="N77" s="1378"/>
      <c r="O77" s="1378"/>
      <c r="P77" s="1571"/>
      <c r="Q77" s="1410"/>
      <c r="R77" s="1411"/>
      <c r="S77" s="1411"/>
      <c r="T77" s="1411"/>
      <c r="U77" s="1411"/>
      <c r="V77" s="1411"/>
      <c r="W77" s="1411"/>
      <c r="X77" s="1411"/>
      <c r="Y77" s="1411"/>
      <c r="Z77" s="1411"/>
      <c r="AA77" s="1411"/>
      <c r="AB77" s="1411"/>
      <c r="AC77" s="1411"/>
    </row>
    <row r="78" spans="1:29" s="1073" customFormat="1" ht="15">
      <c r="A78" s="1327"/>
      <c r="B78" s="1322"/>
      <c r="C78" s="963"/>
      <c r="D78" s="963"/>
      <c r="E78" s="963"/>
      <c r="F78" s="963"/>
      <c r="G78" s="964"/>
      <c r="H78" s="964"/>
      <c r="I78" s="964"/>
      <c r="J78" s="964"/>
      <c r="K78" s="964"/>
      <c r="L78" s="964"/>
      <c r="M78" s="1367"/>
      <c r="N78" s="1378"/>
      <c r="O78" s="1378"/>
      <c r="P78" s="1571"/>
      <c r="Q78" s="1410"/>
      <c r="R78" s="1411"/>
      <c r="S78" s="1411"/>
      <c r="T78" s="1411"/>
      <c r="U78" s="1411"/>
      <c r="V78" s="1411"/>
      <c r="W78" s="1411"/>
      <c r="X78" s="1411"/>
      <c r="Y78" s="1411"/>
      <c r="Z78" s="1411"/>
      <c r="AA78" s="1411"/>
      <c r="AB78" s="1411"/>
      <c r="AC78" s="1411"/>
    </row>
    <row r="79" spans="1:29" ht="27">
      <c r="A79" s="1316" t="s">
        <v>1367</v>
      </c>
      <c r="B79" s="1317" t="s">
        <v>1607</v>
      </c>
      <c r="C79" s="1337" t="str">
        <f>C26</f>
        <v>车库</v>
      </c>
      <c r="D79" s="1260"/>
      <c r="E79" s="1260"/>
      <c r="F79" s="1260"/>
      <c r="G79" s="1260"/>
      <c r="H79" s="1260"/>
      <c r="I79" s="1260"/>
      <c r="J79" s="1260"/>
      <c r="K79" s="1362"/>
      <c r="L79" s="1363"/>
      <c r="M79" s="1364"/>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2">
        <f t="shared" si="17"/>
        <v>100</v>
      </c>
      <c r="N80" s="1368"/>
      <c r="O80" s="1368"/>
      <c r="P80" s="1570"/>
      <c r="Q80" s="1292"/>
      <c r="R80" s="1187"/>
      <c r="S80" s="1187"/>
      <c r="T80" s="1187"/>
      <c r="U80" s="1187"/>
      <c r="V80" s="1187"/>
      <c r="W80" s="1187"/>
      <c r="X80" s="1187"/>
      <c r="Y80" s="1187"/>
      <c r="Z80" s="1187"/>
      <c r="AA80" s="1187"/>
      <c r="AB80" s="1187"/>
      <c r="AC80" s="1187"/>
    </row>
    <row r="81" spans="1:29" ht="15">
      <c r="A81" s="1318"/>
      <c r="B81" s="1320" t="s">
        <v>1598</v>
      </c>
      <c r="C81" s="1574"/>
      <c r="D81" s="1574"/>
      <c r="E81" s="1574"/>
      <c r="F81" s="1574"/>
      <c r="G81" s="1574"/>
      <c r="H81" s="1574"/>
      <c r="I81" s="1574"/>
      <c r="J81" s="1574"/>
      <c r="K81" s="1575"/>
      <c r="L81" s="1576"/>
      <c r="M81" s="1577"/>
      <c r="N81" s="1359"/>
      <c r="O81" s="1359"/>
      <c r="P81" s="1570"/>
      <c r="Q81" s="1292"/>
      <c r="R81" s="1187"/>
      <c r="S81" s="1187"/>
      <c r="T81" s="1187"/>
      <c r="U81" s="1187"/>
      <c r="V81" s="1187"/>
      <c r="W81" s="1187"/>
      <c r="X81" s="1187"/>
      <c r="Y81" s="1187"/>
      <c r="Z81" s="1187"/>
      <c r="AA81" s="1187"/>
      <c r="AB81" s="1187"/>
      <c r="AC81" s="1187"/>
    </row>
    <row r="82" spans="1:29" s="1073" customFormat="1" ht="15">
      <c r="A82" s="1327"/>
      <c r="B82" s="1322"/>
      <c r="C82" s="963"/>
      <c r="D82" s="964"/>
      <c r="E82" s="964"/>
      <c r="F82" s="964"/>
      <c r="G82" s="964"/>
      <c r="H82" s="964"/>
      <c r="I82" s="964"/>
      <c r="J82" s="964"/>
      <c r="K82" s="964"/>
      <c r="L82" s="964"/>
      <c r="M82" s="1367"/>
      <c r="N82" s="1368"/>
      <c r="O82" s="1368"/>
      <c r="P82" s="1571"/>
      <c r="Q82" s="1410"/>
      <c r="R82" s="1411"/>
      <c r="S82" s="1411"/>
      <c r="T82" s="1411"/>
      <c r="U82" s="1411"/>
      <c r="V82" s="1411"/>
      <c r="W82" s="1411"/>
      <c r="X82" s="1411"/>
      <c r="Y82" s="1411"/>
      <c r="Z82" s="1411"/>
      <c r="AA82" s="1411"/>
      <c r="AB82" s="1411"/>
      <c r="AC82" s="1411"/>
    </row>
    <row r="83" spans="1:29">
      <c r="A83" s="1350"/>
      <c r="B83" s="1320" t="s">
        <v>1373</v>
      </c>
      <c r="C83" s="1328"/>
      <c r="D83" s="1328"/>
      <c r="E83" s="1344"/>
      <c r="F83" s="1344"/>
      <c r="G83" s="1344"/>
      <c r="H83" s="1344"/>
      <c r="I83" s="1344"/>
      <c r="J83" s="1344"/>
      <c r="K83" s="1395"/>
      <c r="L83" s="1396"/>
      <c r="M83" s="1397"/>
      <c r="N83" s="1365"/>
      <c r="O83" s="1365"/>
      <c r="P83" s="1570"/>
      <c r="Q83" s="1292"/>
      <c r="R83" s="1187"/>
      <c r="S83" s="1187"/>
      <c r="T83" s="1187"/>
      <c r="U83" s="1187"/>
      <c r="V83" s="1187"/>
      <c r="W83" s="1187"/>
      <c r="X83" s="1187"/>
      <c r="Y83" s="1187"/>
      <c r="Z83" s="1187"/>
      <c r="AA83" s="1187"/>
      <c r="AB83" s="1187"/>
      <c r="AC83" s="1187"/>
    </row>
    <row r="84" spans="1:29" ht="15">
      <c r="A84" s="1318"/>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2">
        <f t="shared" si="18"/>
        <v>100</v>
      </c>
      <c r="N84" s="1368"/>
      <c r="O84" s="1368"/>
      <c r="P84" s="1570"/>
      <c r="Q84" s="1292"/>
      <c r="R84" s="1187"/>
      <c r="S84" s="1187"/>
      <c r="T84" s="1187"/>
      <c r="U84" s="1187"/>
      <c r="V84" s="1187"/>
      <c r="W84" s="1187"/>
      <c r="X84" s="1187"/>
      <c r="Y84" s="1187"/>
      <c r="Z84" s="1187"/>
      <c r="AA84" s="1187"/>
      <c r="AB84" s="1187"/>
      <c r="AC84" s="1187"/>
    </row>
    <row r="85" spans="1:29">
      <c r="A85" s="1350"/>
      <c r="B85" s="1320" t="s">
        <v>1599</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92"/>
      <c r="R85" s="1187"/>
      <c r="S85" s="1187"/>
      <c r="T85" s="1187"/>
      <c r="U85" s="1187"/>
      <c r="V85" s="1187"/>
      <c r="W85" s="1187"/>
      <c r="X85" s="1187"/>
      <c r="Y85" s="1187"/>
      <c r="Z85" s="1187"/>
      <c r="AA85" s="1187"/>
      <c r="AB85" s="1187"/>
      <c r="AC85" s="1187"/>
    </row>
    <row r="86" spans="1:29">
      <c r="A86" s="1350"/>
      <c r="B86" s="1324"/>
      <c r="C86" s="841">
        <v>0.5</v>
      </c>
      <c r="D86" s="841">
        <v>0.6</v>
      </c>
      <c r="E86" s="841">
        <v>0.7</v>
      </c>
      <c r="F86" s="841">
        <v>0.8</v>
      </c>
      <c r="G86" s="841">
        <v>0.9</v>
      </c>
      <c r="H86" s="841">
        <v>1.0001</v>
      </c>
      <c r="I86" s="1578"/>
      <c r="J86" s="1578"/>
      <c r="K86" s="1579"/>
      <c r="L86" s="1580"/>
      <c r="M86" s="1581"/>
      <c r="N86" s="1365"/>
      <c r="O86" s="1365"/>
      <c r="P86" s="1570"/>
      <c r="Q86" s="1292"/>
      <c r="R86" s="1187"/>
      <c r="S86" s="1187"/>
      <c r="T86" s="1187"/>
      <c r="U86" s="1187"/>
      <c r="V86" s="1187"/>
      <c r="W86" s="1187"/>
      <c r="X86" s="1187"/>
      <c r="Y86" s="1187"/>
      <c r="Z86" s="1187"/>
      <c r="AA86" s="1187"/>
      <c r="AB86" s="1187"/>
      <c r="AC86" s="1187"/>
    </row>
    <row r="87" spans="1:29" ht="15">
      <c r="A87" s="1318"/>
      <c r="B87" s="1322"/>
      <c r="C87" s="1340">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8"/>
      <c r="O87" s="1368"/>
      <c r="P87" s="1570"/>
      <c r="Q87" s="1292"/>
      <c r="R87" s="1187"/>
      <c r="S87" s="1187"/>
      <c r="T87" s="1187"/>
      <c r="U87" s="1187"/>
      <c r="V87" s="1187"/>
      <c r="W87" s="1187"/>
      <c r="X87" s="1187"/>
      <c r="Y87" s="1187"/>
      <c r="Z87" s="1187"/>
      <c r="AA87" s="1187"/>
      <c r="AB87" s="1187"/>
      <c r="AC87" s="1187"/>
    </row>
    <row r="88" spans="1:29">
      <c r="A88" s="1350"/>
      <c r="B88" s="1324" t="s">
        <v>1600</v>
      </c>
      <c r="C88" s="1260"/>
      <c r="D88" s="1260"/>
      <c r="E88" s="1260"/>
      <c r="F88" s="1260"/>
      <c r="G88" s="1260"/>
      <c r="H88" s="1260"/>
      <c r="I88" s="1260"/>
      <c r="J88" s="1260"/>
      <c r="K88" s="1362"/>
      <c r="L88" s="1363"/>
      <c r="M88" s="1364"/>
      <c r="N88" s="1365"/>
      <c r="O88" s="1365"/>
      <c r="P88" s="1570"/>
      <c r="Q88" s="1292"/>
      <c r="R88" s="1187"/>
      <c r="S88" s="1187"/>
      <c r="T88" s="1187"/>
      <c r="U88" s="1187"/>
      <c r="V88" s="1187"/>
      <c r="W88" s="1187"/>
      <c r="X88" s="1187"/>
      <c r="Y88" s="1187"/>
      <c r="Z88" s="1187"/>
      <c r="AA88" s="1187"/>
      <c r="AB88" s="1187"/>
      <c r="AC88" s="1187"/>
    </row>
    <row r="89" spans="1:29" ht="15">
      <c r="A89" s="1318"/>
      <c r="B89" s="1322"/>
      <c r="C89" s="1340">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8"/>
      <c r="O89" s="1368"/>
      <c r="P89" s="1570"/>
      <c r="Q89" s="1292"/>
      <c r="R89" s="1187"/>
      <c r="S89" s="1187"/>
      <c r="T89" s="1187"/>
      <c r="U89" s="1187"/>
      <c r="V89" s="1187"/>
      <c r="W89" s="1187"/>
      <c r="X89" s="1187"/>
      <c r="Y89" s="1187"/>
      <c r="Z89" s="1187"/>
      <c r="AA89" s="1187"/>
      <c r="AB89" s="1187"/>
      <c r="AC89" s="1187"/>
    </row>
    <row r="90" spans="1:29" s="1073" customFormat="1">
      <c r="A90" s="1347"/>
      <c r="B90" s="1320" t="s">
        <v>1601</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3" customFormat="1">
      <c r="A91" s="1347"/>
      <c r="B91" s="1324"/>
      <c r="C91" s="959"/>
      <c r="D91" s="959"/>
      <c r="E91" s="959"/>
      <c r="F91" s="959"/>
      <c r="G91" s="959"/>
      <c r="H91" s="959"/>
      <c r="I91" s="959"/>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963"/>
      <c r="D92" s="964"/>
      <c r="E92" s="964"/>
      <c r="F92" s="964"/>
      <c r="G92" s="964"/>
      <c r="H92" s="964"/>
      <c r="I92" s="964"/>
      <c r="J92" s="964"/>
      <c r="K92" s="964"/>
      <c r="L92" s="964"/>
      <c r="M92" s="1367"/>
      <c r="N92" s="1378"/>
      <c r="O92" s="1378"/>
      <c r="P92" s="1571"/>
      <c r="Q92" s="1410"/>
      <c r="R92" s="1411"/>
      <c r="S92" s="1411"/>
      <c r="T92" s="1411"/>
      <c r="U92" s="1411"/>
      <c r="V92" s="1411"/>
      <c r="W92" s="1411"/>
      <c r="X92" s="1411"/>
      <c r="Y92" s="1411"/>
      <c r="Z92" s="1411"/>
      <c r="AA92" s="1411"/>
      <c r="AB92" s="1411"/>
      <c r="AC92" s="1411"/>
    </row>
    <row r="93" spans="1:29">
      <c r="A93" s="1350"/>
      <c r="B93" s="1320" t="s">
        <v>1602</v>
      </c>
      <c r="C93" s="1328"/>
      <c r="D93" s="1328"/>
      <c r="E93" s="1344"/>
      <c r="F93" s="1344"/>
      <c r="G93" s="1344"/>
      <c r="H93" s="1344"/>
      <c r="I93" s="1344"/>
      <c r="J93" s="1344"/>
      <c r="K93" s="1395"/>
      <c r="L93" s="1396"/>
      <c r="M93" s="1397"/>
      <c r="N93" s="1365"/>
      <c r="O93" s="1365"/>
      <c r="P93" s="1570"/>
      <c r="Q93" s="1292"/>
      <c r="R93" s="1187"/>
      <c r="S93" s="1187"/>
      <c r="T93" s="1187"/>
      <c r="U93" s="1187"/>
      <c r="V93" s="1187"/>
      <c r="W93" s="1187"/>
      <c r="X93" s="1187"/>
      <c r="Y93" s="1187"/>
      <c r="Z93" s="1187"/>
      <c r="AA93" s="1187"/>
      <c r="AB93" s="1187"/>
      <c r="AC93" s="1187"/>
    </row>
    <row r="94" spans="1:29" ht="15">
      <c r="A94" s="1318"/>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2">
        <f t="shared" si="22"/>
        <v>100</v>
      </c>
      <c r="N94" s="1368"/>
      <c r="O94" s="1368"/>
      <c r="P94" s="1570"/>
      <c r="Q94" s="1292"/>
      <c r="R94" s="1187"/>
      <c r="S94" s="1187"/>
      <c r="T94" s="1187"/>
      <c r="U94" s="1187"/>
      <c r="V94" s="1187"/>
      <c r="W94" s="1187"/>
      <c r="X94" s="1187"/>
      <c r="Y94" s="1187"/>
      <c r="Z94" s="1187"/>
      <c r="AA94" s="1187"/>
      <c r="AB94" s="1187"/>
      <c r="AC94" s="1187"/>
    </row>
    <row r="95" spans="1:29">
      <c r="A95" s="1350"/>
      <c r="B95" s="1320" t="s">
        <v>1603</v>
      </c>
      <c r="C95" s="1260"/>
      <c r="D95" s="1260"/>
      <c r="E95" s="1260"/>
      <c r="F95" s="1260"/>
      <c r="G95" s="1260"/>
      <c r="H95" s="1260"/>
      <c r="I95" s="1260"/>
      <c r="J95" s="1260"/>
      <c r="K95" s="1362"/>
      <c r="L95" s="1363"/>
      <c r="M95" s="1364"/>
      <c r="N95" s="1365"/>
      <c r="O95" s="1365"/>
      <c r="P95" s="1570"/>
      <c r="Q95" s="1292"/>
      <c r="R95" s="1187"/>
      <c r="S95" s="1187"/>
      <c r="T95" s="1187"/>
      <c r="U95" s="1187"/>
      <c r="V95" s="1187"/>
      <c r="W95" s="1187"/>
      <c r="X95" s="1187"/>
      <c r="Y95" s="1187"/>
      <c r="Z95" s="1187"/>
      <c r="AA95" s="1187"/>
      <c r="AB95" s="1187"/>
      <c r="AC95" s="1187"/>
    </row>
    <row r="96" spans="1:29" ht="15">
      <c r="A96" s="1318"/>
      <c r="B96" s="1322"/>
      <c r="C96" s="1323">
        <v>100</v>
      </c>
      <c r="D96" s="1323">
        <f>C96-$K33</f>
        <v>100</v>
      </c>
      <c r="E96" s="1323">
        <f>D96-$K33</f>
        <v>100</v>
      </c>
      <c r="F96" s="1323">
        <f>E96-$K33</f>
        <v>100</v>
      </c>
      <c r="G96" s="1323">
        <f>F96-$K33</f>
        <v>100</v>
      </c>
      <c r="H96" s="1323"/>
      <c r="I96" s="1323"/>
      <c r="J96" s="1323"/>
      <c r="K96" s="1323"/>
      <c r="L96" s="1323"/>
      <c r="M96" s="1372"/>
      <c r="N96" s="1368"/>
      <c r="O96" s="1368"/>
      <c r="P96" s="1570"/>
      <c r="Q96" s="1292"/>
      <c r="R96" s="1187"/>
      <c r="S96" s="1187"/>
      <c r="T96" s="1187"/>
      <c r="U96" s="1187"/>
      <c r="V96" s="1187"/>
      <c r="W96" s="1187"/>
      <c r="X96" s="1187"/>
      <c r="Y96" s="1187"/>
      <c r="Z96" s="1187"/>
      <c r="AA96" s="1187"/>
      <c r="AB96" s="1187"/>
      <c r="AC96" s="1187"/>
    </row>
    <row r="97" spans="1:29">
      <c r="A97" s="1350"/>
      <c r="B97" s="1514">
        <f>B34</f>
        <v>111</v>
      </c>
      <c r="C97" s="1118"/>
      <c r="D97" s="1118"/>
      <c r="E97" s="1118"/>
      <c r="F97" s="1118"/>
      <c r="G97" s="1328"/>
      <c r="H97" s="1329"/>
      <c r="I97" s="1329"/>
      <c r="J97" s="1329"/>
      <c r="K97" s="1329"/>
      <c r="L97" s="1376"/>
      <c r="M97" s="1377"/>
      <c r="N97" s="1368"/>
      <c r="O97" s="1368"/>
      <c r="P97" s="1582"/>
      <c r="Q97" s="1525"/>
      <c r="R97" s="1187"/>
      <c r="S97" s="1187"/>
      <c r="T97" s="1187"/>
      <c r="U97" s="1187"/>
      <c r="V97" s="1187"/>
      <c r="W97" s="1187"/>
      <c r="X97" s="1187"/>
      <c r="Y97" s="1187"/>
      <c r="Z97" s="1187"/>
      <c r="AA97" s="1187"/>
      <c r="AB97" s="1187"/>
      <c r="AC97" s="1187"/>
    </row>
    <row r="98" spans="1:29" ht="15">
      <c r="A98" s="1318"/>
      <c r="B98" s="1322"/>
      <c r="C98" s="963"/>
      <c r="D98" s="964"/>
      <c r="E98" s="964"/>
      <c r="F98" s="964"/>
      <c r="G98" s="963"/>
      <c r="H98" s="1330"/>
      <c r="I98" s="1330"/>
      <c r="J98" s="1330"/>
      <c r="K98" s="1330"/>
      <c r="L98" s="1330"/>
      <c r="M98" s="1380"/>
      <c r="N98" s="1368"/>
      <c r="O98" s="1368"/>
      <c r="P98" s="1570"/>
      <c r="Q98" s="1292"/>
      <c r="R98" s="1187"/>
      <c r="S98" s="1187"/>
      <c r="T98" s="1187"/>
      <c r="U98" s="1187"/>
      <c r="V98" s="1187"/>
      <c r="W98" s="1187"/>
      <c r="X98" s="1187"/>
      <c r="Y98" s="1187"/>
      <c r="Z98" s="1187"/>
      <c r="AA98" s="1187"/>
      <c r="AB98" s="1187"/>
      <c r="AC98" s="1187"/>
    </row>
    <row r="99" spans="1:29" s="1073" customFormat="1">
      <c r="A99" s="1347"/>
      <c r="B99" s="1320">
        <f>B35</f>
        <v>111</v>
      </c>
      <c r="C99" s="1118"/>
      <c r="D99" s="1118"/>
      <c r="E99" s="1118"/>
      <c r="F99" s="1118"/>
      <c r="G99" s="1328"/>
      <c r="H99" s="1329"/>
      <c r="I99" s="1329"/>
      <c r="J99" s="1329"/>
      <c r="K99" s="1329"/>
      <c r="L99" s="1376"/>
      <c r="M99" s="1377"/>
      <c r="N99" s="1378"/>
      <c r="O99" s="1378"/>
      <c r="P99" s="1571"/>
      <c r="Q99" s="1410"/>
      <c r="R99" s="1411"/>
      <c r="S99" s="1411"/>
      <c r="T99" s="1411"/>
      <c r="U99" s="1411"/>
      <c r="V99" s="1411"/>
      <c r="W99" s="1411"/>
      <c r="X99" s="1411"/>
      <c r="Y99" s="1411"/>
      <c r="Z99" s="1411"/>
      <c r="AA99" s="1411"/>
      <c r="AB99" s="1411"/>
      <c r="AC99" s="1411"/>
    </row>
    <row r="100" spans="1:29" s="1073" customFormat="1" ht="15">
      <c r="A100" s="1327"/>
      <c r="B100" s="1319"/>
      <c r="C100" s="963"/>
      <c r="D100" s="964"/>
      <c r="E100" s="964"/>
      <c r="F100" s="964"/>
      <c r="G100" s="963"/>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20">
        <f>B36</f>
        <v>111</v>
      </c>
      <c r="C101" s="1328"/>
      <c r="D101" s="1328"/>
      <c r="E101" s="1328"/>
      <c r="F101" s="1328"/>
      <c r="G101" s="1328"/>
      <c r="H101" s="1329"/>
      <c r="I101" s="1329"/>
      <c r="J101" s="1329"/>
      <c r="K101" s="1329"/>
      <c r="L101" s="1376"/>
      <c r="M101" s="1377"/>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963"/>
      <c r="D102" s="963"/>
      <c r="E102" s="963"/>
      <c r="F102" s="963"/>
      <c r="G102" s="963"/>
      <c r="H102" s="1330"/>
      <c r="I102" s="1330"/>
      <c r="J102" s="1330"/>
      <c r="K102" s="1330"/>
      <c r="L102" s="1330"/>
      <c r="M102" s="1380"/>
      <c r="N102" s="1368"/>
      <c r="O102" s="1368"/>
      <c r="P102" s="1570"/>
      <c r="Q102" s="1292"/>
      <c r="R102" s="1187"/>
      <c r="S102" s="1187"/>
      <c r="T102" s="1187"/>
      <c r="U102" s="1187"/>
      <c r="V102" s="1187"/>
      <c r="W102" s="1187"/>
      <c r="X102" s="1187"/>
      <c r="Y102" s="1187"/>
      <c r="Z102" s="1187"/>
      <c r="AA102" s="1187"/>
      <c r="AB102" s="1187"/>
      <c r="AC102" s="1187"/>
    </row>
    <row r="103" spans="1:29">
      <c r="N103" s="1187"/>
      <c r="O103" s="1187"/>
      <c r="P103" s="1564"/>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1594</v>
      </c>
      <c r="B1" s="1448" t="s">
        <v>1608</v>
      </c>
      <c r="C1" s="1449" t="s">
        <v>1326</v>
      </c>
      <c r="D1" s="1450"/>
      <c r="E1" s="1451"/>
      <c r="F1" s="1452"/>
      <c r="G1" s="1453" t="s">
        <v>1329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982</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983</v>
      </c>
      <c r="F2" s="1459"/>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984</v>
      </c>
      <c r="B3" s="1088" t="e">
        <f>IF(C2="——",C37,ROUND(B2*10000/D3,0))</f>
        <v>#DIV/0!</v>
      </c>
      <c r="C3" s="1460" t="s">
        <v>1330</v>
      </c>
      <c r="D3" s="1461">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1331</v>
      </c>
      <c r="B4" s="1091"/>
      <c r="C4" s="3626" t="s">
        <v>1332</v>
      </c>
      <c r="D4" s="3627"/>
      <c r="E4" s="3628" t="s">
        <v>1333</v>
      </c>
      <c r="F4" s="3629"/>
      <c r="G4" s="3626" t="s">
        <v>1334</v>
      </c>
      <c r="H4" s="3627"/>
      <c r="I4" s="3626" t="s">
        <v>1335</v>
      </c>
      <c r="J4" s="3627"/>
      <c r="K4" s="1237" t="s">
        <v>1336</v>
      </c>
      <c r="L4" s="1238"/>
      <c r="M4" s="1239"/>
      <c r="N4" s="1239"/>
      <c r="O4" s="1239"/>
      <c r="P4" s="3704" t="s">
        <v>1337</v>
      </c>
      <c r="Q4" s="3705"/>
      <c r="R4" s="3708" t="s">
        <v>1333</v>
      </c>
      <c r="S4" s="3709"/>
      <c r="T4" s="3708" t="s">
        <v>1334</v>
      </c>
      <c r="U4" s="3709"/>
      <c r="V4" s="3676" t="s">
        <v>1335</v>
      </c>
      <c r="W4" s="3676"/>
      <c r="X4" s="1281"/>
      <c r="Y4" s="3708" t="s">
        <v>1337</v>
      </c>
      <c r="Z4" s="3709"/>
      <c r="AA4" s="3703" t="s">
        <v>1333</v>
      </c>
      <c r="AB4" s="3658" t="s">
        <v>1334</v>
      </c>
      <c r="AC4" s="3703" t="s">
        <v>1335</v>
      </c>
    </row>
    <row r="5" spans="1:29" ht="15">
      <c r="A5" s="1092"/>
      <c r="B5" s="1093"/>
      <c r="C5" s="3630" t="s">
        <v>1338</v>
      </c>
      <c r="D5" s="3631"/>
      <c r="E5" s="3698" t="s">
        <v>1552</v>
      </c>
      <c r="F5" s="3633"/>
      <c r="G5" s="3630" t="s">
        <v>1553</v>
      </c>
      <c r="H5" s="3631"/>
      <c r="I5" s="3630" t="s">
        <v>1554</v>
      </c>
      <c r="J5" s="3631"/>
      <c r="K5" s="1237"/>
      <c r="L5" s="1238"/>
      <c r="M5" s="1239"/>
      <c r="N5" s="1239"/>
      <c r="O5" s="1239"/>
      <c r="P5" s="3706"/>
      <c r="Q5" s="3666"/>
      <c r="R5" s="3671"/>
      <c r="S5" s="3672"/>
      <c r="T5" s="3671"/>
      <c r="U5" s="3672"/>
      <c r="V5" s="3676"/>
      <c r="W5" s="3676"/>
      <c r="X5" s="1281"/>
      <c r="Y5" s="3671"/>
      <c r="Z5" s="3672"/>
      <c r="AA5" s="3658"/>
      <c r="AB5" s="3658"/>
      <c r="AC5" s="3658"/>
    </row>
    <row r="6" spans="1:29" ht="15">
      <c r="A6" s="1094"/>
      <c r="B6" s="1095"/>
      <c r="C6" s="3634" t="s">
        <v>1339</v>
      </c>
      <c r="D6" s="3635"/>
      <c r="E6" s="3699" t="s">
        <v>1339</v>
      </c>
      <c r="F6" s="3637"/>
      <c r="G6" s="3634" t="s">
        <v>1339</v>
      </c>
      <c r="H6" s="3635"/>
      <c r="I6" s="3634" t="s">
        <v>1339</v>
      </c>
      <c r="J6" s="3635"/>
      <c r="K6" s="1237" t="s">
        <v>1340</v>
      </c>
      <c r="L6" s="1238"/>
      <c r="M6" s="1239"/>
      <c r="N6" s="1239"/>
      <c r="O6" s="1239"/>
      <c r="P6" s="3707"/>
      <c r="Q6" s="3668"/>
      <c r="R6" s="3671"/>
      <c r="S6" s="3672"/>
      <c r="T6" s="3673"/>
      <c r="U6" s="3674"/>
      <c r="V6" s="3676"/>
      <c r="W6" s="3676"/>
      <c r="X6" s="1281"/>
      <c r="Y6" s="3673"/>
      <c r="Z6" s="3674"/>
      <c r="AA6" s="3659"/>
      <c r="AB6" s="3659"/>
      <c r="AC6" s="3659"/>
    </row>
    <row r="7" spans="1:29" s="1071" customFormat="1" ht="15">
      <c r="A7" s="1096" t="s">
        <v>1341</v>
      </c>
      <c r="B7" s="1097"/>
      <c r="C7" s="1098">
        <f>'数据-取费表'!B2</f>
        <v>45218</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40" t="s">
        <v>1342</v>
      </c>
      <c r="Q7" s="3639"/>
      <c r="R7" s="1282" t="s">
        <v>1343</v>
      </c>
      <c r="S7" s="1283">
        <f t="shared" ref="S7:S14" si="0">F7</f>
        <v>0</v>
      </c>
      <c r="T7" s="1282" t="s">
        <v>1343</v>
      </c>
      <c r="U7" s="1283">
        <f t="shared" ref="U7:U14" si="1">H7</f>
        <v>0</v>
      </c>
      <c r="V7" s="1282" t="s">
        <v>1343</v>
      </c>
      <c r="W7" s="1283">
        <f t="shared" ref="W7:W14" si="2">J7</f>
        <v>0</v>
      </c>
      <c r="X7" s="1284"/>
      <c r="Y7" s="3640" t="s">
        <v>1342</v>
      </c>
      <c r="Z7" s="3641"/>
      <c r="AA7" s="1296" t="e">
        <f>D7/F7</f>
        <v>#DIV/0!</v>
      </c>
      <c r="AB7" s="1296" t="e">
        <f>D7/H7</f>
        <v>#DIV/0!</v>
      </c>
      <c r="AC7" s="1296" t="e">
        <f>D7/J7</f>
        <v>#DIV/0!</v>
      </c>
    </row>
    <row r="8" spans="1:29" s="1071" customFormat="1" ht="15">
      <c r="A8" s="1096" t="s">
        <v>1344</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40" t="s">
        <v>1347</v>
      </c>
      <c r="Q8" s="3641"/>
      <c r="R8" s="1282" t="s">
        <v>1343</v>
      </c>
      <c r="S8" s="1283">
        <f t="shared" si="0"/>
        <v>100</v>
      </c>
      <c r="T8" s="1282" t="s">
        <v>1343</v>
      </c>
      <c r="U8" s="1283">
        <f t="shared" si="1"/>
        <v>100</v>
      </c>
      <c r="V8" s="1282" t="s">
        <v>1343</v>
      </c>
      <c r="W8" s="1283">
        <f t="shared" si="2"/>
        <v>100</v>
      </c>
      <c r="X8" s="1284"/>
      <c r="Y8" s="3640" t="s">
        <v>1347</v>
      </c>
      <c r="Z8" s="3641"/>
      <c r="AA8" s="1296">
        <f t="shared" ref="AA8:AA34" si="3">D8/F8</f>
        <v>1</v>
      </c>
      <c r="AB8" s="1296">
        <f t="shared" ref="AB8:AB34" si="4">D8/H8</f>
        <v>1</v>
      </c>
      <c r="AC8" s="1296">
        <f t="shared" ref="AC8:AC34" si="5">D8/J8</f>
        <v>1</v>
      </c>
    </row>
    <row r="9" spans="1:29" s="1071" customFormat="1">
      <c r="A9" s="1104" t="s">
        <v>1348</v>
      </c>
      <c r="B9" s="1105" t="s">
        <v>1349</v>
      </c>
      <c r="C9" s="1462"/>
      <c r="D9" s="1107">
        <v>100</v>
      </c>
      <c r="E9" s="1463"/>
      <c r="F9" s="1464">
        <f>SUMIF(51:51,E9,52:52)-SUMIF(51:51,C9,52:52)+100</f>
        <v>100</v>
      </c>
      <c r="G9" s="1463"/>
      <c r="H9" s="1107">
        <f>SUMIF(51:51,G9,52:52)-SUMIF(51:51,C9,52:52)+100</f>
        <v>100</v>
      </c>
      <c r="I9" s="1463"/>
      <c r="J9" s="1107">
        <f>SUMIF(51:51,I9,52:52)-SUMIF(51:51,C9,52:52)+100</f>
        <v>100</v>
      </c>
      <c r="K9" s="1240"/>
      <c r="L9" s="1241"/>
      <c r="M9" s="1242"/>
      <c r="N9" s="1242"/>
      <c r="O9" s="1243"/>
      <c r="P9" s="3643" t="s">
        <v>1350</v>
      </c>
      <c r="Q9" s="1286" t="str">
        <f t="shared" ref="Q9:Q14" si="6">B9</f>
        <v>用途</v>
      </c>
      <c r="R9" s="1282" t="s">
        <v>1343</v>
      </c>
      <c r="S9" s="1283">
        <f t="shared" si="0"/>
        <v>100</v>
      </c>
      <c r="T9" s="1282" t="s">
        <v>1343</v>
      </c>
      <c r="U9" s="1283">
        <f t="shared" si="1"/>
        <v>100</v>
      </c>
      <c r="V9" s="1282" t="s">
        <v>1343</v>
      </c>
      <c r="W9" s="1283">
        <f t="shared" si="2"/>
        <v>100</v>
      </c>
      <c r="X9" s="1284"/>
      <c r="Y9" s="3612" t="s">
        <v>1351</v>
      </c>
      <c r="Z9" s="1297" t="str">
        <f t="shared" ref="Z9:Z14" si="7">Q9</f>
        <v>用途</v>
      </c>
      <c r="AA9" s="1296">
        <f t="shared" si="3"/>
        <v>1</v>
      </c>
      <c r="AB9" s="1296">
        <f t="shared" si="4"/>
        <v>1</v>
      </c>
      <c r="AC9" s="1296">
        <f t="shared" si="5"/>
        <v>1</v>
      </c>
    </row>
    <row r="10" spans="1:29" s="1072" customFormat="1" ht="27">
      <c r="A10" s="1108"/>
      <c r="B10" s="1109" t="s">
        <v>1352</v>
      </c>
      <c r="C10" s="1465"/>
      <c r="D10" s="1111">
        <v>100</v>
      </c>
      <c r="E10" s="1465"/>
      <c r="F10" s="1466">
        <f>SUMIF(53:53,E10,54:54)-SUMIF(53:53,C10,54:54)+100</f>
        <v>100</v>
      </c>
      <c r="G10" s="1465"/>
      <c r="H10" s="1111">
        <f>SUMIF(53:53,G10,54:54)-SUMIF(53:53,C10,54:54)+100</f>
        <v>100</v>
      </c>
      <c r="I10" s="1465"/>
      <c r="J10" s="1111">
        <f>SUMIF(53:53,I10,54:54)-SUMIF(53:53,C10,54:54)+100</f>
        <v>100</v>
      </c>
      <c r="K10" s="1240"/>
      <c r="L10" s="1245"/>
      <c r="M10" s="1246"/>
      <c r="N10" s="1246"/>
      <c r="O10" s="1247"/>
      <c r="P10" s="3643"/>
      <c r="Q10" s="1286" t="str">
        <f t="shared" si="6"/>
        <v>土地使用年限（年）</v>
      </c>
      <c r="R10" s="1282" t="s">
        <v>1343</v>
      </c>
      <c r="S10" s="1283">
        <f t="shared" si="0"/>
        <v>100</v>
      </c>
      <c r="T10" s="1282" t="s">
        <v>1343</v>
      </c>
      <c r="U10" s="1283">
        <f t="shared" si="1"/>
        <v>100</v>
      </c>
      <c r="V10" s="1282" t="s">
        <v>1343</v>
      </c>
      <c r="W10" s="1283">
        <f t="shared" si="2"/>
        <v>100</v>
      </c>
      <c r="X10" s="1284"/>
      <c r="Y10" s="3612"/>
      <c r="Z10" s="1297" t="str">
        <f t="shared" si="7"/>
        <v>土地使用年限（年）</v>
      </c>
      <c r="AA10" s="1296">
        <f t="shared" si="3"/>
        <v>1</v>
      </c>
      <c r="AB10" s="1296">
        <f t="shared" si="4"/>
        <v>1</v>
      </c>
      <c r="AC10" s="1296">
        <f t="shared" si="5"/>
        <v>1</v>
      </c>
    </row>
    <row r="11" spans="1:29" ht="15">
      <c r="A11" s="1112"/>
      <c r="B11" s="1116">
        <v>111</v>
      </c>
      <c r="C11" s="1110"/>
      <c r="D11" s="1111">
        <v>100</v>
      </c>
      <c r="E11" s="1467"/>
      <c r="F11" s="1466">
        <f>SUMIF(55:55,E11,56:56)-SUMIF(55:55,C11,56:56)+100</f>
        <v>100</v>
      </c>
      <c r="G11" s="1467"/>
      <c r="H11" s="1111">
        <f>SUMIF(55:55,G11,56:56)-SUMIF(55:55,C11,56:56)+100</f>
        <v>100</v>
      </c>
      <c r="I11" s="1467"/>
      <c r="J11" s="1111">
        <f>SUMIF(55:55,I11,56:56)-SUMIF(55:55,C11,56:56)+100</f>
        <v>100</v>
      </c>
      <c r="K11" s="1256"/>
      <c r="L11" s="1249"/>
      <c r="M11" s="1239"/>
      <c r="N11" s="1239"/>
      <c r="O11" s="1250"/>
      <c r="P11" s="3643"/>
      <c r="Q11" s="1286">
        <f t="shared" si="6"/>
        <v>111</v>
      </c>
      <c r="R11" s="1282" t="s">
        <v>1343</v>
      </c>
      <c r="S11" s="1283">
        <f t="shared" si="0"/>
        <v>100</v>
      </c>
      <c r="T11" s="1282" t="s">
        <v>1343</v>
      </c>
      <c r="U11" s="1283">
        <f t="shared" si="1"/>
        <v>100</v>
      </c>
      <c r="V11" s="1282" t="s">
        <v>1343</v>
      </c>
      <c r="W11" s="1283">
        <f t="shared" si="2"/>
        <v>100</v>
      </c>
      <c r="X11" s="1284"/>
      <c r="Y11" s="3612"/>
      <c r="Z11" s="1297">
        <f t="shared" si="7"/>
        <v>111</v>
      </c>
      <c r="AA11" s="1296">
        <f t="shared" si="3"/>
        <v>1</v>
      </c>
      <c r="AB11" s="1296">
        <f t="shared" si="4"/>
        <v>1</v>
      </c>
      <c r="AC11" s="1296">
        <f t="shared" si="5"/>
        <v>1</v>
      </c>
    </row>
    <row r="12" spans="1:29" s="1071" customFormat="1" ht="15">
      <c r="A12" s="1115"/>
      <c r="B12" s="1116">
        <v>111</v>
      </c>
      <c r="C12" s="1110"/>
      <c r="D12" s="1117">
        <v>100</v>
      </c>
      <c r="E12" s="1467"/>
      <c r="F12" s="1466">
        <f>SUMIF(57:57,E12,58:58)-SUMIF(57:57,C12,58:58)+100</f>
        <v>100</v>
      </c>
      <c r="G12" s="1467"/>
      <c r="H12" s="1111">
        <f>SUMIF(57:57,G12,58:58)-SUMIF(57:57,C12,58:58)+100</f>
        <v>100</v>
      </c>
      <c r="I12" s="1467"/>
      <c r="J12" s="1111">
        <f>SUMIF(57:57,I12,58:58)-SUMIF(57:57,C12,58:58)+100</f>
        <v>100</v>
      </c>
      <c r="K12" s="1256"/>
      <c r="L12" s="1241"/>
      <c r="M12" s="1242"/>
      <c r="N12" s="1242"/>
      <c r="O12" s="1243"/>
      <c r="P12" s="3643"/>
      <c r="Q12" s="1286">
        <f t="shared" si="6"/>
        <v>111</v>
      </c>
      <c r="R12" s="1282" t="s">
        <v>1343</v>
      </c>
      <c r="S12" s="1283">
        <f t="shared" si="0"/>
        <v>100</v>
      </c>
      <c r="T12" s="1282" t="s">
        <v>1343</v>
      </c>
      <c r="U12" s="1283">
        <f t="shared" si="1"/>
        <v>100</v>
      </c>
      <c r="V12" s="1282" t="s">
        <v>1343</v>
      </c>
      <c r="W12" s="1283">
        <f t="shared" si="2"/>
        <v>100</v>
      </c>
      <c r="X12" s="1284"/>
      <c r="Y12" s="3612"/>
      <c r="Z12" s="1297">
        <f t="shared" si="7"/>
        <v>111</v>
      </c>
      <c r="AA12" s="1296">
        <f t="shared" si="3"/>
        <v>1</v>
      </c>
      <c r="AB12" s="1296">
        <f t="shared" si="4"/>
        <v>1</v>
      </c>
      <c r="AC12" s="1296">
        <f t="shared" si="5"/>
        <v>1</v>
      </c>
    </row>
    <row r="13" spans="1:29" ht="15">
      <c r="A13" s="1112"/>
      <c r="B13" s="1116">
        <v>111</v>
      </c>
      <c r="C13" s="1120"/>
      <c r="D13" s="1121">
        <v>100</v>
      </c>
      <c r="E13" s="1467"/>
      <c r="F13" s="1466">
        <f>SUMIF(59:59,E13,60:60)-SUMIF(59:59,C13,60:60)+100</f>
        <v>100</v>
      </c>
      <c r="G13" s="1468"/>
      <c r="H13" s="1125">
        <f>SUMIF(59:59,G13,60:60)-SUMIF(59:59,C13,60:60)+100</f>
        <v>100</v>
      </c>
      <c r="I13" s="1467"/>
      <c r="J13" s="1121">
        <f>SUMIF(59:59,I13,60:60)-SUMIF(59:59,C13,60:60)+100</f>
        <v>100</v>
      </c>
      <c r="K13" s="1256"/>
      <c r="L13" s="1251"/>
      <c r="M13" s="1239"/>
      <c r="N13" s="1239"/>
      <c r="O13" s="1250"/>
      <c r="P13" s="3643"/>
      <c r="Q13" s="1286">
        <f t="shared" si="6"/>
        <v>111</v>
      </c>
      <c r="R13" s="1282" t="s">
        <v>1343</v>
      </c>
      <c r="S13" s="1283">
        <f t="shared" si="0"/>
        <v>100</v>
      </c>
      <c r="T13" s="1282" t="s">
        <v>1343</v>
      </c>
      <c r="U13" s="1283">
        <f t="shared" si="1"/>
        <v>100</v>
      </c>
      <c r="V13" s="1282" t="s">
        <v>1343</v>
      </c>
      <c r="W13" s="1283">
        <f t="shared" si="2"/>
        <v>100</v>
      </c>
      <c r="X13" s="1284"/>
      <c r="Y13" s="3612"/>
      <c r="Z13" s="1297">
        <f t="shared" si="7"/>
        <v>111</v>
      </c>
      <c r="AA13" s="1296">
        <f t="shared" si="3"/>
        <v>1</v>
      </c>
      <c r="AB13" s="1296">
        <f t="shared" si="4"/>
        <v>1</v>
      </c>
      <c r="AC13" s="1296">
        <f t="shared" si="5"/>
        <v>1</v>
      </c>
    </row>
    <row r="14" spans="1:29" ht="15">
      <c r="A14" s="1126" t="s">
        <v>1354</v>
      </c>
      <c r="B14" s="1416" t="s">
        <v>1358</v>
      </c>
      <c r="C14" s="1128">
        <f>IF(B1="工业",估价对象房地状况!G4,估价对象房地状况!C6)</f>
        <v>0</v>
      </c>
      <c r="D14" s="1129">
        <v>100</v>
      </c>
      <c r="E14" s="1130"/>
      <c r="F14" s="1469">
        <f>SUMIF(61:61,E15,62:62)-SUMIF(61:61,C15,62:62)+100</f>
        <v>100</v>
      </c>
      <c r="G14" s="1252"/>
      <c r="H14" s="1129">
        <f>SUMIF(61:61,G15,62:62)-SUMIF(61:61,C15,62:62)+100</f>
        <v>100</v>
      </c>
      <c r="I14" s="1130"/>
      <c r="J14" s="1129">
        <f>SUMIF(61:61,I15,62:62)-SUMIF(61:61,C15,62:62)+100</f>
        <v>100</v>
      </c>
      <c r="K14" s="1508"/>
      <c r="L14" s="1251"/>
      <c r="M14" s="1239"/>
      <c r="N14" s="1239"/>
      <c r="O14" s="1250"/>
      <c r="P14" s="3650" t="s">
        <v>1356</v>
      </c>
      <c r="Q14" s="664" t="str">
        <f t="shared" si="6"/>
        <v>交通便捷度</v>
      </c>
      <c r="R14" s="1287" t="s">
        <v>1343</v>
      </c>
      <c r="S14" s="1288">
        <f t="shared" si="0"/>
        <v>100</v>
      </c>
      <c r="T14" s="1287" t="s">
        <v>1343</v>
      </c>
      <c r="U14" s="1288">
        <f t="shared" si="1"/>
        <v>100</v>
      </c>
      <c r="V14" s="1287" t="s">
        <v>1343</v>
      </c>
      <c r="W14" s="1288">
        <f t="shared" si="2"/>
        <v>100</v>
      </c>
      <c r="X14" s="1281"/>
      <c r="Y14" s="3650" t="s">
        <v>1356</v>
      </c>
      <c r="Z14" s="1271" t="str">
        <f t="shared" si="7"/>
        <v>交通便捷度</v>
      </c>
      <c r="AA14" s="1298">
        <f t="shared" si="3"/>
        <v>1</v>
      </c>
      <c r="AB14" s="1298">
        <f t="shared" si="4"/>
        <v>1</v>
      </c>
      <c r="AC14" s="1298">
        <f t="shared" si="5"/>
        <v>1</v>
      </c>
    </row>
    <row r="15" spans="1:29" ht="15">
      <c r="A15" s="1112"/>
      <c r="B15" s="1418"/>
      <c r="C15" s="1132"/>
      <c r="D15" s="1133"/>
      <c r="E15" s="1132"/>
      <c r="F15" s="1470"/>
      <c r="G15" s="1132"/>
      <c r="H15" s="1135"/>
      <c r="I15" s="1132"/>
      <c r="J15" s="1133"/>
      <c r="K15" s="1509"/>
      <c r="L15" s="1251"/>
      <c r="M15" s="1239"/>
      <c r="N15" s="1239"/>
      <c r="O15" s="1250"/>
      <c r="P15" s="3651"/>
      <c r="Q15" s="664"/>
      <c r="R15" s="1287"/>
      <c r="S15" s="1288"/>
      <c r="T15" s="1287"/>
      <c r="U15" s="1288"/>
      <c r="V15" s="1287"/>
      <c r="W15" s="1288"/>
      <c r="X15" s="1281"/>
      <c r="Y15" s="3651"/>
      <c r="Z15" s="1271"/>
      <c r="AA15" s="1298">
        <v>1</v>
      </c>
      <c r="AB15" s="1298">
        <v>1</v>
      </c>
      <c r="AC15" s="1298">
        <v>1</v>
      </c>
    </row>
    <row r="16" spans="1:29" ht="15">
      <c r="A16" s="1112"/>
      <c r="B16" s="1419" t="s">
        <v>1359</v>
      </c>
      <c r="C16" s="1137">
        <f>IF(B1="工业",估价对象房地状况!G5,估价对象房地状况!C7)</f>
        <v>0</v>
      </c>
      <c r="D16" s="1139">
        <v>100</v>
      </c>
      <c r="E16" s="1422"/>
      <c r="F16" s="1471">
        <f>SUMIF(63:63,E17,64:64)-SUMIF(63:63,C17,64:64)+100</f>
        <v>100</v>
      </c>
      <c r="G16" s="1430"/>
      <c r="H16" s="1139">
        <f>SUMIF(63:63,G17,64:64)-SUMIF(63:63,C17,64:64)+100</f>
        <v>100</v>
      </c>
      <c r="I16" s="1422"/>
      <c r="J16" s="1139">
        <f>SUMIF(63:63,I17,64:64)-SUMIF(63:63,C17,64:64)+100</f>
        <v>100</v>
      </c>
      <c r="K16" s="1508"/>
      <c r="L16" s="1251"/>
      <c r="M16" s="1239"/>
      <c r="N16" s="1239"/>
      <c r="O16" s="1250"/>
      <c r="P16" s="3651"/>
      <c r="Q16" s="664" t="str">
        <f>B16</f>
        <v>公共配套设施</v>
      </c>
      <c r="R16" s="1287" t="s">
        <v>1343</v>
      </c>
      <c r="S16" s="1288">
        <f>F16</f>
        <v>100</v>
      </c>
      <c r="T16" s="1287" t="s">
        <v>1343</v>
      </c>
      <c r="U16" s="1288">
        <f>H16</f>
        <v>100</v>
      </c>
      <c r="V16" s="1287" t="s">
        <v>1343</v>
      </c>
      <c r="W16" s="1288">
        <f>J16</f>
        <v>100</v>
      </c>
      <c r="X16" s="1281"/>
      <c r="Y16" s="3651"/>
      <c r="Z16" s="1271" t="str">
        <f>Q16</f>
        <v>公共配套设施</v>
      </c>
      <c r="AA16" s="1298">
        <f t="shared" si="3"/>
        <v>1</v>
      </c>
      <c r="AB16" s="1298">
        <f t="shared" si="4"/>
        <v>1</v>
      </c>
      <c r="AC16" s="1298">
        <f t="shared" si="5"/>
        <v>1</v>
      </c>
    </row>
    <row r="17" spans="1:29" ht="15">
      <c r="A17" s="1112"/>
      <c r="B17" s="1160"/>
      <c r="C17" s="1420"/>
      <c r="D17" s="1133"/>
      <c r="E17" s="1132"/>
      <c r="F17" s="1470"/>
      <c r="G17" s="1132"/>
      <c r="H17" s="1133"/>
      <c r="I17" s="1132"/>
      <c r="J17" s="1133"/>
      <c r="K17" s="1509"/>
      <c r="L17" s="1251"/>
      <c r="M17" s="1239"/>
      <c r="N17" s="1239"/>
      <c r="O17" s="1250"/>
      <c r="P17" s="3651"/>
      <c r="Q17" s="664"/>
      <c r="R17" s="1287"/>
      <c r="S17" s="1288"/>
      <c r="T17" s="1287"/>
      <c r="U17" s="1288"/>
      <c r="V17" s="1287"/>
      <c r="W17" s="1288"/>
      <c r="X17" s="1281"/>
      <c r="Y17" s="3651"/>
      <c r="Z17" s="1271"/>
      <c r="AA17" s="1298">
        <v>1</v>
      </c>
      <c r="AB17" s="1298">
        <v>1</v>
      </c>
      <c r="AC17" s="1298">
        <v>1</v>
      </c>
    </row>
    <row r="18" spans="1:29" ht="15">
      <c r="A18" s="1112"/>
      <c r="B18" s="1423" t="s">
        <v>1360</v>
      </c>
      <c r="C18" s="1137">
        <f>IF(B1="工业",估价对象房地状况!G6,估价对象房地状况!C8)</f>
        <v>0</v>
      </c>
      <c r="D18" s="1139">
        <v>100</v>
      </c>
      <c r="E18" s="1138"/>
      <c r="F18" s="1471">
        <f>SUMIF(65:65,E19,66:66)-SUMIF(65:65,C19,66:66)+100</f>
        <v>100</v>
      </c>
      <c r="G18" s="1253"/>
      <c r="H18" s="1139">
        <f>SUMIF(65:65,G19,66:66)-SUMIF(65:65,C19,66:66)+100</f>
        <v>100</v>
      </c>
      <c r="I18" s="1422"/>
      <c r="J18" s="1139">
        <f>SUMIF(65:65,I19,66:66)-SUMIF(65:65,C19,66:66)+100</f>
        <v>100</v>
      </c>
      <c r="K18" s="1508"/>
      <c r="L18" s="1251"/>
      <c r="M18" s="1239"/>
      <c r="N18" s="1239"/>
      <c r="O18" s="1250"/>
      <c r="P18" s="3651"/>
      <c r="Q18" s="664" t="str">
        <f>B18</f>
        <v>基础设施水平</v>
      </c>
      <c r="R18" s="1287" t="s">
        <v>1343</v>
      </c>
      <c r="S18" s="1288">
        <f>F18</f>
        <v>100</v>
      </c>
      <c r="T18" s="1287" t="s">
        <v>1343</v>
      </c>
      <c r="U18" s="1288">
        <f>H18</f>
        <v>100</v>
      </c>
      <c r="V18" s="1287" t="s">
        <v>1343</v>
      </c>
      <c r="W18" s="1288">
        <f>J18</f>
        <v>100</v>
      </c>
      <c r="X18" s="1281"/>
      <c r="Y18" s="3651"/>
      <c r="Z18" s="1271" t="str">
        <f>Q18</f>
        <v>基础设施水平</v>
      </c>
      <c r="AA18" s="1298">
        <f t="shared" ref="AA18" si="8">D18/F18</f>
        <v>1</v>
      </c>
      <c r="AB18" s="1298">
        <f t="shared" ref="AB18" si="9">D18/H18</f>
        <v>1</v>
      </c>
      <c r="AC18" s="1298">
        <f t="shared" ref="AC18" si="10">D18/J18</f>
        <v>1</v>
      </c>
    </row>
    <row r="19" spans="1:29" ht="15">
      <c r="A19" s="1112"/>
      <c r="B19" s="1423"/>
      <c r="C19" s="1420"/>
      <c r="D19" s="1135"/>
      <c r="E19" s="1420"/>
      <c r="F19" s="1472"/>
      <c r="G19" s="1420"/>
      <c r="H19" s="1133"/>
      <c r="I19" s="1132"/>
      <c r="J19" s="1133"/>
      <c r="K19" s="1510"/>
      <c r="L19" s="1251"/>
      <c r="M19" s="1239"/>
      <c r="N19" s="1239"/>
      <c r="O19" s="1250"/>
      <c r="P19" s="3651"/>
      <c r="Q19" s="664"/>
      <c r="R19" s="1287"/>
      <c r="S19" s="1288"/>
      <c r="T19" s="1287"/>
      <c r="U19" s="1288"/>
      <c r="V19" s="1287"/>
      <c r="W19" s="1288"/>
      <c r="X19" s="1281"/>
      <c r="Y19" s="3651"/>
      <c r="Z19" s="1271"/>
      <c r="AA19" s="1298">
        <v>1</v>
      </c>
      <c r="AB19" s="1298">
        <v>1</v>
      </c>
      <c r="AC19" s="1298">
        <v>1</v>
      </c>
    </row>
    <row r="20" spans="1:29" ht="15">
      <c r="A20" s="1112"/>
      <c r="B20" s="1419" t="s">
        <v>1556</v>
      </c>
      <c r="C20" s="1137">
        <f>IF(B1="工业",估价对象房地状况!G7,估价对象房地状况!C9)</f>
        <v>0</v>
      </c>
      <c r="D20" s="1139">
        <v>100</v>
      </c>
      <c r="E20" s="1422"/>
      <c r="F20" s="1471">
        <f>SUMIF(67:67,E21,68:68)-SUMIF(67:67,C21,68:68)+100</f>
        <v>100</v>
      </c>
      <c r="G20" s="1430"/>
      <c r="H20" s="1135">
        <f>SUMIF(67:67,G21,68:68)-SUMIF(67:67,C21,68:68)+100</f>
        <v>100</v>
      </c>
      <c r="I20" s="1138"/>
      <c r="J20" s="1135">
        <f>SUMIF(67:67,I21,68:68)-SUMIF(67:67,C21,68:68)+100</f>
        <v>100</v>
      </c>
      <c r="K20" s="1508"/>
      <c r="L20" s="1251"/>
      <c r="M20" s="1239"/>
      <c r="N20" s="1239"/>
      <c r="O20" s="1250"/>
      <c r="P20" s="3651"/>
      <c r="Q20" s="664" t="str">
        <f>B20</f>
        <v>自然及人文环境</v>
      </c>
      <c r="R20" s="1287" t="s">
        <v>1343</v>
      </c>
      <c r="S20" s="1288">
        <f>F20</f>
        <v>100</v>
      </c>
      <c r="T20" s="1287" t="s">
        <v>1343</v>
      </c>
      <c r="U20" s="1288">
        <f>H20</f>
        <v>100</v>
      </c>
      <c r="V20" s="1287" t="s">
        <v>1343</v>
      </c>
      <c r="W20" s="1288">
        <f>J20</f>
        <v>100</v>
      </c>
      <c r="X20" s="1281"/>
      <c r="Y20" s="3651"/>
      <c r="Z20" s="1271" t="str">
        <f>Q20</f>
        <v>自然及人文环境</v>
      </c>
      <c r="AA20" s="1298">
        <f t="shared" si="3"/>
        <v>1</v>
      </c>
      <c r="AB20" s="1298">
        <f t="shared" si="4"/>
        <v>1</v>
      </c>
      <c r="AC20" s="1298">
        <f t="shared" si="5"/>
        <v>1</v>
      </c>
    </row>
    <row r="21" spans="1:29" ht="15">
      <c r="A21" s="1112"/>
      <c r="B21" s="1160"/>
      <c r="C21" s="1132"/>
      <c r="D21" s="1133"/>
      <c r="E21" s="1132"/>
      <c r="F21" s="1470"/>
      <c r="G21" s="1132"/>
      <c r="H21" s="1133"/>
      <c r="I21" s="1132"/>
      <c r="J21" s="1133"/>
      <c r="K21" s="1509"/>
      <c r="L21" s="1251"/>
      <c r="M21" s="1239"/>
      <c r="N21" s="1239"/>
      <c r="O21" s="1250"/>
      <c r="P21" s="3651"/>
      <c r="Q21" s="664"/>
      <c r="R21" s="1287"/>
      <c r="S21" s="1288"/>
      <c r="T21" s="1287"/>
      <c r="U21" s="1288"/>
      <c r="V21" s="1287"/>
      <c r="W21" s="1288"/>
      <c r="X21" s="1281"/>
      <c r="Y21" s="3651"/>
      <c r="Z21" s="1271"/>
      <c r="AA21" s="1298">
        <v>1</v>
      </c>
      <c r="AB21" s="1298">
        <v>1</v>
      </c>
      <c r="AC21" s="1298">
        <v>1</v>
      </c>
    </row>
    <row r="22" spans="1:29" ht="15">
      <c r="A22" s="1112"/>
      <c r="B22" s="1419" t="s">
        <v>1363</v>
      </c>
      <c r="C22" s="1146"/>
      <c r="D22" s="1135">
        <v>100</v>
      </c>
      <c r="E22" s="1146"/>
      <c r="F22" s="1473">
        <f>SUMIF(69:69,E22,70:70)-SUMIF(69:69,C22,70:70)+100</f>
        <v>100</v>
      </c>
      <c r="G22" s="1146"/>
      <c r="H22" s="1121">
        <f>SUMIF(69:69,G22,70:70)-SUMIF(69:69,C22,70:70)+100</f>
        <v>100</v>
      </c>
      <c r="I22" s="1146"/>
      <c r="J22" s="1121">
        <f>SUMIF(69:69,I22,70:70)-SUMIF(69:69,C22,70:70)+100</f>
        <v>100</v>
      </c>
      <c r="K22" s="1257"/>
      <c r="L22" s="1251"/>
      <c r="M22" s="1239"/>
      <c r="N22" s="1239"/>
      <c r="O22" s="1250"/>
      <c r="P22" s="3651"/>
      <c r="Q22" s="664" t="str">
        <f>B22</f>
        <v>楼层</v>
      </c>
      <c r="R22" s="1287" t="s">
        <v>1343</v>
      </c>
      <c r="S22" s="1288">
        <f>F22</f>
        <v>100</v>
      </c>
      <c r="T22" s="1287" t="s">
        <v>1343</v>
      </c>
      <c r="U22" s="1288">
        <f>H22</f>
        <v>100</v>
      </c>
      <c r="V22" s="1287" t="s">
        <v>1343</v>
      </c>
      <c r="W22" s="1288">
        <f>J22</f>
        <v>100</v>
      </c>
      <c r="X22" s="1281"/>
      <c r="Y22" s="3651"/>
      <c r="Z22" s="1271" t="str">
        <f>Q22</f>
        <v>楼层</v>
      </c>
      <c r="AA22" s="1298">
        <f t="shared" si="3"/>
        <v>1</v>
      </c>
      <c r="AB22" s="1298">
        <f t="shared" si="4"/>
        <v>1</v>
      </c>
      <c r="AC22" s="1298">
        <f t="shared" si="5"/>
        <v>1</v>
      </c>
    </row>
    <row r="23" spans="1:29" ht="15">
      <c r="A23" s="1092"/>
      <c r="B23" s="1116">
        <v>111</v>
      </c>
      <c r="C23" s="1110"/>
      <c r="D23" s="1121">
        <v>100</v>
      </c>
      <c r="E23" s="1120"/>
      <c r="F23" s="1473">
        <f>SUMIF(71:71,E23,72:72)-SUMIF(71:71,C23,72:72)+100</f>
        <v>100</v>
      </c>
      <c r="G23" s="1120"/>
      <c r="H23" s="1121">
        <f>SUMIF(71:71,G23,72:72)-SUMIF(71:71,C23,72:72)+100</f>
        <v>100</v>
      </c>
      <c r="I23" s="1120"/>
      <c r="J23" s="1121">
        <f>SUMIF(71:71,I23,72:72)-SUMIF(71:71,C23,72:72)+100</f>
        <v>100</v>
      </c>
      <c r="K23" s="1256"/>
      <c r="L23" s="1251"/>
      <c r="M23" s="1239"/>
      <c r="N23" s="1239"/>
      <c r="O23" s="1250"/>
      <c r="P23" s="3651"/>
      <c r="Q23" s="664">
        <f>B23</f>
        <v>111</v>
      </c>
      <c r="R23" s="1287" t="s">
        <v>1343</v>
      </c>
      <c r="S23" s="1288">
        <f>F23</f>
        <v>100</v>
      </c>
      <c r="T23" s="1287" t="s">
        <v>1343</v>
      </c>
      <c r="U23" s="1288">
        <f>H23</f>
        <v>100</v>
      </c>
      <c r="V23" s="1287" t="s">
        <v>1343</v>
      </c>
      <c r="W23" s="1288">
        <f>J23</f>
        <v>100</v>
      </c>
      <c r="X23" s="1281"/>
      <c r="Y23" s="3651"/>
      <c r="Z23" s="1271">
        <f>Q23</f>
        <v>111</v>
      </c>
      <c r="AA23" s="1298">
        <f t="shared" si="3"/>
        <v>1</v>
      </c>
      <c r="AB23" s="1298">
        <f t="shared" si="4"/>
        <v>1</v>
      </c>
      <c r="AC23" s="1298">
        <f t="shared" si="5"/>
        <v>1</v>
      </c>
    </row>
    <row r="24" spans="1:29" ht="15">
      <c r="A24" s="1112"/>
      <c r="B24" s="1116">
        <v>111</v>
      </c>
      <c r="C24" s="1110"/>
      <c r="D24" s="1121">
        <v>100</v>
      </c>
      <c r="E24" s="1120"/>
      <c r="F24" s="1473">
        <f>SUMIF(73:73,E24,74:74)-SUMIF(73:73,C24,74:74)+100</f>
        <v>100</v>
      </c>
      <c r="G24" s="1120"/>
      <c r="H24" s="1121">
        <f>SUMIF(73:73,G24,74:74)-SUMIF(73:73,C24,74:74)+100</f>
        <v>100</v>
      </c>
      <c r="I24" s="1120"/>
      <c r="J24" s="1121">
        <f>SUMIF(73:73,I24,74:74)-SUMIF(73:73,C24,74:74)+100</f>
        <v>100</v>
      </c>
      <c r="K24" s="1256"/>
      <c r="L24" s="1251"/>
      <c r="M24" s="1239"/>
      <c r="N24" s="1239"/>
      <c r="O24" s="1250"/>
      <c r="P24" s="3651"/>
      <c r="Q24" s="664">
        <f t="shared" ref="Q24:Q34" si="11">B24</f>
        <v>111</v>
      </c>
      <c r="R24" s="1287" t="s">
        <v>1343</v>
      </c>
      <c r="S24" s="1288">
        <f>F24</f>
        <v>100</v>
      </c>
      <c r="T24" s="1287" t="s">
        <v>1343</v>
      </c>
      <c r="U24" s="1288">
        <f>H24</f>
        <v>100</v>
      </c>
      <c r="V24" s="1287" t="s">
        <v>1343</v>
      </c>
      <c r="W24" s="1288">
        <f>J24</f>
        <v>100</v>
      </c>
      <c r="X24" s="1281"/>
      <c r="Y24" s="3651"/>
      <c r="Z24" s="1271">
        <f>Q24</f>
        <v>111</v>
      </c>
      <c r="AA24" s="1298">
        <f t="shared" si="3"/>
        <v>1</v>
      </c>
      <c r="AB24" s="1298">
        <f t="shared" si="4"/>
        <v>1</v>
      </c>
      <c r="AC24" s="1298">
        <f t="shared" si="5"/>
        <v>1</v>
      </c>
    </row>
    <row r="25" spans="1:29" s="1071" customFormat="1" ht="15">
      <c r="A25" s="1115"/>
      <c r="B25" s="1116">
        <v>111</v>
      </c>
      <c r="C25" s="1474"/>
      <c r="D25" s="1475">
        <v>100</v>
      </c>
      <c r="E25" s="1474"/>
      <c r="F25" s="1476">
        <f>SUMIF(75:75,E25,76:76)-SUMIF(75:75,C25,76:76)+100</f>
        <v>100</v>
      </c>
      <c r="G25" s="1474"/>
      <c r="H25" s="1475">
        <f>SUMIF(75:75,G25,76:76)-SUMIF(75:75,C25,76:76)+100</f>
        <v>100</v>
      </c>
      <c r="I25" s="1474"/>
      <c r="J25" s="1475">
        <f>SUMIF(75:75,I25,76:76)-SUMIF(75:75,C25,76:76)+100</f>
        <v>100</v>
      </c>
      <c r="K25" s="1256"/>
      <c r="L25" s="1241"/>
      <c r="M25" s="1242"/>
      <c r="N25" s="1242"/>
      <c r="O25" s="1243"/>
      <c r="P25" s="3651"/>
      <c r="Q25" s="1286">
        <f t="shared" si="11"/>
        <v>111</v>
      </c>
      <c r="R25" s="1282" t="s">
        <v>1343</v>
      </c>
      <c r="S25" s="1283">
        <f>F25</f>
        <v>100</v>
      </c>
      <c r="T25" s="1282" t="s">
        <v>1343</v>
      </c>
      <c r="U25" s="1283">
        <f>H25</f>
        <v>100</v>
      </c>
      <c r="V25" s="1282" t="s">
        <v>1343</v>
      </c>
      <c r="W25" s="1283">
        <f>J25</f>
        <v>100</v>
      </c>
      <c r="X25" s="1284"/>
      <c r="Y25" s="3651"/>
      <c r="Z25" s="1297">
        <f>Q25</f>
        <v>111</v>
      </c>
      <c r="AA25" s="1298">
        <f t="shared" si="3"/>
        <v>1</v>
      </c>
      <c r="AB25" s="1298">
        <f t="shared" si="4"/>
        <v>1</v>
      </c>
      <c r="AC25" s="1298">
        <f t="shared" si="5"/>
        <v>1</v>
      </c>
    </row>
    <row r="26" spans="1:29" ht="28.5">
      <c r="A26" s="1477" t="s">
        <v>1367</v>
      </c>
      <c r="B26" s="1105" t="s">
        <v>1373</v>
      </c>
      <c r="C26" s="1478"/>
      <c r="D26" s="1162">
        <v>100</v>
      </c>
      <c r="E26" s="1478"/>
      <c r="F26" s="1479">
        <f>SUMIF(77:77,E26,78:78)-SUMIF(77:77,C26,78:78)+100</f>
        <v>100</v>
      </c>
      <c r="G26" s="1478"/>
      <c r="H26" s="1162">
        <f>SUMIF(77:77,G26,78:78)-SUMIF(77:77,C26,78:78)+100</f>
        <v>100</v>
      </c>
      <c r="I26" s="1478"/>
      <c r="J26" s="1162">
        <f>SUMIF(77:77,I26,78:78)-SUMIF(77:77,C26,78:78)+100</f>
        <v>100</v>
      </c>
      <c r="K26" s="1257"/>
      <c r="L26" s="1251"/>
      <c r="M26" s="1239"/>
      <c r="N26" s="1239"/>
      <c r="O26" s="1250"/>
      <c r="P26" s="3710" t="s">
        <v>1369</v>
      </c>
      <c r="Q26" s="664" t="str">
        <f t="shared" si="11"/>
        <v>公共部分装修</v>
      </c>
      <c r="R26" s="1287" t="s">
        <v>1343</v>
      </c>
      <c r="S26" s="1288">
        <f t="shared" ref="S26:S34" si="12">F26</f>
        <v>100</v>
      </c>
      <c r="T26" s="1287" t="s">
        <v>1343</v>
      </c>
      <c r="U26" s="1288">
        <f t="shared" ref="U26:U34" si="13">H26</f>
        <v>100</v>
      </c>
      <c r="V26" s="1287" t="s">
        <v>1343</v>
      </c>
      <c r="W26" s="1288">
        <f t="shared" ref="W26:W34" si="14">J26</f>
        <v>100</v>
      </c>
      <c r="X26" s="1281"/>
      <c r="Y26" s="3652" t="s">
        <v>1369</v>
      </c>
      <c r="Z26" s="1271" t="str">
        <f t="shared" ref="Z26:Z34" si="15">Q26</f>
        <v>公共部分装修</v>
      </c>
      <c r="AA26" s="1298">
        <f t="shared" si="3"/>
        <v>1</v>
      </c>
      <c r="AB26" s="1298">
        <f t="shared" si="4"/>
        <v>1</v>
      </c>
      <c r="AC26" s="1298">
        <f t="shared" si="5"/>
        <v>1</v>
      </c>
    </row>
    <row r="27" spans="1:29" s="1073" customFormat="1" ht="15">
      <c r="A27" s="1168"/>
      <c r="B27" s="1109" t="s">
        <v>1599</v>
      </c>
      <c r="C27" s="1480"/>
      <c r="D27" s="1111">
        <v>100</v>
      </c>
      <c r="E27" s="1481"/>
      <c r="F27" s="1473" t="e">
        <f>LOOKUP(E27,80:80,81:81)-LOOKUP(C27,80:80,81:81)+100</f>
        <v>#N/A</v>
      </c>
      <c r="G27" s="1482"/>
      <c r="H27" s="1121" t="e">
        <f>LOOKUP(G27,80:80,81:81)-LOOKUP(C27,80:80,81:81)+100</f>
        <v>#N/A</v>
      </c>
      <c r="I27" s="1482"/>
      <c r="J27" s="1121" t="e">
        <f>LOOKUP(I27,80:80,81:81)-LOOKUP(C27,80:80,81:81)+100</f>
        <v>#N/A</v>
      </c>
      <c r="K27" s="1257"/>
      <c r="L27" s="1249"/>
      <c r="M27" s="1258"/>
      <c r="N27" s="1258"/>
      <c r="O27" s="1259"/>
      <c r="P27" s="3652"/>
      <c r="Q27" s="1512" t="str">
        <f t="shared" si="11"/>
        <v>成新率</v>
      </c>
      <c r="R27" s="1289" t="s">
        <v>1343</v>
      </c>
      <c r="S27" s="1290" t="e">
        <f t="shared" si="12"/>
        <v>#N/A</v>
      </c>
      <c r="T27" s="1289" t="s">
        <v>1343</v>
      </c>
      <c r="U27" s="1290" t="e">
        <f t="shared" si="13"/>
        <v>#N/A</v>
      </c>
      <c r="V27" s="1289" t="s">
        <v>1343</v>
      </c>
      <c r="W27" s="1290" t="e">
        <f t="shared" si="14"/>
        <v>#N/A</v>
      </c>
      <c r="X27" s="1291"/>
      <c r="Y27" s="3652"/>
      <c r="Z27" s="1299" t="str">
        <f t="shared" si="15"/>
        <v>成新率</v>
      </c>
      <c r="AA27" s="1298" t="e">
        <f t="shared" si="3"/>
        <v>#N/A</v>
      </c>
      <c r="AB27" s="1298" t="e">
        <f t="shared" si="4"/>
        <v>#N/A</v>
      </c>
      <c r="AC27" s="1298" t="e">
        <f t="shared" si="5"/>
        <v>#N/A</v>
      </c>
    </row>
    <row r="28" spans="1:29" ht="15">
      <c r="A28" s="1163"/>
      <c r="B28" s="1109" t="s">
        <v>1600</v>
      </c>
      <c r="C28" s="1483"/>
      <c r="D28" s="1121">
        <v>100</v>
      </c>
      <c r="E28" s="1483"/>
      <c r="F28" s="1473">
        <f>SUMIF(82:82,E28,83:83)-SUMIF(82:82,C28,83:83)+100</f>
        <v>100</v>
      </c>
      <c r="G28" s="1483"/>
      <c r="H28" s="1121">
        <f>SUMIF(82:82,G28,83:83)-SUMIF(82:82,C28,83:83)+100</f>
        <v>100</v>
      </c>
      <c r="I28" s="1483"/>
      <c r="J28" s="1121">
        <f>SUMIF(82:82,I28,83:83)-SUMIF(82:82,C28,83:83)+100</f>
        <v>100</v>
      </c>
      <c r="K28" s="1257"/>
      <c r="L28" s="1251"/>
      <c r="M28" s="1239"/>
      <c r="N28" s="1239"/>
      <c r="O28" s="1250"/>
      <c r="P28" s="3652"/>
      <c r="Q28" s="664" t="str">
        <f t="shared" si="11"/>
        <v>物业等级</v>
      </c>
      <c r="R28" s="1287" t="s">
        <v>1343</v>
      </c>
      <c r="S28" s="1288">
        <f t="shared" si="12"/>
        <v>100</v>
      </c>
      <c r="T28" s="1287" t="s">
        <v>1343</v>
      </c>
      <c r="U28" s="1288">
        <f t="shared" si="13"/>
        <v>100</v>
      </c>
      <c r="V28" s="1287" t="s">
        <v>1343</v>
      </c>
      <c r="W28" s="1288">
        <f t="shared" si="14"/>
        <v>100</v>
      </c>
      <c r="X28" s="1281"/>
      <c r="Y28" s="3652"/>
      <c r="Z28" s="1271" t="str">
        <f t="shared" si="15"/>
        <v>物业等级</v>
      </c>
      <c r="AA28" s="1298">
        <f t="shared" si="3"/>
        <v>1</v>
      </c>
      <c r="AB28" s="1298">
        <f t="shared" si="4"/>
        <v>1</v>
      </c>
      <c r="AC28" s="1298">
        <f t="shared" si="5"/>
        <v>1</v>
      </c>
    </row>
    <row r="29" spans="1:29" ht="15">
      <c r="A29" s="1163"/>
      <c r="B29" s="1109" t="s">
        <v>1609</v>
      </c>
      <c r="C29" s="1484"/>
      <c r="D29" s="1121">
        <v>100</v>
      </c>
      <c r="E29" s="1484"/>
      <c r="F29" s="1473">
        <f>SUMIF(84:84,E29,85:85)-SUMIF(84:84,C29,85:85)+100</f>
        <v>100</v>
      </c>
      <c r="G29" s="1484"/>
      <c r="H29" s="1121">
        <f>SUMIF(84:84,G29,85:85)-SUMIF(84:84,C29,85:85)+100</f>
        <v>100</v>
      </c>
      <c r="I29" s="1484"/>
      <c r="J29" s="1121">
        <f>SUMIF(84:84,I29,85:85)-SUMIF(84:84,C29,85:85)+100</f>
        <v>100</v>
      </c>
      <c r="K29" s="1257"/>
      <c r="L29" s="1251"/>
      <c r="M29" s="1239"/>
      <c r="N29" s="1239"/>
      <c r="O29" s="1250"/>
      <c r="P29" s="3652"/>
      <c r="Q29" s="664" t="str">
        <f t="shared" si="11"/>
        <v>有无电梯</v>
      </c>
      <c r="R29" s="1287" t="s">
        <v>1343</v>
      </c>
      <c r="S29" s="1288">
        <f t="shared" si="12"/>
        <v>100</v>
      </c>
      <c r="T29" s="1287" t="s">
        <v>1343</v>
      </c>
      <c r="U29" s="1288">
        <f t="shared" si="13"/>
        <v>100</v>
      </c>
      <c r="V29" s="1287" t="s">
        <v>1343</v>
      </c>
      <c r="W29" s="1288">
        <f t="shared" si="14"/>
        <v>100</v>
      </c>
      <c r="X29" s="1281"/>
      <c r="Y29" s="3652"/>
      <c r="Z29" s="1271" t="str">
        <f t="shared" si="15"/>
        <v>有无电梯</v>
      </c>
      <c r="AA29" s="1298">
        <f t="shared" si="3"/>
        <v>1</v>
      </c>
      <c r="AB29" s="1298">
        <f t="shared" si="4"/>
        <v>1</v>
      </c>
      <c r="AC29" s="1298">
        <f t="shared" si="5"/>
        <v>1</v>
      </c>
    </row>
    <row r="30" spans="1:29" ht="15">
      <c r="A30" s="1163"/>
      <c r="B30" s="1109" t="s">
        <v>597</v>
      </c>
      <c r="C30" s="1467"/>
      <c r="D30" s="1121">
        <v>100</v>
      </c>
      <c r="E30" s="1467"/>
      <c r="F30" s="1473" t="e">
        <f>LOOKUP(E30,87:87,88:88)-LOOKUP(C30,87:87,88:88)+100</f>
        <v>#N/A</v>
      </c>
      <c r="G30" s="1467"/>
      <c r="H30" s="1121" t="e">
        <f>LOOKUP(G30,87:87,88:88)-LOOKUP(C30,87:87,88:88)+100</f>
        <v>#N/A</v>
      </c>
      <c r="I30" s="1467"/>
      <c r="J30" s="1121" t="e">
        <f>LOOKUP(I30,87:87,88:88)-LOOKUP(C30,87:87,88:88)+100</f>
        <v>#N/A</v>
      </c>
      <c r="K30" s="1256"/>
      <c r="L30" s="1251"/>
      <c r="M30" s="1239"/>
      <c r="N30" s="1239"/>
      <c r="O30" s="1250"/>
      <c r="P30" s="3652"/>
      <c r="Q30" s="664" t="str">
        <f t="shared" si="11"/>
        <v>建筑面积</v>
      </c>
      <c r="R30" s="1287" t="s">
        <v>1343</v>
      </c>
      <c r="S30" s="1288" t="e">
        <f t="shared" si="12"/>
        <v>#N/A</v>
      </c>
      <c r="T30" s="1287" t="s">
        <v>1343</v>
      </c>
      <c r="U30" s="1288" t="e">
        <f t="shared" si="13"/>
        <v>#N/A</v>
      </c>
      <c r="V30" s="1287" t="s">
        <v>1343</v>
      </c>
      <c r="W30" s="1288" t="e">
        <f t="shared" si="14"/>
        <v>#N/A</v>
      </c>
      <c r="X30" s="1281"/>
      <c r="Y30" s="3652"/>
      <c r="Z30" s="1271" t="str">
        <f t="shared" si="15"/>
        <v>建筑面积</v>
      </c>
      <c r="AA30" s="1298" t="e">
        <f t="shared" si="3"/>
        <v>#N/A</v>
      </c>
      <c r="AB30" s="1298" t="e">
        <f t="shared" si="4"/>
        <v>#N/A</v>
      </c>
      <c r="AC30" s="1298" t="e">
        <f t="shared" si="5"/>
        <v>#N/A</v>
      </c>
    </row>
    <row r="31" spans="1:29" s="1071" customFormat="1" ht="15">
      <c r="A31" s="1165"/>
      <c r="B31" s="1109" t="s">
        <v>1610</v>
      </c>
      <c r="C31" s="1484"/>
      <c r="D31" s="1111">
        <v>100</v>
      </c>
      <c r="E31" s="1484"/>
      <c r="F31" s="1473">
        <f>SUMIF(89:89,E31,90:90)-SUMIF(89:89,C31,90:90)+100</f>
        <v>100</v>
      </c>
      <c r="G31" s="1484"/>
      <c r="H31" s="1121">
        <f>SUMIF(89:89,G31,90:90)-SUMIF(89:89,C31,90:90)+100</f>
        <v>100</v>
      </c>
      <c r="I31" s="1484"/>
      <c r="J31" s="1121">
        <f>SUMIF(89:89,I31,90:90)-SUMIF(89:89,C31,90:90)+100</f>
        <v>100</v>
      </c>
      <c r="K31" s="1257"/>
      <c r="L31" s="1241"/>
      <c r="M31" s="1242"/>
      <c r="N31" s="1242"/>
      <c r="O31" s="1243"/>
      <c r="P31" s="3652"/>
      <c r="Q31" s="1286" t="str">
        <f t="shared" si="11"/>
        <v>是否封闭</v>
      </c>
      <c r="R31" s="1282" t="s">
        <v>1343</v>
      </c>
      <c r="S31" s="1283">
        <f t="shared" si="12"/>
        <v>100</v>
      </c>
      <c r="T31" s="1282" t="s">
        <v>1343</v>
      </c>
      <c r="U31" s="1283">
        <f t="shared" si="13"/>
        <v>100</v>
      </c>
      <c r="V31" s="1282" t="s">
        <v>1343</v>
      </c>
      <c r="W31" s="1283">
        <f t="shared" si="14"/>
        <v>100</v>
      </c>
      <c r="X31" s="1284"/>
      <c r="Y31" s="3652"/>
      <c r="Z31" s="1297" t="str">
        <f t="shared" si="15"/>
        <v>是否封闭</v>
      </c>
      <c r="AA31" s="1296">
        <f t="shared" si="3"/>
        <v>1</v>
      </c>
      <c r="AB31" s="1296">
        <f t="shared" si="4"/>
        <v>1</v>
      </c>
      <c r="AC31" s="1296">
        <f t="shared" si="5"/>
        <v>1</v>
      </c>
    </row>
    <row r="32" spans="1:29" ht="15">
      <c r="A32" s="1163"/>
      <c r="B32" s="1116">
        <v>111</v>
      </c>
      <c r="C32" s="1110"/>
      <c r="D32" s="1121">
        <v>100</v>
      </c>
      <c r="E32" s="1467"/>
      <c r="F32" s="1473">
        <f>SUMIF(91:91,E32,92:92)-SUMIF(91:91,C32,92:92)+100</f>
        <v>100</v>
      </c>
      <c r="G32" s="1467"/>
      <c r="H32" s="1121">
        <f>SUMIF(91:91,G32,92:92)-SUMIF(91:91,C32,92:92)+100</f>
        <v>100</v>
      </c>
      <c r="I32" s="1467"/>
      <c r="J32" s="1121">
        <f>SUMIF(91:91,I32,92:92)-SUMIF(91:91,C32,92:92)+100</f>
        <v>100</v>
      </c>
      <c r="K32" s="1256"/>
      <c r="L32" s="1251"/>
      <c r="M32" s="1239"/>
      <c r="N32" s="1239"/>
      <c r="O32" s="1250"/>
      <c r="P32" s="3652" t="s">
        <v>1369</v>
      </c>
      <c r="Q32" s="664">
        <f t="shared" si="11"/>
        <v>111</v>
      </c>
      <c r="R32" s="1287" t="s">
        <v>1343</v>
      </c>
      <c r="S32" s="1288">
        <f t="shared" si="12"/>
        <v>100</v>
      </c>
      <c r="T32" s="1287" t="s">
        <v>1343</v>
      </c>
      <c r="U32" s="1288">
        <f t="shared" si="13"/>
        <v>100</v>
      </c>
      <c r="V32" s="1287" t="s">
        <v>1343</v>
      </c>
      <c r="W32" s="1288">
        <f t="shared" si="14"/>
        <v>100</v>
      </c>
      <c r="X32" s="1281"/>
      <c r="Y32" s="3652" t="s">
        <v>1369</v>
      </c>
      <c r="Z32" s="1271">
        <f t="shared" si="15"/>
        <v>111</v>
      </c>
      <c r="AA32" s="1298">
        <f t="shared" si="3"/>
        <v>1</v>
      </c>
      <c r="AB32" s="1298">
        <f t="shared" si="4"/>
        <v>1</v>
      </c>
      <c r="AC32" s="1298">
        <f t="shared" si="5"/>
        <v>1</v>
      </c>
    </row>
    <row r="33" spans="1:30" ht="15">
      <c r="A33" s="1163"/>
      <c r="B33" s="1116">
        <v>111</v>
      </c>
      <c r="C33" s="1110"/>
      <c r="D33" s="1121">
        <v>100</v>
      </c>
      <c r="E33" s="1467"/>
      <c r="F33" s="1473">
        <f>SUMIF(93:93,E33,94:94)-SUMIF(93:93,C33,94:94)+100</f>
        <v>100</v>
      </c>
      <c r="G33" s="1467"/>
      <c r="H33" s="1121">
        <f>SUMIF(93:93,G33,94:94)-SUMIF(93:93,C33,94:94)+100</f>
        <v>100</v>
      </c>
      <c r="I33" s="1467"/>
      <c r="J33" s="1121">
        <f>SUMIF(93:93,I33,94:94)-SUMIF(93:93,C33,94:94)+100</f>
        <v>100</v>
      </c>
      <c r="K33" s="1256"/>
      <c r="L33" s="1251"/>
      <c r="M33" s="1239"/>
      <c r="N33" s="1239"/>
      <c r="O33" s="1250"/>
      <c r="P33" s="3652"/>
      <c r="Q33" s="664">
        <f t="shared" si="11"/>
        <v>111</v>
      </c>
      <c r="R33" s="1287" t="s">
        <v>1343</v>
      </c>
      <c r="S33" s="1288">
        <f t="shared" si="12"/>
        <v>100</v>
      </c>
      <c r="T33" s="1287" t="s">
        <v>1343</v>
      </c>
      <c r="U33" s="1288">
        <f t="shared" si="13"/>
        <v>100</v>
      </c>
      <c r="V33" s="1287" t="s">
        <v>1343</v>
      </c>
      <c r="W33" s="1288">
        <f t="shared" si="14"/>
        <v>100</v>
      </c>
      <c r="X33" s="1281"/>
      <c r="Y33" s="3652"/>
      <c r="Z33" s="1271">
        <f t="shared" si="15"/>
        <v>111</v>
      </c>
      <c r="AA33" s="1298">
        <f t="shared" si="3"/>
        <v>1</v>
      </c>
      <c r="AB33" s="1298">
        <f t="shared" si="4"/>
        <v>1</v>
      </c>
      <c r="AC33" s="1298">
        <f t="shared" si="5"/>
        <v>1</v>
      </c>
    </row>
    <row r="34" spans="1:30" ht="15">
      <c r="A34" s="1485"/>
      <c r="B34" s="1123">
        <v>111</v>
      </c>
      <c r="C34" s="1124"/>
      <c r="D34" s="1125">
        <v>100</v>
      </c>
      <c r="E34" s="1468"/>
      <c r="F34" s="1486">
        <f>SUMIF(95:95,E34,96:96)-SUMIF(95:95,C34,96:96)+100</f>
        <v>100</v>
      </c>
      <c r="G34" s="1468"/>
      <c r="H34" s="1125">
        <f>SUMIF(95:95,G34,96:96)-SUMIF(95:95,C34,96:96)+100</f>
        <v>100</v>
      </c>
      <c r="I34" s="1468"/>
      <c r="J34" s="1125">
        <f>SUMIF(95:95,I34,96:96)-SUMIF(95:95,C34,96:96)+100</f>
        <v>100</v>
      </c>
      <c r="K34" s="1256"/>
      <c r="L34" s="1251"/>
      <c r="M34" s="1239"/>
      <c r="N34" s="1239"/>
      <c r="O34" s="1250"/>
      <c r="P34" s="3652"/>
      <c r="Q34" s="664">
        <f t="shared" si="11"/>
        <v>111</v>
      </c>
      <c r="R34" s="1287" t="s">
        <v>1343</v>
      </c>
      <c r="S34" s="1288">
        <f t="shared" si="12"/>
        <v>100</v>
      </c>
      <c r="T34" s="1287" t="s">
        <v>1343</v>
      </c>
      <c r="U34" s="1288">
        <f t="shared" si="13"/>
        <v>100</v>
      </c>
      <c r="V34" s="1287" t="s">
        <v>1343</v>
      </c>
      <c r="W34" s="1288">
        <f t="shared" si="14"/>
        <v>100</v>
      </c>
      <c r="X34" s="1281"/>
      <c r="Y34" s="3652"/>
      <c r="Z34" s="1271">
        <f t="shared" si="15"/>
        <v>111</v>
      </c>
      <c r="AA34" s="1298">
        <f t="shared" si="3"/>
        <v>1</v>
      </c>
      <c r="AB34" s="1298">
        <f t="shared" si="4"/>
        <v>1</v>
      </c>
      <c r="AC34" s="1298">
        <f t="shared" si="5"/>
        <v>1</v>
      </c>
    </row>
    <row r="35" spans="1:30" ht="15">
      <c r="A35" s="1170" t="s">
        <v>1385</v>
      </c>
      <c r="B35" s="1487"/>
      <c r="C35" s="1488" t="s">
        <v>124</v>
      </c>
      <c r="D35" s="1489"/>
      <c r="E35" s="1490"/>
      <c r="F35" s="1491"/>
      <c r="G35" s="1492"/>
      <c r="H35" s="1493"/>
      <c r="I35" s="1490"/>
      <c r="J35" s="1493"/>
      <c r="K35" s="1262"/>
      <c r="L35" s="1263"/>
      <c r="M35" s="1187"/>
      <c r="N35" s="1239"/>
      <c r="O35" s="1187"/>
      <c r="P35" s="3643" t="str">
        <f>A35</f>
        <v>成交单价（元/平方米）</v>
      </c>
      <c r="Q35" s="3643"/>
      <c r="R35" s="3644">
        <f>E35</f>
        <v>0</v>
      </c>
      <c r="S35" s="3644"/>
      <c r="T35" s="3644">
        <f>G35</f>
        <v>0</v>
      </c>
      <c r="U35" s="3644"/>
      <c r="V35" s="3644">
        <f>I35</f>
        <v>0</v>
      </c>
      <c r="W35" s="3644"/>
      <c r="X35" s="1227"/>
      <c r="Y35" s="1300"/>
      <c r="Z35" s="1227"/>
      <c r="AA35" s="1227"/>
      <c r="AB35" s="1227"/>
      <c r="AC35" s="1227"/>
    </row>
    <row r="36" spans="1:30" ht="15">
      <c r="A36" s="1178" t="s">
        <v>1386</v>
      </c>
      <c r="B36" s="1494"/>
      <c r="C36" s="1495" t="e">
        <f>R37</f>
        <v>#DIV/0!</v>
      </c>
      <c r="D36" s="1181" t="s">
        <v>1387</v>
      </c>
      <c r="E36" s="1496" t="e">
        <f>R36</f>
        <v>#DIV/0!</v>
      </c>
      <c r="F36" s="1182"/>
      <c r="G36" s="1495" t="e">
        <f>T36</f>
        <v>#DIV/0!</v>
      </c>
      <c r="H36" s="1182"/>
      <c r="I36" s="1496" t="e">
        <f>V36</f>
        <v>#DIV/0!</v>
      </c>
      <c r="J36" s="1182"/>
      <c r="K36" s="1264">
        <f>F36+H36+J36</f>
        <v>0</v>
      </c>
      <c r="L36" s="1263"/>
      <c r="M36" s="1187"/>
      <c r="N36" s="1239"/>
      <c r="O36" s="1187"/>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227"/>
      <c r="Y36" s="1227"/>
      <c r="Z36" s="1227"/>
      <c r="AA36" s="1227"/>
      <c r="AB36" s="1227"/>
      <c r="AC36" s="1227"/>
    </row>
    <row r="37" spans="1:30" ht="15">
      <c r="A37" s="1184" t="s">
        <v>1388</v>
      </c>
      <c r="B37" s="1185"/>
      <c r="C37" s="1497" t="e">
        <f>R37</f>
        <v>#DIV/0!</v>
      </c>
      <c r="D37" s="1497"/>
      <c r="E37" s="1497"/>
      <c r="F37" s="1497"/>
      <c r="G37" s="1497"/>
      <c r="H37" s="1497"/>
      <c r="I37" s="1497"/>
      <c r="J37" s="1497"/>
      <c r="K37" s="1265"/>
      <c r="L37" s="1263"/>
      <c r="M37" s="1187"/>
      <c r="N37" s="1187"/>
      <c r="O37" s="1187"/>
      <c r="P37" s="3700" t="str">
        <f>A37</f>
        <v>估价对象XX用房的比较价值（楼面单价，元/平方米）</v>
      </c>
      <c r="Q37" s="3701"/>
      <c r="R37" s="3711" t="e">
        <f>IF(F1="售价",ROUND(IF(D36="简单平均",AVERAGE(R36:W36),R36*F36+T36*H36+V36*J36),0),ROUND(IF(D36="简单平均",AVERAGE(R36:V36),R36*F36+T36*H36+V36*J36),1))</f>
        <v>#DIV/0!</v>
      </c>
      <c r="S37" s="3711"/>
      <c r="T37" s="3711"/>
      <c r="U37" s="3711"/>
      <c r="V37" s="3711"/>
      <c r="W37" s="3711"/>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1389</v>
      </c>
      <c r="D40" s="708"/>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1390</v>
      </c>
      <c r="D41" s="707"/>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1391</v>
      </c>
      <c r="D42" s="707"/>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498"/>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498"/>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1392</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499" t="s">
        <v>1341</v>
      </c>
      <c r="B46" s="1500"/>
      <c r="C46" s="1501" t="str">
        <f>YEAR(C7)&amp;"-"&amp;MONTH(C7)</f>
        <v>2023-10</v>
      </c>
      <c r="D46" s="1502">
        <f>EDATE(C46,-1)</f>
        <v>45170</v>
      </c>
      <c r="E46" s="1502">
        <f t="shared" ref="E46:O46" si="16">EDATE(D46,-1)</f>
        <v>45139</v>
      </c>
      <c r="F46" s="1502">
        <f t="shared" si="16"/>
        <v>45108</v>
      </c>
      <c r="G46" s="1502">
        <f t="shared" si="16"/>
        <v>45078</v>
      </c>
      <c r="H46" s="1502">
        <f t="shared" si="16"/>
        <v>45047</v>
      </c>
      <c r="I46" s="1502">
        <f t="shared" si="16"/>
        <v>45017</v>
      </c>
      <c r="J46" s="1502">
        <f t="shared" si="16"/>
        <v>44986</v>
      </c>
      <c r="K46" s="1502">
        <f t="shared" si="16"/>
        <v>44958</v>
      </c>
      <c r="L46" s="1502">
        <f t="shared" si="16"/>
        <v>44927</v>
      </c>
      <c r="M46" s="1502">
        <f t="shared" si="16"/>
        <v>44896</v>
      </c>
      <c r="N46" s="1502">
        <f t="shared" si="16"/>
        <v>44866</v>
      </c>
      <c r="O46" s="1502">
        <f t="shared" si="16"/>
        <v>44835</v>
      </c>
      <c r="P46" s="1352"/>
      <c r="Q46" s="1408"/>
      <c r="R46" s="1408"/>
      <c r="S46" s="1408"/>
      <c r="T46" s="1408"/>
      <c r="U46" s="1408"/>
      <c r="V46" s="1408"/>
      <c r="W46" s="1408"/>
      <c r="X46" s="1408"/>
      <c r="Y46" s="1408"/>
      <c r="Z46" s="1408"/>
      <c r="AA46" s="1408"/>
      <c r="AB46" s="1408"/>
      <c r="AC46" s="1408"/>
      <c r="AD46" s="1408"/>
    </row>
    <row r="47" spans="1:30" s="1071" customFormat="1" ht="15">
      <c r="A47" s="1503"/>
      <c r="B47" s="1311"/>
      <c r="C47" s="1504">
        <v>100</v>
      </c>
      <c r="D47" s="1315"/>
      <c r="E47" s="1315"/>
      <c r="F47" s="1315"/>
      <c r="G47" s="1315"/>
      <c r="H47" s="1315"/>
      <c r="I47" s="1315"/>
      <c r="J47" s="1315"/>
      <c r="K47" s="1315"/>
      <c r="L47" s="1315"/>
      <c r="M47" s="1511"/>
      <c r="N47" s="1315"/>
      <c r="O47" s="1361"/>
      <c r="P47" s="1292"/>
      <c r="Q47" s="1409"/>
      <c r="R47" s="1409"/>
      <c r="S47" s="1409"/>
      <c r="T47" s="1409"/>
      <c r="U47" s="1409"/>
      <c r="V47" s="1409"/>
      <c r="W47" s="1409"/>
      <c r="X47" s="1409"/>
      <c r="Y47" s="1409"/>
      <c r="Z47" s="1409"/>
      <c r="AA47" s="1409"/>
      <c r="AB47" s="1409"/>
      <c r="AC47" s="1409"/>
      <c r="AD47" s="1409"/>
    </row>
    <row r="48" spans="1:30" s="1071" customFormat="1" ht="15">
      <c r="A48" s="1306" t="s">
        <v>1393</v>
      </c>
      <c r="B48" s="1307"/>
      <c r="C48" s="1308"/>
      <c r="D48" s="1309"/>
      <c r="E48" s="1309"/>
      <c r="F48" s="1309"/>
      <c r="G48" s="1309"/>
      <c r="H48" s="1309"/>
      <c r="I48" s="1309"/>
      <c r="J48" s="1309"/>
      <c r="K48" s="1309"/>
      <c r="L48" s="1309"/>
      <c r="M48" s="1355"/>
      <c r="N48" s="1309"/>
      <c r="O48" s="1356"/>
      <c r="P48" s="1292"/>
      <c r="Q48" s="1292"/>
      <c r="R48" s="1409"/>
      <c r="S48" s="1409"/>
      <c r="T48" s="1409"/>
      <c r="U48" s="1409"/>
      <c r="V48" s="1409"/>
      <c r="W48" s="1409"/>
      <c r="X48" s="1409"/>
      <c r="Y48" s="1409"/>
      <c r="Z48" s="1409"/>
      <c r="AA48" s="1409"/>
      <c r="AB48" s="1409"/>
      <c r="AC48" s="1409"/>
      <c r="AD48" s="1409"/>
    </row>
    <row r="49" spans="1:30" s="1071" customFormat="1" ht="15">
      <c r="A49" s="1310" t="s">
        <v>1344</v>
      </c>
      <c r="B49" s="1311"/>
      <c r="C49" s="1312" t="s">
        <v>1394</v>
      </c>
      <c r="D49" s="1313"/>
      <c r="E49" s="1313"/>
      <c r="F49" s="1313"/>
      <c r="G49" s="1313"/>
      <c r="H49" s="1313"/>
      <c r="I49" s="1313"/>
      <c r="J49" s="1313"/>
      <c r="K49" s="1313"/>
      <c r="L49" s="1357"/>
      <c r="M49" s="1358"/>
      <c r="N49" s="1359"/>
      <c r="O49" s="1359"/>
      <c r="P49" s="1360"/>
      <c r="Q49" s="1292"/>
      <c r="R49" s="1409"/>
      <c r="S49" s="1409"/>
      <c r="T49" s="1409"/>
      <c r="U49" s="1409"/>
      <c r="V49" s="1409"/>
      <c r="W49" s="1409"/>
      <c r="X49" s="1409"/>
      <c r="Y49" s="1409"/>
      <c r="Z49" s="1409"/>
      <c r="AA49" s="1409"/>
      <c r="AB49" s="1409"/>
      <c r="AC49" s="1409"/>
      <c r="AD49" s="1409"/>
    </row>
    <row r="50" spans="1:30" s="1071" customFormat="1" ht="15">
      <c r="A50" s="1310"/>
      <c r="B50" s="1311"/>
      <c r="C50" s="1314">
        <v>100</v>
      </c>
      <c r="D50" s="1315"/>
      <c r="E50" s="1315"/>
      <c r="F50" s="1315"/>
      <c r="G50" s="1315"/>
      <c r="H50" s="1315"/>
      <c r="I50" s="1315"/>
      <c r="J50" s="1315"/>
      <c r="K50" s="1315"/>
      <c r="L50" s="1315"/>
      <c r="M50" s="1361"/>
      <c r="N50" s="1359"/>
      <c r="O50" s="1359"/>
      <c r="P50" s="1292"/>
      <c r="Q50" s="1292"/>
      <c r="R50" s="1409"/>
      <c r="S50" s="1409"/>
      <c r="T50" s="1409"/>
      <c r="U50" s="1409"/>
      <c r="V50" s="1409"/>
      <c r="W50" s="1409"/>
      <c r="X50" s="1409"/>
      <c r="Y50" s="1409"/>
      <c r="Z50" s="1409"/>
      <c r="AA50" s="1409"/>
      <c r="AB50" s="1409"/>
      <c r="AC50" s="1409"/>
      <c r="AD50" s="1409"/>
    </row>
    <row r="51" spans="1:30">
      <c r="A51" s="1316" t="s">
        <v>1395</v>
      </c>
      <c r="B51" s="1317" t="s">
        <v>1349</v>
      </c>
      <c r="C51" s="1337">
        <f>C9</f>
        <v>0</v>
      </c>
      <c r="D51" s="1260"/>
      <c r="E51" s="1260"/>
      <c r="F51" s="1260"/>
      <c r="G51" s="1260"/>
      <c r="H51" s="1260"/>
      <c r="I51" s="1260"/>
      <c r="J51" s="1260"/>
      <c r="K51" s="1362"/>
      <c r="L51" s="1363"/>
      <c r="M51" s="1364"/>
      <c r="N51" s="1365"/>
      <c r="O51" s="1365"/>
      <c r="P51" s="1366"/>
      <c r="Q51" s="1292"/>
      <c r="R51" s="1187"/>
      <c r="S51" s="1187"/>
      <c r="T51" s="1187"/>
      <c r="U51" s="1187"/>
      <c r="V51" s="1187"/>
      <c r="W51" s="1187"/>
      <c r="X51" s="1187"/>
      <c r="Y51" s="1187"/>
      <c r="Z51" s="1187"/>
      <c r="AA51" s="1187"/>
      <c r="AB51" s="1187"/>
      <c r="AC51" s="1187"/>
      <c r="AD51" s="1187"/>
    </row>
    <row r="52" spans="1:30" ht="15">
      <c r="A52" s="1318"/>
      <c r="B52" s="1319"/>
      <c r="C52" s="964">
        <v>100</v>
      </c>
      <c r="D52" s="964"/>
      <c r="E52" s="964"/>
      <c r="F52" s="964"/>
      <c r="G52" s="964"/>
      <c r="H52" s="964"/>
      <c r="I52" s="964"/>
      <c r="J52" s="964"/>
      <c r="K52" s="964"/>
      <c r="L52" s="964"/>
      <c r="M52" s="1367"/>
      <c r="N52" s="1368"/>
      <c r="O52" s="1368"/>
      <c r="P52" s="1366"/>
      <c r="Q52" s="1292"/>
      <c r="R52" s="1187"/>
      <c r="S52" s="1187"/>
      <c r="T52" s="1187"/>
      <c r="U52" s="1187"/>
      <c r="V52" s="1187"/>
      <c r="W52" s="1187"/>
      <c r="X52" s="1187"/>
      <c r="Y52" s="1187"/>
      <c r="Z52" s="1187"/>
      <c r="AA52" s="1187"/>
      <c r="AB52" s="1187"/>
      <c r="AC52" s="1187"/>
      <c r="AD52" s="1187"/>
    </row>
    <row r="53" spans="1:30" ht="27">
      <c r="A53" s="1318"/>
      <c r="B53" s="1320" t="s">
        <v>1352</v>
      </c>
      <c r="C53" s="1344"/>
      <c r="D53" s="1344"/>
      <c r="E53" s="1344"/>
      <c r="F53" s="1344"/>
      <c r="G53" s="1344"/>
      <c r="H53" s="1344"/>
      <c r="I53" s="1344"/>
      <c r="J53" s="1344"/>
      <c r="K53" s="1395"/>
      <c r="L53" s="1396"/>
      <c r="M53" s="1397"/>
      <c r="N53" s="1365"/>
      <c r="O53" s="1365"/>
      <c r="P53" s="1366"/>
      <c r="Q53" s="1292"/>
      <c r="R53" s="1187"/>
      <c r="S53" s="1187"/>
      <c r="T53" s="1187"/>
      <c r="U53" s="1187"/>
      <c r="V53" s="1187"/>
      <c r="W53" s="1187"/>
      <c r="X53" s="1187"/>
      <c r="Y53" s="1187"/>
      <c r="Z53" s="1187"/>
      <c r="AA53" s="1187"/>
      <c r="AB53" s="1187"/>
      <c r="AC53" s="1187"/>
      <c r="AD53" s="1187"/>
    </row>
    <row r="54" spans="1:30" ht="15">
      <c r="A54" s="1318"/>
      <c r="B54" s="1322"/>
      <c r="C54" s="964"/>
      <c r="D54" s="964"/>
      <c r="E54" s="964"/>
      <c r="F54" s="964"/>
      <c r="G54" s="964"/>
      <c r="H54" s="964"/>
      <c r="I54" s="964"/>
      <c r="J54" s="964"/>
      <c r="K54" s="964"/>
      <c r="L54" s="964"/>
      <c r="M54" s="1367"/>
      <c r="N54" s="1368"/>
      <c r="O54" s="1368"/>
      <c r="P54" s="1366"/>
      <c r="Q54" s="1292"/>
      <c r="R54" s="1187"/>
      <c r="S54" s="1187"/>
      <c r="T54" s="1187"/>
      <c r="U54" s="1187"/>
      <c r="V54" s="1187"/>
      <c r="W54" s="1187"/>
      <c r="X54" s="1187"/>
      <c r="Y54" s="1187"/>
      <c r="Z54" s="1187"/>
      <c r="AA54" s="1187"/>
      <c r="AB54" s="1187"/>
      <c r="AC54" s="1187"/>
      <c r="AD54" s="1187"/>
    </row>
    <row r="55" spans="1:30" ht="15">
      <c r="A55" s="1318"/>
      <c r="B55" s="1343">
        <f>B11</f>
        <v>111</v>
      </c>
      <c r="C55" s="1118"/>
      <c r="D55" s="1118"/>
      <c r="E55" s="1118"/>
      <c r="F55" s="1118"/>
      <c r="G55" s="1118"/>
      <c r="H55" s="1118"/>
      <c r="I55" s="1118"/>
      <c r="J55" s="1118"/>
      <c r="K55" s="1373"/>
      <c r="L55" s="1374"/>
      <c r="M55" s="1375"/>
      <c r="N55" s="1365"/>
      <c r="O55" s="1365"/>
      <c r="P55" s="1366"/>
      <c r="Q55" s="1292"/>
      <c r="R55" s="1187"/>
      <c r="S55" s="1187"/>
      <c r="T55" s="1187"/>
      <c r="U55" s="1187"/>
      <c r="V55" s="1187"/>
      <c r="W55" s="1187"/>
      <c r="X55" s="1187"/>
      <c r="Y55" s="1187"/>
      <c r="Z55" s="1187"/>
      <c r="AA55" s="1187"/>
      <c r="AB55" s="1187"/>
      <c r="AC55" s="1187"/>
      <c r="AD55" s="1187"/>
    </row>
    <row r="56" spans="1:30" ht="15">
      <c r="A56" s="1318"/>
      <c r="B56" s="1319"/>
      <c r="C56" s="963"/>
      <c r="D56" s="964"/>
      <c r="E56" s="964"/>
      <c r="F56" s="964"/>
      <c r="G56" s="964"/>
      <c r="H56" s="964"/>
      <c r="I56" s="964"/>
      <c r="J56" s="964"/>
      <c r="K56" s="964"/>
      <c r="L56" s="964"/>
      <c r="M56" s="1367"/>
      <c r="N56" s="1368"/>
      <c r="O56" s="1368"/>
      <c r="P56" s="1366"/>
      <c r="Q56" s="1292"/>
      <c r="R56" s="1187"/>
      <c r="S56" s="1187"/>
      <c r="T56" s="1187"/>
      <c r="U56" s="1187"/>
      <c r="V56" s="1187"/>
      <c r="W56" s="1187"/>
      <c r="X56" s="1187"/>
      <c r="Y56" s="1187"/>
      <c r="Z56" s="1187"/>
      <c r="AA56" s="1187"/>
      <c r="AB56" s="1187"/>
      <c r="AC56" s="1187"/>
      <c r="AD56" s="1187"/>
    </row>
    <row r="57" spans="1:30" s="1073" customFormat="1" ht="15">
      <c r="A57" s="1327"/>
      <c r="B57" s="1320">
        <f>B12</f>
        <v>111</v>
      </c>
      <c r="C57" s="1118"/>
      <c r="D57" s="1118"/>
      <c r="E57" s="1118"/>
      <c r="F57" s="1118"/>
      <c r="G57" s="1328"/>
      <c r="H57" s="1329"/>
      <c r="I57" s="1329"/>
      <c r="J57" s="1329"/>
      <c r="K57" s="1329"/>
      <c r="L57" s="1376"/>
      <c r="M57" s="1377"/>
      <c r="N57" s="1378"/>
      <c r="O57" s="1378"/>
      <c r="P57" s="1379"/>
      <c r="Q57" s="1410"/>
      <c r="R57" s="1411"/>
      <c r="S57" s="1411"/>
      <c r="T57" s="1411"/>
      <c r="U57" s="1411"/>
      <c r="V57" s="1411"/>
      <c r="W57" s="1411"/>
      <c r="X57" s="1411"/>
      <c r="Y57" s="1411"/>
      <c r="Z57" s="1411"/>
      <c r="AA57" s="1411"/>
      <c r="AB57" s="1411"/>
      <c r="AC57" s="1411"/>
      <c r="AD57" s="1411"/>
    </row>
    <row r="58" spans="1:30" s="1073" customFormat="1" ht="15">
      <c r="A58" s="1327"/>
      <c r="B58" s="1322"/>
      <c r="C58" s="963"/>
      <c r="D58" s="964"/>
      <c r="E58" s="964"/>
      <c r="F58" s="964"/>
      <c r="G58" s="964"/>
      <c r="H58" s="964"/>
      <c r="I58" s="964"/>
      <c r="J58" s="964"/>
      <c r="K58" s="964"/>
      <c r="L58" s="964"/>
      <c r="M58" s="1367"/>
      <c r="N58" s="1368"/>
      <c r="O58" s="1368"/>
      <c r="P58" s="1379"/>
      <c r="Q58" s="1410"/>
      <c r="R58" s="1411"/>
      <c r="S58" s="1411"/>
      <c r="T58" s="1411"/>
      <c r="U58" s="1411"/>
      <c r="V58" s="1411"/>
      <c r="W58" s="1411"/>
      <c r="X58" s="1411"/>
      <c r="Y58" s="1411"/>
      <c r="Z58" s="1411"/>
      <c r="AA58" s="1411"/>
      <c r="AB58" s="1411"/>
      <c r="AC58" s="1411"/>
      <c r="AD58" s="1411"/>
    </row>
    <row r="59" spans="1:30" s="1073" customFormat="1" ht="15">
      <c r="A59" s="1327"/>
      <c r="B59" s="1320">
        <f>B13</f>
        <v>111</v>
      </c>
      <c r="C59" s="1118"/>
      <c r="D59" s="1118"/>
      <c r="E59" s="1118"/>
      <c r="F59" s="1118"/>
      <c r="G59" s="1328"/>
      <c r="H59" s="1329"/>
      <c r="I59" s="1329"/>
      <c r="J59" s="1329"/>
      <c r="K59" s="1329"/>
      <c r="L59" s="1376"/>
      <c r="M59" s="1377"/>
      <c r="N59" s="1378"/>
      <c r="O59" s="1378"/>
      <c r="P59" s="1258"/>
      <c r="Q59" s="1412"/>
      <c r="R59" s="1411"/>
      <c r="S59" s="1411"/>
      <c r="T59" s="1411"/>
      <c r="U59" s="1411"/>
      <c r="V59" s="1411"/>
      <c r="W59" s="1411"/>
      <c r="X59" s="1411"/>
      <c r="Y59" s="1411"/>
      <c r="Z59" s="1411"/>
      <c r="AA59" s="1411"/>
      <c r="AB59" s="1411"/>
      <c r="AC59" s="1411"/>
      <c r="AD59" s="1411"/>
    </row>
    <row r="60" spans="1:30" s="1073" customFormat="1" ht="15">
      <c r="A60" s="1327"/>
      <c r="B60" s="1322"/>
      <c r="C60" s="963"/>
      <c r="D60" s="963"/>
      <c r="E60" s="963"/>
      <c r="F60" s="963"/>
      <c r="G60" s="963"/>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6" t="s">
        <v>1354</v>
      </c>
      <c r="B61" s="1317" t="s">
        <v>1358</v>
      </c>
      <c r="C61" s="1336" t="s">
        <v>1396</v>
      </c>
      <c r="D61" s="1336" t="s">
        <v>1397</v>
      </c>
      <c r="E61" s="1336" t="s">
        <v>1398</v>
      </c>
      <c r="F61" s="1336" t="s">
        <v>1399</v>
      </c>
      <c r="G61" s="1336" t="s">
        <v>1400</v>
      </c>
      <c r="H61" s="1337"/>
      <c r="I61" s="1337"/>
      <c r="J61" s="1337"/>
      <c r="K61" s="1385"/>
      <c r="L61" s="1386"/>
      <c r="M61" s="1387"/>
      <c r="N61" s="1365"/>
      <c r="O61" s="1365"/>
      <c r="P61" s="1388"/>
      <c r="Q61" s="1292"/>
      <c r="R61" s="1187"/>
      <c r="S61" s="1187"/>
      <c r="T61" s="1187"/>
      <c r="U61" s="1187"/>
      <c r="V61" s="1187"/>
      <c r="W61" s="1187"/>
      <c r="X61" s="1187"/>
      <c r="Y61" s="1187"/>
      <c r="Z61" s="1187"/>
      <c r="AA61" s="1187"/>
      <c r="AB61" s="1187"/>
      <c r="AC61" s="1187"/>
      <c r="AD61" s="1187"/>
    </row>
    <row r="62" spans="1:30" ht="15">
      <c r="A62" s="1318"/>
      <c r="B62" s="1322"/>
      <c r="C62" s="1323">
        <v>100</v>
      </c>
      <c r="D62" s="1323">
        <f>C62-$K14</f>
        <v>100</v>
      </c>
      <c r="E62" s="1323">
        <f>D62-$K14</f>
        <v>100</v>
      </c>
      <c r="F62" s="1323">
        <f>E62-$K14</f>
        <v>100</v>
      </c>
      <c r="G62" s="1323">
        <f>F62-$K14</f>
        <v>100</v>
      </c>
      <c r="H62" s="1323"/>
      <c r="I62" s="1323"/>
      <c r="J62" s="1323"/>
      <c r="K62" s="1323"/>
      <c r="L62" s="1323"/>
      <c r="M62" s="1372"/>
      <c r="N62" s="1368"/>
      <c r="O62" s="1368"/>
      <c r="P62" s="1366"/>
      <c r="Q62" s="1292"/>
      <c r="R62" s="1187"/>
      <c r="S62" s="1187"/>
      <c r="T62" s="1187"/>
      <c r="U62" s="1187"/>
      <c r="V62" s="1187"/>
      <c r="W62" s="1187"/>
      <c r="X62" s="1187"/>
      <c r="Y62" s="1187"/>
      <c r="Z62" s="1187"/>
      <c r="AA62" s="1187"/>
      <c r="AB62" s="1187"/>
      <c r="AC62" s="1187"/>
      <c r="AD62" s="1187"/>
    </row>
    <row r="63" spans="1:30" ht="27">
      <c r="A63" s="1318"/>
      <c r="B63" s="1320" t="s">
        <v>1611</v>
      </c>
      <c r="C63" s="1338" t="s">
        <v>1396</v>
      </c>
      <c r="D63" s="1338" t="s">
        <v>1397</v>
      </c>
      <c r="E63" s="1338" t="s">
        <v>1398</v>
      </c>
      <c r="F63" s="1338" t="s">
        <v>1399</v>
      </c>
      <c r="G63" s="1338" t="s">
        <v>1400</v>
      </c>
      <c r="H63" s="1321"/>
      <c r="I63" s="1321"/>
      <c r="J63" s="1321"/>
      <c r="K63" s="1369"/>
      <c r="L63" s="1370"/>
      <c r="M63" s="1371"/>
      <c r="N63" s="1365"/>
      <c r="O63" s="1365"/>
      <c r="P63" s="1366"/>
      <c r="Q63" s="1292"/>
      <c r="R63" s="1187"/>
      <c r="S63" s="1187"/>
      <c r="T63" s="1187"/>
      <c r="U63" s="1187"/>
      <c r="V63" s="1187"/>
      <c r="W63" s="1187"/>
      <c r="X63" s="1187"/>
      <c r="Y63" s="1187"/>
      <c r="Z63" s="1187"/>
      <c r="AA63" s="1187"/>
      <c r="AB63" s="1187"/>
      <c r="AC63" s="1187"/>
      <c r="AD63" s="1187"/>
    </row>
    <row r="64" spans="1:30" ht="15">
      <c r="A64" s="1318"/>
      <c r="B64" s="1322"/>
      <c r="C64" s="1323">
        <v>100</v>
      </c>
      <c r="D64" s="1323">
        <f>C64-$K16</f>
        <v>100</v>
      </c>
      <c r="E64" s="1323">
        <f>D64-$K16</f>
        <v>100</v>
      </c>
      <c r="F64" s="1323">
        <f>E64-$K16</f>
        <v>100</v>
      </c>
      <c r="G64" s="1323">
        <f>F64-$K16</f>
        <v>100</v>
      </c>
      <c r="H64" s="1323"/>
      <c r="I64" s="1323"/>
      <c r="J64" s="1323"/>
      <c r="K64" s="1323"/>
      <c r="L64" s="1323"/>
      <c r="M64" s="1372"/>
      <c r="N64" s="1368"/>
      <c r="O64" s="1368"/>
      <c r="P64" s="1366"/>
      <c r="Q64" s="1292"/>
      <c r="R64" s="1187"/>
      <c r="S64" s="1187"/>
      <c r="T64" s="1187"/>
      <c r="U64" s="1187"/>
      <c r="V64" s="1187"/>
      <c r="W64" s="1187"/>
      <c r="X64" s="1187"/>
      <c r="Y64" s="1187"/>
      <c r="Z64" s="1187"/>
      <c r="AA64" s="1187"/>
      <c r="AB64" s="1187"/>
      <c r="AC64" s="1187"/>
      <c r="AD64" s="1187"/>
    </row>
    <row r="65" spans="1:30" ht="15">
      <c r="A65" s="1318"/>
      <c r="B65" s="1324" t="s">
        <v>1360</v>
      </c>
      <c r="C65" s="1343" t="s">
        <v>1401</v>
      </c>
      <c r="D65" s="1343" t="s">
        <v>1402</v>
      </c>
      <c r="E65" s="1343" t="s">
        <v>1403</v>
      </c>
      <c r="F65" s="1343" t="s">
        <v>1404</v>
      </c>
      <c r="G65" s="1343" t="s">
        <v>1405</v>
      </c>
      <c r="H65" s="1321"/>
      <c r="I65" s="1321"/>
      <c r="J65" s="1321"/>
      <c r="K65" s="1321"/>
      <c r="L65" s="1321"/>
      <c r="M65" s="1516"/>
      <c r="N65" s="1368"/>
      <c r="O65" s="1368"/>
      <c r="P65" s="1366"/>
      <c r="Q65" s="1292"/>
      <c r="R65" s="1187"/>
      <c r="S65" s="1187"/>
      <c r="T65" s="1187"/>
      <c r="U65" s="1187"/>
      <c r="V65" s="1187"/>
      <c r="W65" s="1187"/>
      <c r="X65" s="1187"/>
      <c r="Y65" s="1187"/>
      <c r="Z65" s="1187"/>
      <c r="AA65" s="1187"/>
      <c r="AB65" s="1187"/>
      <c r="AC65" s="1187"/>
      <c r="AD65" s="1187"/>
    </row>
    <row r="66" spans="1:30" ht="15">
      <c r="A66" s="1318"/>
      <c r="B66" s="1324"/>
      <c r="C66" s="1323">
        <v>100</v>
      </c>
      <c r="D66" s="1323">
        <f>C66-$K18</f>
        <v>100</v>
      </c>
      <c r="E66" s="1323">
        <f>D66-$K18</f>
        <v>100</v>
      </c>
      <c r="F66" s="1323">
        <f>E66-$K18</f>
        <v>100</v>
      </c>
      <c r="G66" s="1323">
        <f>F66-$K18</f>
        <v>100</v>
      </c>
      <c r="H66" s="1343"/>
      <c r="I66" s="1343"/>
      <c r="J66" s="1343"/>
      <c r="K66" s="1343"/>
      <c r="L66" s="1343"/>
      <c r="M66" s="1135"/>
      <c r="N66" s="1368"/>
      <c r="O66" s="1368"/>
      <c r="P66" s="1366"/>
      <c r="Q66" s="1292"/>
      <c r="R66" s="1187"/>
      <c r="S66" s="1187"/>
      <c r="T66" s="1187"/>
      <c r="U66" s="1187"/>
      <c r="V66" s="1187"/>
      <c r="W66" s="1187"/>
      <c r="X66" s="1187"/>
      <c r="Y66" s="1187"/>
      <c r="Z66" s="1187"/>
      <c r="AA66" s="1187"/>
      <c r="AB66" s="1187"/>
      <c r="AC66" s="1187"/>
      <c r="AD66" s="1187"/>
    </row>
    <row r="67" spans="1:30" ht="15">
      <c r="A67" s="1318"/>
      <c r="B67" s="1320" t="s">
        <v>1556</v>
      </c>
      <c r="C67" s="1338" t="s">
        <v>1396</v>
      </c>
      <c r="D67" s="1338" t="s">
        <v>1397</v>
      </c>
      <c r="E67" s="1338" t="s">
        <v>1398</v>
      </c>
      <c r="F67" s="1338" t="s">
        <v>1399</v>
      </c>
      <c r="G67" s="1338" t="s">
        <v>1400</v>
      </c>
      <c r="H67" s="1321"/>
      <c r="I67" s="1321"/>
      <c r="J67" s="1321"/>
      <c r="K67" s="1369"/>
      <c r="L67" s="1370"/>
      <c r="M67" s="1371"/>
      <c r="N67" s="1365"/>
      <c r="O67" s="1365"/>
      <c r="P67" s="1366"/>
      <c r="Q67" s="1292"/>
      <c r="R67" s="1187"/>
      <c r="S67" s="1187"/>
      <c r="T67" s="1187"/>
      <c r="U67" s="1187"/>
      <c r="V67" s="1187"/>
      <c r="W67" s="1187"/>
      <c r="X67" s="1187"/>
      <c r="Y67" s="1187"/>
      <c r="Z67" s="1187"/>
      <c r="AA67" s="1187"/>
      <c r="AB67" s="1187"/>
      <c r="AC67" s="1187"/>
      <c r="AD67" s="1187"/>
    </row>
    <row r="68" spans="1:30" ht="15">
      <c r="A68" s="1318"/>
      <c r="B68" s="1322"/>
      <c r="C68" s="1323">
        <v>100</v>
      </c>
      <c r="D68" s="1323">
        <f>C68-$K20</f>
        <v>100</v>
      </c>
      <c r="E68" s="1323">
        <f>D68-$K20</f>
        <v>100</v>
      </c>
      <c r="F68" s="1323">
        <f>E68-$K20</f>
        <v>100</v>
      </c>
      <c r="G68" s="1323">
        <f>F68-$K20</f>
        <v>100</v>
      </c>
      <c r="H68" s="1323"/>
      <c r="I68" s="1323"/>
      <c r="J68" s="1323"/>
      <c r="K68" s="1323"/>
      <c r="L68" s="1323"/>
      <c r="M68" s="1372"/>
      <c r="N68" s="1368"/>
      <c r="O68" s="1368"/>
      <c r="P68" s="1366"/>
      <c r="Q68" s="1292"/>
      <c r="R68" s="1187"/>
      <c r="S68" s="1187"/>
      <c r="T68" s="1187"/>
      <c r="U68" s="1187"/>
      <c r="V68" s="1187"/>
      <c r="W68" s="1187"/>
      <c r="X68" s="1187"/>
      <c r="Y68" s="1187"/>
      <c r="Z68" s="1187"/>
      <c r="AA68" s="1187"/>
      <c r="AB68" s="1187"/>
      <c r="AC68" s="1187"/>
      <c r="AD68" s="1187"/>
    </row>
    <row r="69" spans="1:30" ht="15">
      <c r="A69" s="1318"/>
      <c r="B69" s="1320" t="s">
        <v>1363</v>
      </c>
      <c r="C69" s="1328"/>
      <c r="D69" s="1328"/>
      <c r="E69" s="1328"/>
      <c r="F69" s="1328"/>
      <c r="G69" s="1328"/>
      <c r="H69" s="1344"/>
      <c r="I69" s="1344"/>
      <c r="J69" s="1344"/>
      <c r="K69" s="1395"/>
      <c r="L69" s="1396"/>
      <c r="M69" s="1397"/>
      <c r="N69" s="1365"/>
      <c r="O69" s="1365"/>
      <c r="P69" s="1366"/>
      <c r="Q69" s="1292"/>
      <c r="R69" s="1187"/>
      <c r="S69" s="1187"/>
      <c r="T69" s="1187"/>
      <c r="U69" s="1187"/>
      <c r="V69" s="1187"/>
      <c r="W69" s="1187"/>
      <c r="X69" s="1187"/>
      <c r="Y69" s="1187"/>
      <c r="Z69" s="1187"/>
      <c r="AA69" s="1187"/>
      <c r="AB69" s="1187"/>
      <c r="AC69" s="1187"/>
      <c r="AD69" s="1187"/>
    </row>
    <row r="70" spans="1:30" ht="15">
      <c r="A70" s="1318"/>
      <c r="B70" s="1322"/>
      <c r="C70" s="1323">
        <v>100</v>
      </c>
      <c r="D70" s="1323">
        <f>C70-$K22</f>
        <v>100</v>
      </c>
      <c r="E70" s="1323"/>
      <c r="F70" s="1323"/>
      <c r="G70" s="1323"/>
      <c r="H70" s="1323"/>
      <c r="I70" s="1323"/>
      <c r="J70" s="1323"/>
      <c r="K70" s="1323"/>
      <c r="L70" s="1323"/>
      <c r="M70" s="1372"/>
      <c r="N70" s="1368"/>
      <c r="O70" s="1368"/>
      <c r="P70" s="1366"/>
      <c r="Q70" s="1292"/>
      <c r="R70" s="1187"/>
      <c r="S70" s="1187"/>
      <c r="T70" s="1187"/>
      <c r="U70" s="1187"/>
      <c r="V70" s="1187"/>
      <c r="W70" s="1187"/>
      <c r="X70" s="1187"/>
      <c r="Y70" s="1187"/>
      <c r="Z70" s="1187"/>
      <c r="AA70" s="1187"/>
      <c r="AB70" s="1187"/>
      <c r="AC70" s="1187"/>
      <c r="AD70" s="1187"/>
    </row>
    <row r="71" spans="1:30" s="1071" customFormat="1" ht="15">
      <c r="A71" s="1339"/>
      <c r="B71" s="1320">
        <f>B23</f>
        <v>111</v>
      </c>
      <c r="C71" s="1118"/>
      <c r="D71" s="1118"/>
      <c r="E71" s="1118"/>
      <c r="F71" s="1118"/>
      <c r="G71" s="1328"/>
      <c r="H71" s="1328"/>
      <c r="I71" s="1328"/>
      <c r="J71" s="1328"/>
      <c r="K71" s="1328"/>
      <c r="L71" s="1517"/>
      <c r="M71" s="1518"/>
      <c r="N71" s="1359"/>
      <c r="O71" s="1359"/>
      <c r="P71" s="1366"/>
      <c r="Q71" s="1292"/>
      <c r="R71" s="1409"/>
      <c r="S71" s="1409"/>
      <c r="T71" s="1409"/>
      <c r="U71" s="1409"/>
      <c r="V71" s="1409"/>
      <c r="W71" s="1409"/>
      <c r="X71" s="1409"/>
      <c r="Y71" s="1409"/>
      <c r="Z71" s="1409"/>
      <c r="AA71" s="1409"/>
      <c r="AB71" s="1409"/>
      <c r="AC71" s="1409"/>
      <c r="AD71" s="1409"/>
    </row>
    <row r="72" spans="1:30" s="1071" customFormat="1" ht="15">
      <c r="A72" s="1339"/>
      <c r="B72" s="1322"/>
      <c r="C72" s="963"/>
      <c r="D72" s="964"/>
      <c r="E72" s="964"/>
      <c r="F72" s="964"/>
      <c r="G72" s="964"/>
      <c r="H72" s="964"/>
      <c r="I72" s="964"/>
      <c r="J72" s="964"/>
      <c r="K72" s="964"/>
      <c r="L72" s="964"/>
      <c r="M72" s="1367"/>
      <c r="N72" s="1368"/>
      <c r="O72" s="1368"/>
      <c r="P72" s="1366"/>
      <c r="Q72" s="1292"/>
      <c r="R72" s="1409"/>
      <c r="S72" s="1409"/>
      <c r="T72" s="1409"/>
      <c r="U72" s="1409"/>
      <c r="V72" s="1409"/>
      <c r="W72" s="1409"/>
      <c r="X72" s="1409"/>
      <c r="Y72" s="1409"/>
      <c r="Z72" s="1409"/>
      <c r="AA72" s="1409"/>
      <c r="AB72" s="1409"/>
      <c r="AC72" s="1409"/>
      <c r="AD72" s="1409"/>
    </row>
    <row r="73" spans="1:30" s="1071" customFormat="1" ht="15">
      <c r="A73" s="1339"/>
      <c r="B73" s="1320">
        <f>B24</f>
        <v>111</v>
      </c>
      <c r="C73" s="1118"/>
      <c r="D73" s="1118"/>
      <c r="E73" s="1118"/>
      <c r="F73" s="1118"/>
      <c r="G73" s="1328"/>
      <c r="H73" s="1328"/>
      <c r="I73" s="1328"/>
      <c r="J73" s="1328"/>
      <c r="K73" s="1328"/>
      <c r="L73" s="1328"/>
      <c r="M73" s="1518"/>
      <c r="N73" s="1359"/>
      <c r="O73" s="1359"/>
      <c r="P73" s="1366"/>
      <c r="Q73" s="1292"/>
      <c r="R73" s="1409"/>
      <c r="S73" s="1409"/>
      <c r="T73" s="1409"/>
      <c r="U73" s="1409"/>
      <c r="V73" s="1409"/>
      <c r="W73" s="1409"/>
      <c r="X73" s="1409"/>
      <c r="Y73" s="1409"/>
      <c r="Z73" s="1409"/>
      <c r="AA73" s="1409"/>
      <c r="AB73" s="1409"/>
      <c r="AC73" s="1409"/>
      <c r="AD73" s="1409"/>
    </row>
    <row r="74" spans="1:30" s="1071" customFormat="1" ht="15">
      <c r="A74" s="1339"/>
      <c r="B74" s="1322"/>
      <c r="C74" s="963"/>
      <c r="D74" s="964"/>
      <c r="E74" s="964"/>
      <c r="F74" s="964"/>
      <c r="G74" s="964"/>
      <c r="H74" s="964"/>
      <c r="I74" s="964"/>
      <c r="J74" s="964"/>
      <c r="K74" s="964"/>
      <c r="L74" s="964"/>
      <c r="M74" s="1367"/>
      <c r="N74" s="1368"/>
      <c r="O74" s="1368"/>
      <c r="P74" s="1366"/>
      <c r="Q74" s="1292"/>
      <c r="R74" s="1409"/>
      <c r="S74" s="1409"/>
      <c r="T74" s="1409"/>
      <c r="U74" s="1409"/>
      <c r="V74" s="1409"/>
      <c r="W74" s="1409"/>
      <c r="X74" s="1409"/>
      <c r="Y74" s="1409"/>
      <c r="Z74" s="1409"/>
      <c r="AA74" s="1409"/>
      <c r="AB74" s="1409"/>
      <c r="AC74" s="1409"/>
      <c r="AD74" s="1409"/>
    </row>
    <row r="75" spans="1:30" s="1073" customFormat="1" ht="15">
      <c r="A75" s="1327"/>
      <c r="B75" s="1320">
        <f>B25</f>
        <v>111</v>
      </c>
      <c r="C75" s="1118"/>
      <c r="D75" s="1118"/>
      <c r="E75" s="1118"/>
      <c r="F75" s="1118"/>
      <c r="G75" s="1328"/>
      <c r="H75" s="1329"/>
      <c r="I75" s="1329"/>
      <c r="J75" s="1329"/>
      <c r="K75" s="1329"/>
      <c r="L75" s="1376"/>
      <c r="M75" s="1377"/>
      <c r="N75" s="1378"/>
      <c r="O75" s="1378"/>
      <c r="P75" s="1379"/>
      <c r="Q75" s="1410"/>
      <c r="R75" s="1411"/>
      <c r="S75" s="1411"/>
      <c r="T75" s="1411"/>
      <c r="U75" s="1411"/>
      <c r="V75" s="1411"/>
      <c r="W75" s="1411"/>
      <c r="X75" s="1411"/>
      <c r="Y75" s="1411"/>
      <c r="Z75" s="1411"/>
      <c r="AA75" s="1411"/>
      <c r="AB75" s="1411"/>
      <c r="AC75" s="1411"/>
      <c r="AD75" s="1411"/>
    </row>
    <row r="76" spans="1:30" s="1073" customFormat="1" ht="15">
      <c r="A76" s="1327"/>
      <c r="B76" s="1322"/>
      <c r="C76" s="963"/>
      <c r="D76" s="963"/>
      <c r="E76" s="963"/>
      <c r="F76" s="963"/>
      <c r="G76" s="964"/>
      <c r="H76" s="964"/>
      <c r="I76" s="964"/>
      <c r="J76" s="964"/>
      <c r="K76" s="964"/>
      <c r="L76" s="964"/>
      <c r="M76" s="1367"/>
      <c r="N76" s="1378"/>
      <c r="O76" s="1378"/>
      <c r="P76" s="1379"/>
      <c r="Q76" s="1410"/>
      <c r="R76" s="1411"/>
      <c r="S76" s="1411"/>
      <c r="T76" s="1411"/>
      <c r="U76" s="1411"/>
      <c r="V76" s="1411"/>
      <c r="W76" s="1411"/>
      <c r="X76" s="1411"/>
      <c r="Y76" s="1411"/>
      <c r="Z76" s="1411"/>
      <c r="AA76" s="1411"/>
      <c r="AB76" s="1411"/>
      <c r="AC76" s="1411"/>
      <c r="AD76" s="1411"/>
    </row>
    <row r="77" spans="1:30">
      <c r="A77" s="1316" t="s">
        <v>1367</v>
      </c>
      <c r="B77" s="1317" t="s">
        <v>1373</v>
      </c>
      <c r="C77" s="1328"/>
      <c r="D77" s="1328"/>
      <c r="E77" s="1260"/>
      <c r="F77" s="1260"/>
      <c r="G77" s="1260"/>
      <c r="H77" s="1260"/>
      <c r="I77" s="1260"/>
      <c r="J77" s="1260"/>
      <c r="K77" s="1362"/>
      <c r="L77" s="1363"/>
      <c r="M77" s="1364"/>
      <c r="N77" s="1365"/>
      <c r="O77" s="1365"/>
      <c r="P77" s="1366"/>
      <c r="Q77" s="1292"/>
      <c r="R77" s="1187"/>
      <c r="S77" s="1187"/>
      <c r="T77" s="1187"/>
      <c r="U77" s="1187"/>
      <c r="V77" s="1187"/>
      <c r="W77" s="1187"/>
      <c r="X77" s="1187"/>
      <c r="Y77" s="1187"/>
      <c r="Z77" s="1187"/>
      <c r="AA77" s="1187"/>
      <c r="AB77" s="1187"/>
      <c r="AC77" s="1187"/>
      <c r="AD77" s="1187"/>
    </row>
    <row r="78" spans="1:30" ht="15">
      <c r="A78" s="1318"/>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2">
        <f t="shared" si="17"/>
        <v>100</v>
      </c>
      <c r="N78" s="1368"/>
      <c r="O78" s="1368"/>
      <c r="P78" s="1366"/>
      <c r="Q78" s="1292"/>
      <c r="R78" s="1187"/>
      <c r="S78" s="1187"/>
      <c r="T78" s="1187"/>
      <c r="U78" s="1187"/>
      <c r="V78" s="1187"/>
      <c r="W78" s="1187"/>
      <c r="X78" s="1187"/>
      <c r="Y78" s="1187"/>
      <c r="Z78" s="1187"/>
      <c r="AA78" s="1187"/>
      <c r="AB78" s="1187"/>
      <c r="AC78" s="1187"/>
      <c r="AD78" s="1187"/>
    </row>
    <row r="79" spans="1:30" ht="15">
      <c r="A79" s="1318"/>
      <c r="B79" s="1320" t="s">
        <v>1599</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1"/>
      <c r="J79" s="1321"/>
      <c r="K79" s="1369"/>
      <c r="L79" s="1370"/>
      <c r="M79" s="1371"/>
      <c r="N79" s="1359"/>
      <c r="O79" s="1359"/>
      <c r="P79" s="1366"/>
      <c r="Q79" s="1292"/>
      <c r="R79" s="1187"/>
      <c r="S79" s="1187"/>
      <c r="T79" s="1187"/>
      <c r="U79" s="1187"/>
      <c r="V79" s="1187"/>
      <c r="W79" s="1187"/>
      <c r="X79" s="1187"/>
      <c r="Y79" s="1187"/>
      <c r="Z79" s="1187"/>
      <c r="AA79" s="1187"/>
      <c r="AB79" s="1187"/>
      <c r="AC79" s="1187"/>
      <c r="AD79" s="1187"/>
    </row>
    <row r="80" spans="1:30" ht="15">
      <c r="A80" s="1318"/>
      <c r="B80" s="1324"/>
      <c r="C80" s="841">
        <v>0.5</v>
      </c>
      <c r="D80" s="841">
        <v>0.6</v>
      </c>
      <c r="E80" s="841">
        <v>0.7</v>
      </c>
      <c r="F80" s="841">
        <v>0.8</v>
      </c>
      <c r="G80" s="841">
        <v>0.9</v>
      </c>
      <c r="H80" s="841">
        <v>1.0001</v>
      </c>
      <c r="I80" s="1343"/>
      <c r="J80" s="1343"/>
      <c r="K80" s="1519"/>
      <c r="L80" s="1520"/>
      <c r="M80" s="1521"/>
      <c r="N80" s="1359"/>
      <c r="O80" s="1359"/>
      <c r="P80" s="1366"/>
      <c r="Q80" s="1292"/>
      <c r="R80" s="1187"/>
      <c r="S80" s="1187"/>
      <c r="T80" s="1187"/>
      <c r="U80" s="1187"/>
      <c r="V80" s="1187"/>
      <c r="W80" s="1187"/>
      <c r="X80" s="1187"/>
      <c r="Y80" s="1187"/>
      <c r="Z80" s="1187"/>
      <c r="AA80" s="1187"/>
      <c r="AB80" s="1187"/>
      <c r="AC80" s="1187"/>
      <c r="AD80" s="1187"/>
    </row>
    <row r="81" spans="1:30" s="1073" customFormat="1" ht="15">
      <c r="A81" s="1327"/>
      <c r="B81" s="1322"/>
      <c r="C81" s="1340">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4" t="s">
        <v>1600</v>
      </c>
      <c r="C82" s="1328"/>
      <c r="D82" s="1328"/>
      <c r="E82" s="1344"/>
      <c r="F82" s="1344"/>
      <c r="G82" s="1344"/>
      <c r="H82" s="1344"/>
      <c r="I82" s="1344"/>
      <c r="J82" s="1344"/>
      <c r="K82" s="1395"/>
      <c r="L82" s="1396"/>
      <c r="M82" s="1397"/>
      <c r="N82" s="1365"/>
      <c r="O82" s="1365"/>
      <c r="P82" s="1366"/>
      <c r="Q82" s="1292"/>
      <c r="R82" s="1187"/>
      <c r="S82" s="1187"/>
      <c r="T82" s="1187"/>
      <c r="U82" s="1187"/>
      <c r="V82" s="1187"/>
      <c r="W82" s="1187"/>
      <c r="X82" s="1187"/>
      <c r="Y82" s="1187"/>
      <c r="Z82" s="1187"/>
      <c r="AA82" s="1187"/>
      <c r="AB82" s="1187"/>
      <c r="AC82" s="1187"/>
      <c r="AD82" s="1187"/>
    </row>
    <row r="83" spans="1:30" ht="15">
      <c r="A83" s="1318"/>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2">
        <f t="shared" si="19"/>
        <v>100</v>
      </c>
      <c r="N83" s="1368"/>
      <c r="O83" s="1368"/>
      <c r="P83" s="1366"/>
      <c r="Q83" s="1292"/>
      <c r="R83" s="1187"/>
      <c r="S83" s="1187"/>
      <c r="T83" s="1187"/>
      <c r="U83" s="1187"/>
      <c r="V83" s="1187"/>
      <c r="W83" s="1187"/>
      <c r="X83" s="1187"/>
      <c r="Y83" s="1187"/>
      <c r="Z83" s="1187"/>
      <c r="AA83" s="1187"/>
      <c r="AB83" s="1187"/>
      <c r="AC83" s="1187"/>
      <c r="AD83" s="1187"/>
    </row>
    <row r="84" spans="1:30">
      <c r="A84" s="1350"/>
      <c r="B84" s="1320" t="s">
        <v>1609</v>
      </c>
      <c r="C84" s="1328"/>
      <c r="D84" s="1328"/>
      <c r="E84" s="1328"/>
      <c r="F84" s="1328"/>
      <c r="G84" s="1328"/>
      <c r="H84" s="1328"/>
      <c r="I84" s="1344"/>
      <c r="J84" s="1344"/>
      <c r="K84" s="1395"/>
      <c r="L84" s="1396"/>
      <c r="M84" s="1397"/>
      <c r="N84" s="1365"/>
      <c r="O84" s="1365"/>
      <c r="P84" s="1366"/>
      <c r="Q84" s="1292"/>
      <c r="R84" s="1187"/>
      <c r="S84" s="1187"/>
      <c r="T84" s="1187"/>
      <c r="U84" s="1187"/>
      <c r="V84" s="1187"/>
      <c r="W84" s="1187"/>
      <c r="X84" s="1187"/>
      <c r="Y84" s="1187"/>
      <c r="Z84" s="1187"/>
      <c r="AA84" s="1187"/>
      <c r="AB84" s="1187"/>
      <c r="AC84" s="1187"/>
      <c r="AD84" s="1187"/>
    </row>
    <row r="85" spans="1:30" ht="15">
      <c r="A85" s="1318"/>
      <c r="B85" s="1322"/>
      <c r="C85" s="1340">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8"/>
      <c r="O85" s="1368"/>
      <c r="P85" s="1366"/>
      <c r="Q85" s="1292"/>
      <c r="R85" s="1187"/>
      <c r="S85" s="1187"/>
      <c r="T85" s="1187"/>
      <c r="U85" s="1187"/>
      <c r="V85" s="1187"/>
      <c r="W85" s="1187"/>
      <c r="X85" s="1187"/>
      <c r="Y85" s="1187"/>
      <c r="Z85" s="1187"/>
      <c r="AA85" s="1187"/>
      <c r="AB85" s="1187"/>
      <c r="AC85" s="1187"/>
      <c r="AD85" s="1187"/>
    </row>
    <row r="86" spans="1:30">
      <c r="A86" s="1350"/>
      <c r="B86" s="1324" t="s">
        <v>597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92"/>
      <c r="R86" s="1187"/>
      <c r="S86" s="1187"/>
      <c r="T86" s="1187"/>
      <c r="U86" s="1187"/>
      <c r="V86" s="1187"/>
      <c r="W86" s="1187"/>
      <c r="X86" s="1187"/>
      <c r="Y86" s="1187"/>
      <c r="Z86" s="1187"/>
      <c r="AA86" s="1187"/>
      <c r="AB86" s="1187"/>
      <c r="AC86" s="1187"/>
      <c r="AD86" s="1187"/>
    </row>
    <row r="87" spans="1:30">
      <c r="A87" s="1350"/>
      <c r="B87" s="1324"/>
      <c r="C87" s="959"/>
      <c r="D87" s="959"/>
      <c r="E87" s="959"/>
      <c r="F87" s="959"/>
      <c r="G87" s="959"/>
      <c r="H87" s="959"/>
      <c r="I87" s="959"/>
      <c r="J87" s="1402"/>
      <c r="K87" s="1402"/>
      <c r="L87" s="1403"/>
      <c r="M87" s="1404"/>
      <c r="N87" s="1365"/>
      <c r="O87" s="1365"/>
      <c r="P87" s="1366"/>
      <c r="Q87" s="1292"/>
      <c r="R87" s="1187"/>
      <c r="S87" s="1187"/>
      <c r="T87" s="1187"/>
      <c r="U87" s="1187"/>
      <c r="V87" s="1187"/>
      <c r="W87" s="1187"/>
      <c r="X87" s="1187"/>
      <c r="Y87" s="1187"/>
      <c r="Z87" s="1187"/>
      <c r="AA87" s="1187"/>
      <c r="AB87" s="1187"/>
      <c r="AC87" s="1187"/>
      <c r="AD87" s="1187"/>
    </row>
    <row r="88" spans="1:30" ht="15">
      <c r="A88" s="1318"/>
      <c r="B88" s="1322"/>
      <c r="C88" s="963"/>
      <c r="D88" s="964"/>
      <c r="E88" s="964"/>
      <c r="F88" s="964"/>
      <c r="G88" s="964"/>
      <c r="H88" s="964"/>
      <c r="I88" s="964"/>
      <c r="J88" s="964"/>
      <c r="K88" s="964"/>
      <c r="L88" s="964"/>
      <c r="M88" s="964"/>
      <c r="N88" s="1368"/>
      <c r="O88" s="1368"/>
      <c r="P88" s="1366"/>
      <c r="Q88" s="1292"/>
      <c r="R88" s="1187"/>
      <c r="S88" s="1187"/>
      <c r="T88" s="1187"/>
      <c r="U88" s="1187"/>
      <c r="V88" s="1187"/>
      <c r="W88" s="1187"/>
      <c r="X88" s="1187"/>
      <c r="Y88" s="1187"/>
      <c r="Z88" s="1187"/>
      <c r="AA88" s="1187"/>
      <c r="AB88" s="1187"/>
      <c r="AC88" s="1187"/>
      <c r="AD88" s="1187"/>
    </row>
    <row r="89" spans="1:30" s="1073" customFormat="1">
      <c r="A89" s="1347"/>
      <c r="B89" s="1320" t="s">
        <v>1610</v>
      </c>
      <c r="C89" s="1328"/>
      <c r="D89" s="1328"/>
      <c r="E89" s="1328"/>
      <c r="F89" s="1328"/>
      <c r="G89" s="1328"/>
      <c r="H89" s="1328"/>
      <c r="I89" s="1328"/>
      <c r="J89" s="1328"/>
      <c r="K89" s="1328"/>
      <c r="L89" s="1328"/>
      <c r="M89" s="1518"/>
      <c r="N89" s="1378"/>
      <c r="O89" s="1378"/>
      <c r="P89" s="1379"/>
      <c r="Q89" s="1410"/>
      <c r="R89" s="1411"/>
      <c r="S89" s="1411"/>
      <c r="T89" s="1411"/>
      <c r="U89" s="1411"/>
      <c r="V89" s="1411"/>
      <c r="W89" s="1411"/>
      <c r="X89" s="1411"/>
      <c r="Y89" s="1411"/>
      <c r="Z89" s="1411"/>
      <c r="AA89" s="1411"/>
      <c r="AB89" s="1411"/>
      <c r="AC89" s="1411"/>
      <c r="AD89" s="1411"/>
    </row>
    <row r="90" spans="1:30" s="1073" customFormat="1" ht="15">
      <c r="A90" s="1327"/>
      <c r="B90" s="1322"/>
      <c r="C90" s="963"/>
      <c r="D90" s="964"/>
      <c r="E90" s="964"/>
      <c r="F90" s="964"/>
      <c r="G90" s="964"/>
      <c r="H90" s="964"/>
      <c r="I90" s="964"/>
      <c r="J90" s="964"/>
      <c r="K90" s="964"/>
      <c r="L90" s="964"/>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20">
        <f>B32</f>
        <v>111</v>
      </c>
      <c r="C91" s="1118"/>
      <c r="D91" s="1118"/>
      <c r="E91" s="1118"/>
      <c r="F91" s="1118"/>
      <c r="G91" s="1328"/>
      <c r="H91" s="1329"/>
      <c r="I91" s="1329"/>
      <c r="J91" s="1329"/>
      <c r="K91" s="1329"/>
      <c r="L91" s="1376"/>
      <c r="M91" s="1377"/>
      <c r="N91" s="1365"/>
      <c r="O91" s="1365"/>
      <c r="P91" s="1366"/>
      <c r="Q91" s="1292"/>
      <c r="R91" s="1187"/>
      <c r="S91" s="1187"/>
      <c r="T91" s="1187"/>
      <c r="U91" s="1187"/>
      <c r="V91" s="1187"/>
      <c r="W91" s="1187"/>
      <c r="X91" s="1187"/>
      <c r="Y91" s="1187"/>
      <c r="Z91" s="1187"/>
      <c r="AA91" s="1187"/>
      <c r="AB91" s="1187"/>
      <c r="AC91" s="1187"/>
      <c r="AD91" s="1187"/>
    </row>
    <row r="92" spans="1:30" ht="15">
      <c r="A92" s="1318"/>
      <c r="B92" s="1322"/>
      <c r="C92" s="963"/>
      <c r="D92" s="964"/>
      <c r="E92" s="964"/>
      <c r="F92" s="964"/>
      <c r="G92" s="963"/>
      <c r="H92" s="1330"/>
      <c r="I92" s="1330"/>
      <c r="J92" s="1330"/>
      <c r="K92" s="1330"/>
      <c r="L92" s="1330"/>
      <c r="M92" s="1380"/>
      <c r="N92" s="1368"/>
      <c r="O92" s="1368"/>
      <c r="P92" s="1366"/>
      <c r="Q92" s="1292"/>
      <c r="R92" s="1187"/>
      <c r="S92" s="1187"/>
      <c r="T92" s="1187"/>
      <c r="U92" s="1187"/>
      <c r="V92" s="1187"/>
      <c r="W92" s="1187"/>
      <c r="X92" s="1187"/>
      <c r="Y92" s="1187"/>
      <c r="Z92" s="1187"/>
      <c r="AA92" s="1187"/>
      <c r="AB92" s="1187"/>
      <c r="AC92" s="1187"/>
      <c r="AD92" s="1187"/>
    </row>
    <row r="93" spans="1:30">
      <c r="A93" s="1350"/>
      <c r="B93" s="1320">
        <f>B33</f>
        <v>111</v>
      </c>
      <c r="C93" s="1118"/>
      <c r="D93" s="1118"/>
      <c r="E93" s="1118"/>
      <c r="F93" s="1118"/>
      <c r="G93" s="1328"/>
      <c r="H93" s="1329"/>
      <c r="I93" s="1329"/>
      <c r="J93" s="1329"/>
      <c r="K93" s="1329"/>
      <c r="L93" s="1376"/>
      <c r="M93" s="1377"/>
      <c r="N93" s="1365"/>
      <c r="O93" s="1365"/>
      <c r="P93" s="1366"/>
      <c r="Q93" s="1292"/>
      <c r="R93" s="1187"/>
      <c r="S93" s="1187"/>
      <c r="T93" s="1187"/>
      <c r="U93" s="1187"/>
      <c r="V93" s="1187"/>
      <c r="W93" s="1187"/>
      <c r="X93" s="1187"/>
      <c r="Y93" s="1187"/>
      <c r="Z93" s="1187"/>
      <c r="AA93" s="1187"/>
      <c r="AB93" s="1187"/>
      <c r="AC93" s="1187"/>
      <c r="AD93" s="1187"/>
    </row>
    <row r="94" spans="1:30" ht="15">
      <c r="A94" s="1318"/>
      <c r="B94" s="1322"/>
      <c r="C94" s="963"/>
      <c r="D94" s="964"/>
      <c r="E94" s="964"/>
      <c r="F94" s="964"/>
      <c r="G94" s="963"/>
      <c r="H94" s="1330"/>
      <c r="I94" s="1330"/>
      <c r="J94" s="1330"/>
      <c r="K94" s="1330"/>
      <c r="L94" s="1330"/>
      <c r="M94" s="1380"/>
      <c r="N94" s="1368"/>
      <c r="O94" s="1368"/>
      <c r="P94" s="1366"/>
      <c r="Q94" s="1292"/>
      <c r="R94" s="1187"/>
      <c r="S94" s="1187"/>
      <c r="T94" s="1187"/>
      <c r="U94" s="1187"/>
      <c r="V94" s="1187"/>
      <c r="W94" s="1187"/>
      <c r="X94" s="1187"/>
      <c r="Y94" s="1187"/>
      <c r="Z94" s="1187"/>
      <c r="AA94" s="1187"/>
      <c r="AB94" s="1187"/>
      <c r="AC94" s="1187"/>
      <c r="AD94" s="1187"/>
    </row>
    <row r="95" spans="1:30">
      <c r="A95" s="1350"/>
      <c r="B95" s="1514">
        <f>B34</f>
        <v>111</v>
      </c>
      <c r="C95" s="1118"/>
      <c r="D95" s="1118"/>
      <c r="E95" s="1118"/>
      <c r="F95" s="1118"/>
      <c r="G95" s="1328"/>
      <c r="H95" s="1329"/>
      <c r="I95" s="1329"/>
      <c r="J95" s="1329"/>
      <c r="K95" s="1329"/>
      <c r="L95" s="1376"/>
      <c r="M95" s="1377"/>
      <c r="N95" s="1368"/>
      <c r="O95" s="1368"/>
      <c r="P95" s="1522"/>
      <c r="Q95" s="1525"/>
      <c r="R95" s="1187"/>
      <c r="S95" s="1187"/>
      <c r="T95" s="1187"/>
      <c r="U95" s="1187"/>
      <c r="V95" s="1187"/>
      <c r="W95" s="1187"/>
      <c r="X95" s="1187"/>
      <c r="Y95" s="1187"/>
      <c r="Z95" s="1187"/>
      <c r="AA95" s="1187"/>
      <c r="AB95" s="1187"/>
      <c r="AC95" s="1187"/>
      <c r="AD95" s="1187"/>
    </row>
    <row r="96" spans="1:30" ht="15">
      <c r="A96" s="1318"/>
      <c r="B96" s="1322"/>
      <c r="C96" s="963"/>
      <c r="D96" s="963"/>
      <c r="E96" s="963"/>
      <c r="F96" s="963"/>
      <c r="G96" s="963"/>
      <c r="H96" s="1330"/>
      <c r="I96" s="1330"/>
      <c r="J96" s="1330"/>
      <c r="K96" s="1330"/>
      <c r="L96" s="1330"/>
      <c r="M96" s="1380"/>
      <c r="N96" s="1368"/>
      <c r="O96" s="1368"/>
      <c r="P96" s="1366"/>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15"/>
      <c r="B98" s="1515"/>
      <c r="C98" s="1515"/>
      <c r="D98" s="1515"/>
      <c r="E98" s="1515"/>
      <c r="F98" s="1515"/>
      <c r="G98" s="1515"/>
      <c r="H98" s="1515"/>
      <c r="I98" s="1515"/>
      <c r="J98" s="1515"/>
      <c r="K98" s="1523"/>
      <c r="L98" s="1524"/>
      <c r="M98" s="1515"/>
      <c r="N98" s="1187"/>
      <c r="O98" s="1187"/>
      <c r="P98" s="1187"/>
      <c r="Q98" s="1187"/>
      <c r="R98" s="1187"/>
      <c r="S98" s="1187"/>
      <c r="T98" s="1187"/>
      <c r="U98" s="1187"/>
      <c r="V98" s="1187"/>
      <c r="W98" s="1187"/>
      <c r="X98" s="1187"/>
      <c r="Y98" s="1187"/>
      <c r="Z98" s="1187"/>
      <c r="AA98" s="1187"/>
      <c r="AB98" s="1187"/>
      <c r="AC98" s="1187"/>
      <c r="AD98" s="1187"/>
    </row>
    <row r="99" spans="1:30">
      <c r="A99" s="1515"/>
      <c r="B99" s="1515"/>
      <c r="C99" s="1515"/>
      <c r="D99" s="1515"/>
      <c r="E99" s="1515"/>
      <c r="F99" s="1515"/>
      <c r="G99" s="1515"/>
      <c r="H99" s="1515"/>
      <c r="I99" s="1515"/>
      <c r="J99" s="1515"/>
      <c r="K99" s="1523"/>
      <c r="L99" s="1524"/>
      <c r="M99" s="1515"/>
      <c r="N99" s="1187"/>
      <c r="O99" s="1187"/>
      <c r="P99" s="1187"/>
      <c r="Q99" s="1187"/>
      <c r="R99" s="1187"/>
      <c r="S99" s="1187"/>
      <c r="T99" s="1187"/>
      <c r="U99" s="1187"/>
      <c r="V99" s="1187"/>
      <c r="W99" s="1187"/>
      <c r="X99" s="1187"/>
      <c r="Y99" s="1187"/>
      <c r="Z99" s="1187"/>
      <c r="AA99" s="1187"/>
      <c r="AB99" s="1187"/>
      <c r="AC99" s="1187"/>
      <c r="AD99" s="1187"/>
    </row>
    <row r="100" spans="1:30">
      <c r="A100" s="1515"/>
      <c r="B100" s="1515"/>
      <c r="C100" s="1515"/>
      <c r="D100" s="1515"/>
      <c r="E100" s="1515"/>
      <c r="F100" s="1515"/>
      <c r="G100" s="1515"/>
      <c r="H100" s="1515"/>
      <c r="I100" s="1515"/>
      <c r="J100" s="1515"/>
      <c r="K100" s="1523"/>
      <c r="L100" s="1524"/>
      <c r="M100" s="1515"/>
      <c r="N100" s="1187"/>
      <c r="O100" s="1187"/>
      <c r="P100" s="1187"/>
      <c r="Q100" s="1187"/>
      <c r="R100" s="1187"/>
      <c r="S100" s="1187"/>
      <c r="T100" s="1187"/>
      <c r="U100" s="1187"/>
      <c r="V100" s="1187"/>
      <c r="W100" s="1187"/>
      <c r="X100" s="1187"/>
      <c r="Y100" s="1187"/>
      <c r="Z100" s="1187"/>
      <c r="AA100" s="1187"/>
      <c r="AB100" s="1187"/>
      <c r="AC100" s="1187"/>
      <c r="AD100" s="1187"/>
    </row>
    <row r="101" spans="1:30">
      <c r="A101" s="1515"/>
      <c r="B101" s="1515"/>
      <c r="C101" s="1515"/>
      <c r="D101" s="1515"/>
      <c r="E101" s="1515"/>
      <c r="F101" s="1515"/>
      <c r="G101" s="1515"/>
      <c r="H101" s="1515"/>
      <c r="I101" s="1515"/>
      <c r="J101" s="1515"/>
      <c r="K101" s="1523"/>
      <c r="L101" s="1524"/>
      <c r="M101" s="1515"/>
      <c r="N101" s="1187"/>
      <c r="O101" s="1187"/>
      <c r="P101" s="1187"/>
      <c r="Q101" s="1187"/>
      <c r="R101" s="1187"/>
      <c r="S101" s="1187"/>
      <c r="T101" s="1187"/>
      <c r="U101" s="1187"/>
      <c r="V101" s="1187"/>
      <c r="W101" s="1187"/>
      <c r="X101" s="1187"/>
      <c r="Y101" s="1187"/>
      <c r="Z101" s="1187"/>
      <c r="AA101" s="1187"/>
      <c r="AB101" s="1187"/>
      <c r="AC101" s="1187"/>
      <c r="AD101" s="1187"/>
    </row>
    <row r="102" spans="1:30">
      <c r="A102" s="1515"/>
      <c r="B102" s="1515"/>
      <c r="C102" s="1515"/>
      <c r="D102" s="1515"/>
      <c r="E102" s="1515"/>
      <c r="F102" s="1515"/>
      <c r="G102" s="1515"/>
      <c r="H102" s="1515"/>
      <c r="I102" s="1515"/>
      <c r="J102" s="1515"/>
      <c r="K102" s="1523"/>
      <c r="L102" s="1524"/>
      <c r="M102" s="1515"/>
      <c r="N102" s="1187"/>
      <c r="O102" s="1187"/>
      <c r="P102" s="1187"/>
      <c r="Q102" s="1187"/>
      <c r="R102" s="1187"/>
      <c r="S102" s="1187"/>
      <c r="T102" s="1187"/>
      <c r="U102" s="1187"/>
      <c r="V102" s="1187"/>
      <c r="W102" s="1187"/>
      <c r="X102" s="1187"/>
      <c r="Y102" s="1187"/>
      <c r="Z102" s="1187"/>
      <c r="AA102" s="1187"/>
      <c r="AB102" s="1187"/>
      <c r="AC102" s="1187"/>
      <c r="AD102" s="1187"/>
    </row>
    <row r="103" spans="1:30">
      <c r="A103" s="1515"/>
      <c r="B103" s="1515"/>
      <c r="C103" s="1515"/>
      <c r="D103" s="1515"/>
      <c r="E103" s="1515"/>
      <c r="F103" s="1515"/>
      <c r="G103" s="1515"/>
      <c r="H103" s="1515"/>
      <c r="I103" s="1515"/>
      <c r="J103" s="1515"/>
      <c r="K103" s="1523"/>
      <c r="L103" s="1524"/>
      <c r="M103" s="1515"/>
      <c r="N103" s="1515"/>
      <c r="O103" s="1515"/>
      <c r="P103" s="1187"/>
      <c r="Q103" s="1187"/>
      <c r="R103" s="1187"/>
      <c r="S103" s="1187"/>
      <c r="T103" s="1187"/>
      <c r="U103" s="1187"/>
      <c r="V103" s="1187"/>
      <c r="W103" s="1187"/>
      <c r="X103" s="1187"/>
      <c r="Y103" s="1187"/>
      <c r="Z103" s="1187"/>
      <c r="AA103" s="1187"/>
      <c r="AB103" s="1187"/>
      <c r="AC103" s="1187"/>
      <c r="AD103" s="1187"/>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1612</v>
      </c>
      <c r="B1" s="1081"/>
      <c r="C1" s="1082" t="s">
        <v>1613</v>
      </c>
      <c r="D1" s="1083"/>
      <c r="E1" s="1083"/>
      <c r="F1" s="1084" t="s">
        <v>1329</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38"/>
    </row>
    <row r="2" spans="1:30" s="1070" customFormat="1" ht="28.5" customHeight="1">
      <c r="A2" s="378" t="s">
        <v>982</v>
      </c>
      <c r="B2" s="1085" t="e">
        <f>F65</f>
        <v>#DIV/0!</v>
      </c>
      <c r="C2" s="1413"/>
      <c r="D2" s="1413"/>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38"/>
    </row>
    <row r="3" spans="1:30" s="1070" customFormat="1" ht="28.5" customHeight="1">
      <c r="A3" s="381" t="s">
        <v>984</v>
      </c>
      <c r="B3" s="1088" t="e">
        <f>ROUND(IF(D3="",B2*10000/'数据-汇总表'!E3,B2*10000/D3),0)</f>
        <v>#DIV/0!</v>
      </c>
      <c r="C3" s="381" t="s">
        <v>1330</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1331</v>
      </c>
      <c r="B4" s="1091"/>
      <c r="C4" s="3626" t="s">
        <v>1332</v>
      </c>
      <c r="D4" s="3627"/>
      <c r="E4" s="3628" t="s">
        <v>1333</v>
      </c>
      <c r="F4" s="3629"/>
      <c r="G4" s="3626" t="s">
        <v>1334</v>
      </c>
      <c r="H4" s="3627"/>
      <c r="I4" s="3626" t="s">
        <v>1335</v>
      </c>
      <c r="J4" s="3627"/>
      <c r="K4" s="1237" t="s">
        <v>1336</v>
      </c>
      <c r="L4" s="1238"/>
      <c r="M4" s="1239"/>
      <c r="N4" s="1239"/>
      <c r="O4" s="1239"/>
      <c r="P4" s="3704" t="s">
        <v>1337</v>
      </c>
      <c r="Q4" s="3705"/>
      <c r="R4" s="3708" t="s">
        <v>1333</v>
      </c>
      <c r="S4" s="3709"/>
      <c r="T4" s="3708" t="s">
        <v>1334</v>
      </c>
      <c r="U4" s="3709"/>
      <c r="V4" s="3676" t="s">
        <v>1335</v>
      </c>
      <c r="W4" s="3676"/>
      <c r="X4" s="1281"/>
      <c r="Y4" s="3708" t="s">
        <v>1337</v>
      </c>
      <c r="Z4" s="3709"/>
      <c r="AA4" s="3703" t="s">
        <v>1333</v>
      </c>
      <c r="AB4" s="3658" t="s">
        <v>1334</v>
      </c>
      <c r="AC4" s="3703" t="s">
        <v>1335</v>
      </c>
    </row>
    <row r="5" spans="1:30" ht="15">
      <c r="A5" s="1092"/>
      <c r="B5" s="1093"/>
      <c r="C5" s="3630" t="s">
        <v>1338</v>
      </c>
      <c r="D5" s="3631"/>
      <c r="E5" s="3698" t="s">
        <v>1552</v>
      </c>
      <c r="F5" s="3633"/>
      <c r="G5" s="3630" t="s">
        <v>1553</v>
      </c>
      <c r="H5" s="3631"/>
      <c r="I5" s="3630" t="s">
        <v>1554</v>
      </c>
      <c r="J5" s="3631"/>
      <c r="K5" s="1237"/>
      <c r="L5" s="1238"/>
      <c r="M5" s="1239"/>
      <c r="N5" s="1239"/>
      <c r="O5" s="1239"/>
      <c r="P5" s="3706"/>
      <c r="Q5" s="3666"/>
      <c r="R5" s="3671"/>
      <c r="S5" s="3672"/>
      <c r="T5" s="3671"/>
      <c r="U5" s="3672"/>
      <c r="V5" s="3676"/>
      <c r="W5" s="3676"/>
      <c r="X5" s="1281"/>
      <c r="Y5" s="3671"/>
      <c r="Z5" s="3672"/>
      <c r="AA5" s="3658"/>
      <c r="AB5" s="3658"/>
      <c r="AC5" s="3658"/>
    </row>
    <row r="6" spans="1:30" ht="15">
      <c r="A6" s="1094"/>
      <c r="B6" s="1095"/>
      <c r="C6" s="3634" t="s">
        <v>1339</v>
      </c>
      <c r="D6" s="3635"/>
      <c r="E6" s="3699" t="s">
        <v>1339</v>
      </c>
      <c r="F6" s="3637"/>
      <c r="G6" s="3634" t="s">
        <v>1339</v>
      </c>
      <c r="H6" s="3635"/>
      <c r="I6" s="3634" t="s">
        <v>1339</v>
      </c>
      <c r="J6" s="3635"/>
      <c r="K6" s="1237" t="s">
        <v>1340</v>
      </c>
      <c r="L6" s="1238"/>
      <c r="M6" s="1239"/>
      <c r="N6" s="1239"/>
      <c r="O6" s="1239"/>
      <c r="P6" s="3707"/>
      <c r="Q6" s="3668"/>
      <c r="R6" s="3671"/>
      <c r="S6" s="3672"/>
      <c r="T6" s="3673"/>
      <c r="U6" s="3674"/>
      <c r="V6" s="3676"/>
      <c r="W6" s="3676"/>
      <c r="X6" s="1281"/>
      <c r="Y6" s="3673"/>
      <c r="Z6" s="3674"/>
      <c r="AA6" s="3659"/>
      <c r="AB6" s="3659"/>
      <c r="AC6" s="3659"/>
    </row>
    <row r="7" spans="1:30" s="1071" customFormat="1" ht="15">
      <c r="A7" s="1096" t="s">
        <v>1341</v>
      </c>
      <c r="B7" s="1097"/>
      <c r="C7" s="1098">
        <f>'数据-取费表'!B2</f>
        <v>45218</v>
      </c>
      <c r="D7" s="1099">
        <v>100</v>
      </c>
      <c r="E7" s="1100"/>
      <c r="F7" s="1101">
        <f>SUMIF(69:69,YEAR(E7)&amp;"-"&amp;INT((MONTH(E7)+2)/3),70:70)</f>
        <v>0</v>
      </c>
      <c r="G7" s="1102"/>
      <c r="H7" s="1099">
        <f>SUMIF(69:69,YEAR(G7)&amp;"-"&amp;INT((MONTH(G7)+2)/3),70:70)</f>
        <v>0</v>
      </c>
      <c r="I7" s="1102"/>
      <c r="J7" s="1099">
        <f>SUMIF(69:69,YEAR(I7)&amp;"-"&amp;INT((MONTH(I7)+2)/3),70:70)</f>
        <v>0</v>
      </c>
      <c r="K7" s="1240"/>
      <c r="L7" s="1241"/>
      <c r="M7" s="1242"/>
      <c r="N7" s="1242"/>
      <c r="O7" s="1242"/>
      <c r="P7" s="3640" t="s">
        <v>1342</v>
      </c>
      <c r="Q7" s="3639"/>
      <c r="R7" s="1282" t="s">
        <v>1343</v>
      </c>
      <c r="S7" s="1283">
        <f t="shared" ref="S7:S15" si="0">F7</f>
        <v>0</v>
      </c>
      <c r="T7" s="1282" t="s">
        <v>1343</v>
      </c>
      <c r="U7" s="1283">
        <f t="shared" ref="U7:U15" si="1">H7</f>
        <v>0</v>
      </c>
      <c r="V7" s="1282" t="s">
        <v>1343</v>
      </c>
      <c r="W7" s="1283">
        <f t="shared" ref="W7:W15" si="2">J7</f>
        <v>0</v>
      </c>
      <c r="X7" s="1284"/>
      <c r="Y7" s="3640" t="s">
        <v>1342</v>
      </c>
      <c r="Z7" s="3641"/>
      <c r="AA7" s="1296" t="e">
        <f>D7/F7</f>
        <v>#DIV/0!</v>
      </c>
      <c r="AB7" s="1296" t="e">
        <f>D7/H7</f>
        <v>#DIV/0!</v>
      </c>
      <c r="AC7" s="1296" t="e">
        <f>D7/J7</f>
        <v>#DIV/0!</v>
      </c>
    </row>
    <row r="8" spans="1:30" s="1071" customFormat="1" ht="15">
      <c r="A8" s="1096" t="s">
        <v>1344</v>
      </c>
      <c r="B8" s="1097"/>
      <c r="C8" s="1103" t="s">
        <v>1394</v>
      </c>
      <c r="D8" s="1099">
        <v>100</v>
      </c>
      <c r="E8" s="1103"/>
      <c r="F8" s="1101">
        <f>SUMIF(72:72,E8,73:73)-SUMIF(72:72,C8,73:73)+100</f>
        <v>0</v>
      </c>
      <c r="G8" s="1103"/>
      <c r="H8" s="1099">
        <f>SUMIF(72:72,G8,73:73)-SUMIF(72:72,C8,73:73)+100</f>
        <v>0</v>
      </c>
      <c r="I8" s="1103"/>
      <c r="J8" s="1099">
        <f>SUMIF(72:72,I8,73:73)-SUMIF(72:72,C8,73:73)+100</f>
        <v>0</v>
      </c>
      <c r="K8" s="1240"/>
      <c r="L8" s="1241"/>
      <c r="M8" s="1242"/>
      <c r="N8" s="1242"/>
      <c r="O8" s="1242"/>
      <c r="P8" s="3640" t="s">
        <v>1347</v>
      </c>
      <c r="Q8" s="3641"/>
      <c r="R8" s="1282" t="s">
        <v>1343</v>
      </c>
      <c r="S8" s="1283">
        <f t="shared" si="0"/>
        <v>0</v>
      </c>
      <c r="T8" s="1282" t="s">
        <v>1343</v>
      </c>
      <c r="U8" s="1283">
        <f t="shared" si="1"/>
        <v>0</v>
      </c>
      <c r="V8" s="1282" t="s">
        <v>1343</v>
      </c>
      <c r="W8" s="1283">
        <f t="shared" si="2"/>
        <v>0</v>
      </c>
      <c r="X8" s="1284"/>
      <c r="Y8" s="3640" t="s">
        <v>1347</v>
      </c>
      <c r="Z8" s="3641"/>
      <c r="AA8" s="1296" t="e">
        <f t="shared" ref="AA8:AA45" si="3">D8/F8</f>
        <v>#DIV/0!</v>
      </c>
      <c r="AB8" s="1296" t="e">
        <f t="shared" ref="AB8:AB45" si="4">D8/H8</f>
        <v>#DIV/0!</v>
      </c>
      <c r="AC8" s="1296" t="e">
        <f t="shared" ref="AC8:AC45" si="5">D8/J8</f>
        <v>#DIV/0!</v>
      </c>
    </row>
    <row r="9" spans="1:30" s="1071" customFormat="1">
      <c r="A9" s="1104" t="s">
        <v>1348</v>
      </c>
      <c r="B9" s="1105" t="s">
        <v>1349</v>
      </c>
      <c r="C9" s="1106"/>
      <c r="D9" s="1107">
        <v>100</v>
      </c>
      <c r="E9" s="1106"/>
      <c r="F9" s="1107">
        <f>SUMIF(74:74,E9,75:75)-SUMIF(74:74,C9,75:75)+100</f>
        <v>100</v>
      </c>
      <c r="G9" s="1106"/>
      <c r="H9" s="1107">
        <f>SUMIF(74:74,G9,75:75)-SUMIF(74:74,C9,75:75)+100</f>
        <v>100</v>
      </c>
      <c r="I9" s="1106"/>
      <c r="J9" s="1107">
        <f>SUMIF(74:74,I9,75:75)-SUMIF(74:74,C9,75:75)+100</f>
        <v>100</v>
      </c>
      <c r="K9" s="1240"/>
      <c r="L9" s="1241"/>
      <c r="M9" s="1242"/>
      <c r="N9" s="1242"/>
      <c r="O9" s="1243"/>
      <c r="P9" s="3643" t="s">
        <v>1350</v>
      </c>
      <c r="Q9" s="1286" t="str">
        <f t="shared" ref="Q9:Q15" si="6">B9</f>
        <v>用途</v>
      </c>
      <c r="R9" s="1282" t="s">
        <v>1343</v>
      </c>
      <c r="S9" s="1283">
        <f t="shared" si="0"/>
        <v>100</v>
      </c>
      <c r="T9" s="1282" t="s">
        <v>1343</v>
      </c>
      <c r="U9" s="1283">
        <f t="shared" si="1"/>
        <v>100</v>
      </c>
      <c r="V9" s="1282" t="s">
        <v>1343</v>
      </c>
      <c r="W9" s="1283">
        <f t="shared" si="2"/>
        <v>100</v>
      </c>
      <c r="X9" s="1284"/>
      <c r="Y9" s="3612" t="s">
        <v>1351</v>
      </c>
      <c r="Z9" s="1297" t="str">
        <f t="shared" ref="Z9:Z15" si="7">Q9</f>
        <v>用途</v>
      </c>
      <c r="AA9" s="1296">
        <f t="shared" si="3"/>
        <v>1</v>
      </c>
      <c r="AB9" s="1296">
        <f t="shared" si="4"/>
        <v>1</v>
      </c>
      <c r="AC9" s="1296">
        <f t="shared" si="5"/>
        <v>1</v>
      </c>
    </row>
    <row r="10" spans="1:30" s="1072" customFormat="1" ht="27">
      <c r="A10" s="1108"/>
      <c r="B10" s="1109" t="s">
        <v>1352</v>
      </c>
      <c r="C10" s="1110"/>
      <c r="D10" s="1111">
        <v>100</v>
      </c>
      <c r="E10" s="1414"/>
      <c r="F10" s="1111">
        <f>ROUND(100/'数据-取费表'!G16,0)</f>
        <v>113</v>
      </c>
      <c r="G10" s="1415"/>
      <c r="H10" s="1111">
        <f>ROUND(100/'数据-取费表'!G16,0)</f>
        <v>113</v>
      </c>
      <c r="I10" s="1415"/>
      <c r="J10" s="1111">
        <f>ROUND(100/'数据-取费表'!G16,0)</f>
        <v>113</v>
      </c>
      <c r="K10" s="1244"/>
      <c r="L10" s="1245"/>
      <c r="M10" s="1246"/>
      <c r="N10" s="1246"/>
      <c r="O10" s="1247"/>
      <c r="P10" s="3643"/>
      <c r="Q10" s="1286" t="str">
        <f t="shared" si="6"/>
        <v>土地使用年限（年）</v>
      </c>
      <c r="R10" s="1282" t="s">
        <v>1343</v>
      </c>
      <c r="S10" s="1283">
        <f t="shared" si="0"/>
        <v>113</v>
      </c>
      <c r="T10" s="1282" t="s">
        <v>1343</v>
      </c>
      <c r="U10" s="1283">
        <f t="shared" si="1"/>
        <v>113</v>
      </c>
      <c r="V10" s="1282" t="s">
        <v>1343</v>
      </c>
      <c r="W10" s="1283">
        <f t="shared" si="2"/>
        <v>113</v>
      </c>
      <c r="X10" s="1284"/>
      <c r="Y10" s="3612"/>
      <c r="Z10" s="1297" t="str">
        <f t="shared" si="7"/>
        <v>土地使用年限（年）</v>
      </c>
      <c r="AA10" s="1296">
        <f t="shared" si="3"/>
        <v>0.88495575221238942</v>
      </c>
      <c r="AB10" s="1296">
        <f t="shared" si="4"/>
        <v>0.88495575221238942</v>
      </c>
      <c r="AC10" s="1296">
        <f t="shared" si="5"/>
        <v>0.88495575221238942</v>
      </c>
    </row>
    <row r="11" spans="1:30" ht="15">
      <c r="A11" s="1112"/>
      <c r="B11" s="1109" t="s">
        <v>1353</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239"/>
      <c r="N11" s="1239"/>
      <c r="O11" s="1250"/>
      <c r="P11" s="3643"/>
      <c r="Q11" s="1286" t="str">
        <f t="shared" si="6"/>
        <v>容积率</v>
      </c>
      <c r="R11" s="1282" t="s">
        <v>1343</v>
      </c>
      <c r="S11" s="1283" t="e">
        <f t="shared" si="0"/>
        <v>#N/A</v>
      </c>
      <c r="T11" s="1282" t="s">
        <v>1343</v>
      </c>
      <c r="U11" s="1283" t="e">
        <f t="shared" si="1"/>
        <v>#N/A</v>
      </c>
      <c r="V11" s="1282" t="s">
        <v>1343</v>
      </c>
      <c r="W11" s="1283" t="e">
        <f t="shared" si="2"/>
        <v>#N/A</v>
      </c>
      <c r="X11" s="1284"/>
      <c r="Y11" s="3612"/>
      <c r="Z11" s="1297" t="str">
        <f t="shared" si="7"/>
        <v>容积率</v>
      </c>
      <c r="AA11" s="1296" t="e">
        <f t="shared" si="3"/>
        <v>#N/A</v>
      </c>
      <c r="AB11" s="1296" t="e">
        <f t="shared" si="4"/>
        <v>#N/A</v>
      </c>
      <c r="AC11" s="1296" t="e">
        <f t="shared" si="5"/>
        <v>#N/A</v>
      </c>
    </row>
    <row r="12" spans="1:30" s="1071" customFormat="1" ht="15">
      <c r="A12" s="1115"/>
      <c r="B12" s="1116" t="s">
        <v>1614</v>
      </c>
      <c r="C12" s="1110"/>
      <c r="D12" s="1117">
        <v>100</v>
      </c>
      <c r="E12" s="1414"/>
      <c r="F12" s="1111">
        <f>SUMIF(81:81,E12,82:82)-SUMIF(81:81,C12,82:82)+100</f>
        <v>100</v>
      </c>
      <c r="G12" s="1415"/>
      <c r="H12" s="1111">
        <f>SUMIF(81:81,G12,82:82)-SUMIF(81:81,C12,82:82)+100</f>
        <v>100</v>
      </c>
      <c r="I12" s="1414"/>
      <c r="J12" s="1111">
        <f>SUMIF(81:81,I12,82:82)-SUMIF(81:81,C12,82:82)+100</f>
        <v>100</v>
      </c>
      <c r="K12" s="1244"/>
      <c r="L12" s="1241"/>
      <c r="M12" s="1242"/>
      <c r="N12" s="1242"/>
      <c r="O12" s="1243"/>
      <c r="P12" s="3643"/>
      <c r="Q12" s="1286" t="str">
        <f t="shared" si="6"/>
        <v>配建</v>
      </c>
      <c r="R12" s="1282" t="s">
        <v>1343</v>
      </c>
      <c r="S12" s="1283">
        <f t="shared" si="0"/>
        <v>100</v>
      </c>
      <c r="T12" s="1282" t="s">
        <v>1343</v>
      </c>
      <c r="U12" s="1283">
        <f t="shared" si="1"/>
        <v>100</v>
      </c>
      <c r="V12" s="1282" t="s">
        <v>1343</v>
      </c>
      <c r="W12" s="1283">
        <f t="shared" si="2"/>
        <v>100</v>
      </c>
      <c r="X12" s="1284"/>
      <c r="Y12" s="3612"/>
      <c r="Z12" s="1297" t="str">
        <f t="shared" si="7"/>
        <v>配建</v>
      </c>
      <c r="AA12" s="1296">
        <f t="shared" si="3"/>
        <v>1</v>
      </c>
      <c r="AB12" s="1296">
        <f t="shared" si="4"/>
        <v>1</v>
      </c>
      <c r="AC12" s="1296">
        <f t="shared" si="5"/>
        <v>1</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43"/>
      <c r="Q13" s="1286">
        <f t="shared" si="6"/>
        <v>111</v>
      </c>
      <c r="R13" s="1282" t="s">
        <v>1343</v>
      </c>
      <c r="S13" s="1283">
        <f t="shared" si="0"/>
        <v>100</v>
      </c>
      <c r="T13" s="1282" t="s">
        <v>1343</v>
      </c>
      <c r="U13" s="1283">
        <f t="shared" si="1"/>
        <v>100</v>
      </c>
      <c r="V13" s="1282" t="s">
        <v>1343</v>
      </c>
      <c r="W13" s="1283">
        <f t="shared" si="2"/>
        <v>100</v>
      </c>
      <c r="X13" s="1284"/>
      <c r="Y13" s="3612"/>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43"/>
      <c r="Q14" s="1286">
        <f t="shared" si="6"/>
        <v>111</v>
      </c>
      <c r="R14" s="1282" t="s">
        <v>1343</v>
      </c>
      <c r="S14" s="1283">
        <f t="shared" si="0"/>
        <v>100</v>
      </c>
      <c r="T14" s="1282" t="s">
        <v>1343</v>
      </c>
      <c r="U14" s="1283">
        <f t="shared" si="1"/>
        <v>100</v>
      </c>
      <c r="V14" s="1282" t="s">
        <v>1343</v>
      </c>
      <c r="W14" s="1283">
        <f t="shared" si="2"/>
        <v>100</v>
      </c>
      <c r="X14" s="1284"/>
      <c r="Y14" s="3612"/>
      <c r="Z14" s="1297">
        <f t="shared" si="7"/>
        <v>111</v>
      </c>
      <c r="AA14" s="1296">
        <f t="shared" si="3"/>
        <v>1</v>
      </c>
      <c r="AB14" s="1296">
        <f t="shared" si="4"/>
        <v>1</v>
      </c>
      <c r="AC14" s="1296">
        <f t="shared" si="5"/>
        <v>1</v>
      </c>
    </row>
    <row r="15" spans="1:30" ht="15">
      <c r="A15" s="1126" t="s">
        <v>1354</v>
      </c>
      <c r="B15" s="1416" t="s">
        <v>1555</v>
      </c>
      <c r="C15" s="1417">
        <f>估价对象房地状况!C15</f>
        <v>0</v>
      </c>
      <c r="D15" s="1129">
        <v>100</v>
      </c>
      <c r="E15" s="1130"/>
      <c r="F15" s="1129">
        <f>SUMIF(87:87,E16,88:88)-SUMIF(87:87,C16,88:88)+100</f>
        <v>100</v>
      </c>
      <c r="G15" s="1130"/>
      <c r="H15" s="1129">
        <f>SUMIF(87:87,G16,88:88)-SUMIF(87:87,C16,88:88)+100</f>
        <v>100</v>
      </c>
      <c r="I15" s="1252"/>
      <c r="J15" s="1129">
        <f>SUMIF(87:87,I16,88:88)-SUMIF(87:87,C16,88:88)+100</f>
        <v>100</v>
      </c>
      <c r="K15" s="1248"/>
      <c r="L15" s="1251"/>
      <c r="M15" s="1239"/>
      <c r="N15" s="1239"/>
      <c r="O15" s="1250"/>
      <c r="P15" s="3650" t="s">
        <v>1356</v>
      </c>
      <c r="Q15" s="664" t="str">
        <f t="shared" si="6"/>
        <v>居住社区成熟度</v>
      </c>
      <c r="R15" s="1287" t="s">
        <v>1343</v>
      </c>
      <c r="S15" s="1288">
        <f t="shared" si="0"/>
        <v>100</v>
      </c>
      <c r="T15" s="1287" t="s">
        <v>1343</v>
      </c>
      <c r="U15" s="1288">
        <f t="shared" si="1"/>
        <v>100</v>
      </c>
      <c r="V15" s="1287" t="s">
        <v>1343</v>
      </c>
      <c r="W15" s="1288">
        <f t="shared" si="2"/>
        <v>100</v>
      </c>
      <c r="X15" s="1281"/>
      <c r="Y15" s="3650" t="s">
        <v>1356</v>
      </c>
      <c r="Z15" s="1271" t="str">
        <f t="shared" si="7"/>
        <v>居住社区成熟度</v>
      </c>
      <c r="AA15" s="1298">
        <f t="shared" si="3"/>
        <v>1</v>
      </c>
      <c r="AB15" s="1298">
        <f t="shared" si="4"/>
        <v>1</v>
      </c>
      <c r="AC15" s="1298">
        <f t="shared" si="5"/>
        <v>1</v>
      </c>
    </row>
    <row r="16" spans="1:30" ht="15">
      <c r="A16" s="1112"/>
      <c r="B16" s="1418"/>
      <c r="C16" s="1132"/>
      <c r="D16" s="1133"/>
      <c r="E16" s="1141"/>
      <c r="F16" s="1133"/>
      <c r="G16" s="1141"/>
      <c r="H16" s="1135"/>
      <c r="I16" s="1254"/>
      <c r="J16" s="1133"/>
      <c r="K16" s="1244"/>
      <c r="L16" s="1251"/>
      <c r="M16" s="1239"/>
      <c r="N16" s="1239"/>
      <c r="O16" s="1250"/>
      <c r="P16" s="3651"/>
      <c r="Q16" s="664"/>
      <c r="R16" s="1287"/>
      <c r="S16" s="1288"/>
      <c r="T16" s="1287"/>
      <c r="U16" s="1288"/>
      <c r="V16" s="1287"/>
      <c r="W16" s="1288"/>
      <c r="X16" s="1281"/>
      <c r="Y16" s="3651"/>
      <c r="Z16" s="1271"/>
      <c r="AA16" s="1298">
        <v>1</v>
      </c>
      <c r="AB16" s="1298">
        <v>1</v>
      </c>
      <c r="AC16" s="1298">
        <v>1</v>
      </c>
    </row>
    <row r="17" spans="1:29" ht="15">
      <c r="A17" s="1112"/>
      <c r="B17" s="1419" t="s">
        <v>1582</v>
      </c>
      <c r="C17" s="661">
        <f>估价对象房地状况!C16</f>
        <v>0</v>
      </c>
      <c r="D17" s="1135">
        <v>100</v>
      </c>
      <c r="E17" s="1138"/>
      <c r="F17" s="1135">
        <f>SUMIF(89:89,E18,90:90)-SUMIF(89:89,C18,90:90)+100</f>
        <v>100</v>
      </c>
      <c r="G17" s="1138"/>
      <c r="H17" s="1139">
        <f>SUMIF(89:89,G18,90:90)-SUMIF(89:89,C18,90:90)+100</f>
        <v>100</v>
      </c>
      <c r="I17" s="1253"/>
      <c r="J17" s="1139">
        <f>SUMIF(89:89,I18,90:90)-SUMIF(89:89,C18,90:90)+100</f>
        <v>100</v>
      </c>
      <c r="K17" s="1248"/>
      <c r="L17" s="1251"/>
      <c r="M17" s="1239"/>
      <c r="N17" s="1239"/>
      <c r="O17" s="1250"/>
      <c r="P17" s="3651"/>
      <c r="Q17" s="664" t="str">
        <f>B17</f>
        <v>商业繁华度</v>
      </c>
      <c r="R17" s="1287" t="s">
        <v>1343</v>
      </c>
      <c r="S17" s="1288">
        <f>F17</f>
        <v>100</v>
      </c>
      <c r="T17" s="1287" t="s">
        <v>1343</v>
      </c>
      <c r="U17" s="1288">
        <f>H17</f>
        <v>100</v>
      </c>
      <c r="V17" s="1287" t="s">
        <v>1343</v>
      </c>
      <c r="W17" s="1288">
        <f>J17</f>
        <v>100</v>
      </c>
      <c r="X17" s="1281"/>
      <c r="Y17" s="3651"/>
      <c r="Z17" s="1271" t="str">
        <f>Q17</f>
        <v>商业繁华度</v>
      </c>
      <c r="AA17" s="1298">
        <f t="shared" si="3"/>
        <v>1</v>
      </c>
      <c r="AB17" s="1298">
        <f t="shared" si="4"/>
        <v>1</v>
      </c>
      <c r="AC17" s="1298">
        <f t="shared" si="5"/>
        <v>1</v>
      </c>
    </row>
    <row r="18" spans="1:29" ht="15">
      <c r="A18" s="1112"/>
      <c r="B18" s="1160"/>
      <c r="C18" s="1420"/>
      <c r="D18" s="1135"/>
      <c r="E18" s="1421"/>
      <c r="F18" s="1135"/>
      <c r="G18" s="1421"/>
      <c r="H18" s="1133"/>
      <c r="I18" s="1429"/>
      <c r="J18" s="1133"/>
      <c r="K18" s="1244"/>
      <c r="L18" s="1251"/>
      <c r="M18" s="1239"/>
      <c r="N18" s="1239"/>
      <c r="O18" s="1250"/>
      <c r="P18" s="3651"/>
      <c r="Q18" s="664"/>
      <c r="R18" s="1287"/>
      <c r="S18" s="1288"/>
      <c r="T18" s="1287"/>
      <c r="U18" s="1288"/>
      <c r="V18" s="1287"/>
      <c r="W18" s="1288"/>
      <c r="X18" s="1281"/>
      <c r="Y18" s="3651"/>
      <c r="Z18" s="1271"/>
      <c r="AA18" s="1298">
        <v>1</v>
      </c>
      <c r="AB18" s="1298">
        <v>1</v>
      </c>
      <c r="AC18" s="1298">
        <v>1</v>
      </c>
    </row>
    <row r="19" spans="1:29" ht="15">
      <c r="A19" s="1112"/>
      <c r="B19" s="1419" t="s">
        <v>1355</v>
      </c>
      <c r="C19" s="661">
        <f>估价对象房地状况!C17</f>
        <v>0</v>
      </c>
      <c r="D19" s="1139">
        <v>100</v>
      </c>
      <c r="E19" s="1422"/>
      <c r="F19" s="1139">
        <f>SUMIF(91:91,E20,92:92)-SUMIF(91:91,C20,92:92)+100</f>
        <v>100</v>
      </c>
      <c r="G19" s="1422"/>
      <c r="H19" s="1135">
        <f>SUMIF(91:91,G20,92:92)-SUMIF(91:91,C20,92:92)+100</f>
        <v>100</v>
      </c>
      <c r="I19" s="1430"/>
      <c r="J19" s="1135">
        <f>SUMIF(91:91,I20,92:92)-SUMIF(91:91,C20,92:92)+100</f>
        <v>100</v>
      </c>
      <c r="K19" s="1248"/>
      <c r="L19" s="1251"/>
      <c r="M19" s="1239"/>
      <c r="N19" s="1239"/>
      <c r="O19" s="1250"/>
      <c r="P19" s="3651"/>
      <c r="Q19" s="664" t="str">
        <f>B19</f>
        <v>办公集聚程度</v>
      </c>
      <c r="R19" s="1287" t="s">
        <v>1343</v>
      </c>
      <c r="S19" s="1288">
        <f>F19</f>
        <v>100</v>
      </c>
      <c r="T19" s="1287" t="s">
        <v>1343</v>
      </c>
      <c r="U19" s="1288">
        <f>H19</f>
        <v>100</v>
      </c>
      <c r="V19" s="1287" t="s">
        <v>1343</v>
      </c>
      <c r="W19" s="1288">
        <f>J19</f>
        <v>100</v>
      </c>
      <c r="X19" s="1281"/>
      <c r="Y19" s="3651"/>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51"/>
      <c r="Q20" s="664"/>
      <c r="R20" s="1287"/>
      <c r="S20" s="1288"/>
      <c r="T20" s="1287"/>
      <c r="U20" s="1288"/>
      <c r="V20" s="1287"/>
      <c r="W20" s="1288"/>
      <c r="X20" s="1281"/>
      <c r="Y20" s="3651"/>
      <c r="Z20" s="1271"/>
      <c r="AA20" s="1298">
        <v>1</v>
      </c>
      <c r="AB20" s="1298">
        <v>1</v>
      </c>
      <c r="AC20" s="1298">
        <v>1</v>
      </c>
    </row>
    <row r="21" spans="1:29" ht="15">
      <c r="A21" s="1112"/>
      <c r="B21" s="1419" t="s">
        <v>1358</v>
      </c>
      <c r="C21" s="1137">
        <f>估价对象房地状况!C18</f>
        <v>0</v>
      </c>
      <c r="D21" s="1135">
        <v>100</v>
      </c>
      <c r="E21" s="1138"/>
      <c r="F21" s="1139">
        <f>SUMIF(93:93,E22,94:94)-SUMIF(93:93,C22,94:94)+100</f>
        <v>100</v>
      </c>
      <c r="G21" s="1138"/>
      <c r="H21" s="1135">
        <f>SUMIF(93:93,G22,94:94)-SUMIF(93:93,C22,94:94)+100</f>
        <v>100</v>
      </c>
      <c r="I21" s="1253"/>
      <c r="J21" s="1135">
        <f>SUMIF(93:93,I22,94:94)-SUMIF(93:93,C22,94:94)+100</f>
        <v>100</v>
      </c>
      <c r="K21" s="1248"/>
      <c r="L21" s="1251"/>
      <c r="M21" s="1239"/>
      <c r="N21" s="1239"/>
      <c r="O21" s="1250"/>
      <c r="P21" s="3651"/>
      <c r="Q21" s="664" t="str">
        <f>B21</f>
        <v>交通便捷度</v>
      </c>
      <c r="R21" s="1287" t="s">
        <v>1343</v>
      </c>
      <c r="S21" s="1288">
        <f>F21</f>
        <v>100</v>
      </c>
      <c r="T21" s="1287" t="s">
        <v>1343</v>
      </c>
      <c r="U21" s="1288">
        <f>H21</f>
        <v>100</v>
      </c>
      <c r="V21" s="1287" t="s">
        <v>1343</v>
      </c>
      <c r="W21" s="1288">
        <f>J21</f>
        <v>100</v>
      </c>
      <c r="X21" s="1281"/>
      <c r="Y21" s="3651"/>
      <c r="Z21" s="1271" t="str">
        <f>Q21</f>
        <v>交通便捷度</v>
      </c>
      <c r="AA21" s="1298">
        <f t="shared" si="3"/>
        <v>1</v>
      </c>
      <c r="AB21" s="1298">
        <f t="shared" si="4"/>
        <v>1</v>
      </c>
      <c r="AC21" s="1298">
        <f t="shared" si="5"/>
        <v>1</v>
      </c>
    </row>
    <row r="22" spans="1:29" ht="15">
      <c r="A22" s="1112"/>
      <c r="B22" s="1423"/>
      <c r="C22" s="1132"/>
      <c r="D22" s="1135"/>
      <c r="E22" s="1141"/>
      <c r="F22" s="1133"/>
      <c r="G22" s="1141"/>
      <c r="H22" s="1133"/>
      <c r="I22" s="1254"/>
      <c r="J22" s="1133"/>
      <c r="K22" s="1244"/>
      <c r="L22" s="1251"/>
      <c r="M22" s="1239"/>
      <c r="N22" s="1239"/>
      <c r="O22" s="1250"/>
      <c r="P22" s="3651"/>
      <c r="Q22" s="664"/>
      <c r="R22" s="1287"/>
      <c r="S22" s="1288"/>
      <c r="T22" s="1287"/>
      <c r="U22" s="1288"/>
      <c r="V22" s="1287"/>
      <c r="W22" s="1288"/>
      <c r="X22" s="1281"/>
      <c r="Y22" s="3651"/>
      <c r="Z22" s="1271"/>
      <c r="AA22" s="1298">
        <v>1</v>
      </c>
      <c r="AB22" s="1298">
        <v>1</v>
      </c>
      <c r="AC22" s="1298">
        <v>1</v>
      </c>
    </row>
    <row r="23" spans="1:29" ht="15">
      <c r="A23" s="1092"/>
      <c r="B23" s="1419" t="s">
        <v>1615</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c r="L23" s="1251"/>
      <c r="M23" s="1239"/>
      <c r="N23" s="1239"/>
      <c r="O23" s="1250"/>
      <c r="P23" s="3651"/>
      <c r="Q23" s="664" t="str">
        <f t="shared" ref="Q23:Q38" si="8">B23</f>
        <v>区域土地利用方向</v>
      </c>
      <c r="R23" s="1287" t="s">
        <v>1343</v>
      </c>
      <c r="S23" s="1288">
        <f>F23</f>
        <v>100</v>
      </c>
      <c r="T23" s="1287" t="s">
        <v>1343</v>
      </c>
      <c r="U23" s="1288">
        <f>H23</f>
        <v>100</v>
      </c>
      <c r="V23" s="1287" t="s">
        <v>1343</v>
      </c>
      <c r="W23" s="1288">
        <f>J23</f>
        <v>100</v>
      </c>
      <c r="X23" s="1281"/>
      <c r="Y23" s="3651"/>
      <c r="Z23" s="1271" t="str">
        <f>Q23</f>
        <v>区域土地利用方向</v>
      </c>
      <c r="AA23" s="1298">
        <f t="shared" si="3"/>
        <v>1</v>
      </c>
      <c r="AB23" s="1298">
        <f t="shared" si="4"/>
        <v>1</v>
      </c>
      <c r="AC23" s="1298">
        <f t="shared" si="5"/>
        <v>1</v>
      </c>
    </row>
    <row r="24" spans="1:29" ht="15">
      <c r="A24" s="1092"/>
      <c r="B24" s="1160"/>
      <c r="C24" s="1146"/>
      <c r="D24" s="1133"/>
      <c r="E24" s="1141"/>
      <c r="F24" s="1133"/>
      <c r="G24" s="1254"/>
      <c r="H24" s="1133"/>
      <c r="I24" s="1254"/>
      <c r="J24" s="1133"/>
      <c r="K24" s="1255"/>
      <c r="L24" s="1251"/>
      <c r="M24" s="1239"/>
      <c r="N24" s="1239"/>
      <c r="O24" s="1250"/>
      <c r="P24" s="3651"/>
      <c r="Q24" s="664"/>
      <c r="R24" s="1287"/>
      <c r="S24" s="1288"/>
      <c r="T24" s="1287"/>
      <c r="U24" s="1288"/>
      <c r="V24" s="1287"/>
      <c r="W24" s="1288"/>
      <c r="X24" s="1281"/>
      <c r="Y24" s="3651"/>
      <c r="Z24" s="1271"/>
      <c r="AA24" s="1298"/>
      <c r="AB24" s="1298"/>
      <c r="AC24" s="1298"/>
    </row>
    <row r="25" spans="1:29" ht="27">
      <c r="A25" s="1092"/>
      <c r="B25" s="1423" t="s">
        <v>1616</v>
      </c>
      <c r="C25" s="661">
        <f>估价对象房地状况!C20</f>
        <v>0</v>
      </c>
      <c r="D25" s="1135">
        <v>100</v>
      </c>
      <c r="E25" s="1138"/>
      <c r="F25" s="1135">
        <f>SUMIF(97:97,E26,98:98)-SUMIF(97:97,C26,98:98)+100</f>
        <v>100</v>
      </c>
      <c r="G25" s="1138"/>
      <c r="H25" s="1135">
        <f>SUMIF(97:97,G26,98:98)-SUMIF(97:97,C26,98:98)+100</f>
        <v>100</v>
      </c>
      <c r="I25" s="1253"/>
      <c r="J25" s="1135">
        <f>SUMIF(97:97,I26,98:98)-SUMIF(97:97,C26,98:98)+100</f>
        <v>100</v>
      </c>
      <c r="K25" s="1248"/>
      <c r="L25" s="1251"/>
      <c r="M25" s="1239"/>
      <c r="N25" s="1239"/>
      <c r="O25" s="1250"/>
      <c r="P25" s="3651"/>
      <c r="Q25" s="664" t="str">
        <f t="shared" si="8"/>
        <v>自然及人文环境状况</v>
      </c>
      <c r="R25" s="1287" t="s">
        <v>1343</v>
      </c>
      <c r="S25" s="1288">
        <f>F25</f>
        <v>100</v>
      </c>
      <c r="T25" s="1287" t="s">
        <v>1343</v>
      </c>
      <c r="U25" s="1288">
        <f>H25</f>
        <v>100</v>
      </c>
      <c r="V25" s="1287" t="s">
        <v>1343</v>
      </c>
      <c r="W25" s="1288">
        <f>J25</f>
        <v>100</v>
      </c>
      <c r="X25" s="1281"/>
      <c r="Y25" s="3651"/>
      <c r="Z25" s="1271" t="str">
        <f>Q25</f>
        <v>自然及人文环境状况</v>
      </c>
      <c r="AA25" s="1298">
        <f t="shared" si="3"/>
        <v>1</v>
      </c>
      <c r="AB25" s="1298">
        <f t="shared" si="4"/>
        <v>1</v>
      </c>
      <c r="AC25" s="1298">
        <f t="shared" si="5"/>
        <v>1</v>
      </c>
    </row>
    <row r="26" spans="1:29" ht="15">
      <c r="A26" s="1092"/>
      <c r="B26" s="1160"/>
      <c r="C26" s="1132"/>
      <c r="D26" s="1133"/>
      <c r="E26" s="1134"/>
      <c r="F26" s="1133"/>
      <c r="G26" s="1134"/>
      <c r="H26" s="1133"/>
      <c r="I26" s="1132"/>
      <c r="J26" s="1133"/>
      <c r="K26" s="1244"/>
      <c r="L26" s="1251"/>
      <c r="M26" s="1239"/>
      <c r="N26" s="1239"/>
      <c r="O26" s="1250"/>
      <c r="P26" s="3651"/>
      <c r="Q26" s="664"/>
      <c r="R26" s="1287"/>
      <c r="S26" s="1288"/>
      <c r="T26" s="1287"/>
      <c r="U26" s="1288"/>
      <c r="V26" s="1287"/>
      <c r="W26" s="1288"/>
      <c r="X26" s="1281"/>
      <c r="Y26" s="3651"/>
      <c r="Z26" s="1271"/>
      <c r="AA26" s="1298">
        <v>1</v>
      </c>
      <c r="AB26" s="1298">
        <v>1</v>
      </c>
      <c r="AC26" s="1298">
        <v>1</v>
      </c>
    </row>
    <row r="27" spans="1:29" s="1071" customFormat="1" ht="15">
      <c r="A27" s="1142"/>
      <c r="B27" s="1423" t="s">
        <v>1359</v>
      </c>
      <c r="C27" s="1137">
        <f>估价对象房地状况!C21</f>
        <v>0</v>
      </c>
      <c r="D27" s="1135">
        <v>100</v>
      </c>
      <c r="E27" s="1138"/>
      <c r="F27" s="1135">
        <f>SUMIF(99:99,E28,100:100)-SUMIF(99:99,C28,100:100)+100</f>
        <v>100</v>
      </c>
      <c r="G27" s="1138"/>
      <c r="H27" s="1135">
        <f>SUMIF(99:99,G28,100:100)-SUMIF(99:99,C28,100:100)+100</f>
        <v>100</v>
      </c>
      <c r="I27" s="1253"/>
      <c r="J27" s="1135">
        <f>SUMIF(99:99,I28,100:100)-SUMIF(99:99,C28,100:100)+100</f>
        <v>100</v>
      </c>
      <c r="K27" s="1248"/>
      <c r="L27" s="1241"/>
      <c r="M27" s="1242"/>
      <c r="N27" s="1242"/>
      <c r="O27" s="1243"/>
      <c r="P27" s="3651"/>
      <c r="Q27" s="1286" t="str">
        <f t="shared" si="8"/>
        <v>公共配套设施</v>
      </c>
      <c r="R27" s="1282" t="s">
        <v>1343</v>
      </c>
      <c r="S27" s="1283">
        <f>F27</f>
        <v>100</v>
      </c>
      <c r="T27" s="1282" t="s">
        <v>1343</v>
      </c>
      <c r="U27" s="1283">
        <f>H27</f>
        <v>100</v>
      </c>
      <c r="V27" s="1282" t="s">
        <v>1343</v>
      </c>
      <c r="W27" s="1283">
        <f>J27</f>
        <v>100</v>
      </c>
      <c r="X27" s="1284"/>
      <c r="Y27" s="3651"/>
      <c r="Z27" s="1297" t="str">
        <f>Q27</f>
        <v>公共配套设施</v>
      </c>
      <c r="AA27" s="1298">
        <f>D27/F27</f>
        <v>1</v>
      </c>
      <c r="AB27" s="1298">
        <f>D27/H27</f>
        <v>1</v>
      </c>
      <c r="AC27" s="1298">
        <f>D27/J27</f>
        <v>1</v>
      </c>
    </row>
    <row r="28" spans="1:29" s="1071" customFormat="1" ht="15">
      <c r="A28" s="1142"/>
      <c r="B28" s="1160"/>
      <c r="C28" s="1144"/>
      <c r="D28" s="1133"/>
      <c r="E28" s="1134"/>
      <c r="F28" s="1133"/>
      <c r="G28" s="1134"/>
      <c r="H28" s="1133"/>
      <c r="I28" s="1132"/>
      <c r="J28" s="1133"/>
      <c r="K28" s="1244"/>
      <c r="L28" s="1241"/>
      <c r="M28" s="1242"/>
      <c r="N28" s="1242"/>
      <c r="O28" s="1243"/>
      <c r="P28" s="3651"/>
      <c r="Q28" s="1286"/>
      <c r="R28" s="1282"/>
      <c r="S28" s="1283"/>
      <c r="T28" s="1282"/>
      <c r="U28" s="1283"/>
      <c r="V28" s="1282"/>
      <c r="W28" s="1283"/>
      <c r="X28" s="1284"/>
      <c r="Y28" s="3651"/>
      <c r="Z28" s="1297"/>
      <c r="AA28" s="1298">
        <v>1</v>
      </c>
      <c r="AB28" s="1298">
        <v>1</v>
      </c>
      <c r="AC28" s="1298">
        <v>1</v>
      </c>
    </row>
    <row r="29" spans="1:29" s="1071" customFormat="1" ht="15">
      <c r="A29" s="1142"/>
      <c r="B29" s="1423" t="s">
        <v>1360</v>
      </c>
      <c r="C29" s="1137">
        <f>估价对象房地状况!C22</f>
        <v>0</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51"/>
      <c r="Q29" s="1286" t="str">
        <f t="shared" ref="Q29" si="9">B29</f>
        <v>基础设施水平</v>
      </c>
      <c r="R29" s="1282" t="s">
        <v>1343</v>
      </c>
      <c r="S29" s="1283">
        <f>F29</f>
        <v>100</v>
      </c>
      <c r="T29" s="1282" t="s">
        <v>1343</v>
      </c>
      <c r="U29" s="1283">
        <f>H29</f>
        <v>100</v>
      </c>
      <c r="V29" s="1282" t="s">
        <v>1343</v>
      </c>
      <c r="W29" s="1283">
        <f>J29</f>
        <v>100</v>
      </c>
      <c r="X29" s="1284"/>
      <c r="Y29" s="3651"/>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51"/>
      <c r="Q30" s="1286"/>
      <c r="R30" s="1282"/>
      <c r="S30" s="1283"/>
      <c r="T30" s="1282"/>
      <c r="U30" s="1283"/>
      <c r="V30" s="1282"/>
      <c r="W30" s="1283"/>
      <c r="X30" s="1284"/>
      <c r="Y30" s="3651"/>
      <c r="Z30" s="1297"/>
      <c r="AA30" s="1298">
        <v>1</v>
      </c>
      <c r="AB30" s="1298">
        <v>1</v>
      </c>
      <c r="AC30" s="1298">
        <v>1</v>
      </c>
    </row>
    <row r="31" spans="1:29" ht="15">
      <c r="A31" s="1112"/>
      <c r="B31" s="1160" t="s">
        <v>1583</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51"/>
      <c r="Q31" s="664" t="str">
        <f t="shared" si="8"/>
        <v>临街状况</v>
      </c>
      <c r="R31" s="1287" t="s">
        <v>1343</v>
      </c>
      <c r="S31" s="1288">
        <f t="shared" ref="S31:S45" si="10">F31</f>
        <v>100</v>
      </c>
      <c r="T31" s="1287" t="s">
        <v>1343</v>
      </c>
      <c r="U31" s="1288">
        <f t="shared" ref="U31:U45" si="11">H31</f>
        <v>100</v>
      </c>
      <c r="V31" s="1287" t="s">
        <v>1343</v>
      </c>
      <c r="W31" s="1288">
        <f t="shared" ref="W31:W45" si="12">J31</f>
        <v>100</v>
      </c>
      <c r="X31" s="1281"/>
      <c r="Y31" s="3651"/>
      <c r="Z31" s="1271" t="str">
        <f t="shared" ref="Z31:Z45" si="13">Q31</f>
        <v>临街状况</v>
      </c>
      <c r="AA31" s="1298">
        <f t="shared" si="3"/>
        <v>1</v>
      </c>
      <c r="AB31" s="1298">
        <f t="shared" si="4"/>
        <v>1</v>
      </c>
      <c r="AC31" s="1298">
        <f t="shared" si="5"/>
        <v>1</v>
      </c>
    </row>
    <row r="32" spans="1:29" ht="27">
      <c r="A32" s="1112"/>
      <c r="B32" s="1423" t="s">
        <v>1362</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51"/>
      <c r="Q32" s="664" t="str">
        <f t="shared" si="8"/>
        <v>毗邻道路的类型与等级</v>
      </c>
      <c r="R32" s="1287" t="s">
        <v>1343</v>
      </c>
      <c r="S32" s="1288">
        <f t="shared" si="10"/>
        <v>100</v>
      </c>
      <c r="T32" s="1287" t="s">
        <v>1343</v>
      </c>
      <c r="U32" s="1288">
        <f t="shared" si="11"/>
        <v>100</v>
      </c>
      <c r="V32" s="1287" t="s">
        <v>1343</v>
      </c>
      <c r="W32" s="1288">
        <f t="shared" si="12"/>
        <v>100</v>
      </c>
      <c r="X32" s="1281"/>
      <c r="Y32" s="3651"/>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51"/>
      <c r="Q33" s="664"/>
      <c r="R33" s="1287"/>
      <c r="S33" s="1288"/>
      <c r="T33" s="1287"/>
      <c r="U33" s="1288"/>
      <c r="V33" s="1287"/>
      <c r="W33" s="1288"/>
      <c r="X33" s="1281"/>
      <c r="Y33" s="3651"/>
      <c r="Z33" s="1271"/>
      <c r="AA33" s="1298">
        <v>1</v>
      </c>
      <c r="AB33" s="1298">
        <v>1</v>
      </c>
      <c r="AC33" s="1298">
        <v>1</v>
      </c>
    </row>
    <row r="34" spans="1:29" ht="15">
      <c r="A34" s="1112"/>
      <c r="B34" s="1109" t="s">
        <v>1617</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51"/>
      <c r="Q34" s="664" t="str">
        <f t="shared" si="8"/>
        <v>土地级别</v>
      </c>
      <c r="R34" s="1287" t="s">
        <v>1343</v>
      </c>
      <c r="S34" s="1288">
        <f t="shared" si="10"/>
        <v>100</v>
      </c>
      <c r="T34" s="1287" t="s">
        <v>1343</v>
      </c>
      <c r="U34" s="1288">
        <f t="shared" si="11"/>
        <v>100</v>
      </c>
      <c r="V34" s="1287" t="s">
        <v>1343</v>
      </c>
      <c r="W34" s="1288">
        <f t="shared" si="12"/>
        <v>100</v>
      </c>
      <c r="X34" s="1281"/>
      <c r="Y34" s="3651"/>
      <c r="Z34" s="1271" t="str">
        <f t="shared" si="13"/>
        <v>土地级别</v>
      </c>
      <c r="AA34" s="1298">
        <f t="shared" si="3"/>
        <v>1</v>
      </c>
      <c r="AB34" s="1298">
        <f t="shared" si="4"/>
        <v>1</v>
      </c>
      <c r="AC34" s="1298">
        <f t="shared" si="5"/>
        <v>1</v>
      </c>
    </row>
    <row r="35" spans="1:29" ht="15">
      <c r="A35" s="1092"/>
      <c r="B35" s="1424">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51"/>
      <c r="Q35" s="664">
        <f t="shared" si="8"/>
        <v>111</v>
      </c>
      <c r="R35" s="1287" t="s">
        <v>1343</v>
      </c>
      <c r="S35" s="1288">
        <f t="shared" si="10"/>
        <v>100</v>
      </c>
      <c r="T35" s="1287" t="s">
        <v>1343</v>
      </c>
      <c r="U35" s="1288">
        <f t="shared" si="11"/>
        <v>100</v>
      </c>
      <c r="V35" s="1287" t="s">
        <v>1343</v>
      </c>
      <c r="W35" s="1288">
        <f t="shared" si="12"/>
        <v>100</v>
      </c>
      <c r="X35" s="1281"/>
      <c r="Y35" s="3651"/>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10" t="s">
        <v>1369</v>
      </c>
      <c r="Q36" s="664">
        <f t="shared" si="8"/>
        <v>111</v>
      </c>
      <c r="R36" s="1287" t="s">
        <v>1343</v>
      </c>
      <c r="S36" s="1288">
        <f t="shared" si="10"/>
        <v>100</v>
      </c>
      <c r="T36" s="1287" t="s">
        <v>1343</v>
      </c>
      <c r="U36" s="1288">
        <f t="shared" si="11"/>
        <v>100</v>
      </c>
      <c r="V36" s="1287" t="s">
        <v>1343</v>
      </c>
      <c r="W36" s="1288">
        <f t="shared" si="12"/>
        <v>100</v>
      </c>
      <c r="X36" s="1281"/>
      <c r="Y36" s="3652" t="s">
        <v>1369</v>
      </c>
      <c r="Z36" s="1271">
        <f t="shared" si="13"/>
        <v>111</v>
      </c>
      <c r="AA36" s="1298">
        <f t="shared" si="3"/>
        <v>1</v>
      </c>
      <c r="AB36" s="1298">
        <f t="shared" si="4"/>
        <v>1</v>
      </c>
      <c r="AC36" s="1298">
        <f t="shared" si="5"/>
        <v>1</v>
      </c>
    </row>
    <row r="37" spans="1:29" s="1073" customFormat="1" ht="15">
      <c r="A37" s="1155"/>
      <c r="B37" s="1425">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52"/>
      <c r="Q37" s="664">
        <f t="shared" si="8"/>
        <v>111</v>
      </c>
      <c r="R37" s="1289" t="s">
        <v>1343</v>
      </c>
      <c r="S37" s="1290">
        <f t="shared" si="10"/>
        <v>100</v>
      </c>
      <c r="T37" s="1289" t="s">
        <v>1343</v>
      </c>
      <c r="U37" s="1290">
        <f t="shared" si="11"/>
        <v>100</v>
      </c>
      <c r="V37" s="1289" t="s">
        <v>1343</v>
      </c>
      <c r="W37" s="1290">
        <f t="shared" si="12"/>
        <v>100</v>
      </c>
      <c r="X37" s="1291"/>
      <c r="Y37" s="3652"/>
      <c r="Z37" s="1299">
        <f t="shared" si="13"/>
        <v>111</v>
      </c>
      <c r="AA37" s="1298">
        <f t="shared" si="3"/>
        <v>1</v>
      </c>
      <c r="AB37" s="1298">
        <f t="shared" si="4"/>
        <v>1</v>
      </c>
      <c r="AC37" s="1298">
        <f t="shared" si="5"/>
        <v>1</v>
      </c>
    </row>
    <row r="38" spans="1:29" ht="15">
      <c r="A38" s="1163" t="s">
        <v>1367</v>
      </c>
      <c r="B38" s="1160" t="s">
        <v>1618</v>
      </c>
      <c r="C38" s="1161"/>
      <c r="D38" s="1162">
        <v>100</v>
      </c>
      <c r="E38" s="1161"/>
      <c r="F38" s="1162" t="e">
        <f>LOOKUP(E38,116:116,117:117)-LOOKUP(C38,116:116,117:117)+100</f>
        <v>#N/A</v>
      </c>
      <c r="G38" s="1161"/>
      <c r="H38" s="1162" t="e">
        <f>LOOKUP(G38,116:116,117:117)-LOOKUP(C38,116:116,117:117)+100</f>
        <v>#N/A</v>
      </c>
      <c r="I38" s="1260"/>
      <c r="J38" s="1162" t="e">
        <f>LOOKUP(I38,116:116,117:117)-LOOKUP(C38,116:116,117:117)+100</f>
        <v>#N/A</v>
      </c>
      <c r="K38" s="1256"/>
      <c r="L38" s="1251"/>
      <c r="M38" s="1239"/>
      <c r="N38" s="1239"/>
      <c r="O38" s="1250"/>
      <c r="P38" s="3652"/>
      <c r="Q38" s="664" t="str">
        <f t="shared" si="8"/>
        <v>宗地面积</v>
      </c>
      <c r="R38" s="1287" t="s">
        <v>1343</v>
      </c>
      <c r="S38" s="1288" t="e">
        <f t="shared" si="10"/>
        <v>#N/A</v>
      </c>
      <c r="T38" s="1287" t="s">
        <v>1343</v>
      </c>
      <c r="U38" s="1288" t="e">
        <f t="shared" si="11"/>
        <v>#N/A</v>
      </c>
      <c r="V38" s="1287" t="s">
        <v>1343</v>
      </c>
      <c r="W38" s="1288" t="e">
        <f t="shared" si="12"/>
        <v>#N/A</v>
      </c>
      <c r="X38" s="1281"/>
      <c r="Y38" s="3652"/>
      <c r="Z38" s="1271" t="str">
        <f t="shared" si="13"/>
        <v>宗地面积</v>
      </c>
      <c r="AA38" s="1298" t="e">
        <f t="shared" si="3"/>
        <v>#N/A</v>
      </c>
      <c r="AB38" s="1298" t="e">
        <f t="shared" si="4"/>
        <v>#N/A</v>
      </c>
      <c r="AC38" s="1298" t="e">
        <f t="shared" si="5"/>
        <v>#N/A</v>
      </c>
    </row>
    <row r="39" spans="1:29" ht="15">
      <c r="A39" s="1163"/>
      <c r="B39" s="1109" t="s">
        <v>1619</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52"/>
      <c r="Q39" s="664" t="str">
        <f t="shared" ref="Q39:Q45" si="14">B39</f>
        <v>宗地形状</v>
      </c>
      <c r="R39" s="1287" t="s">
        <v>1343</v>
      </c>
      <c r="S39" s="1288">
        <f t="shared" si="10"/>
        <v>100</v>
      </c>
      <c r="T39" s="1287" t="s">
        <v>1343</v>
      </c>
      <c r="U39" s="1288">
        <f t="shared" si="11"/>
        <v>100</v>
      </c>
      <c r="V39" s="1287" t="s">
        <v>1343</v>
      </c>
      <c r="W39" s="1288">
        <f t="shared" si="12"/>
        <v>100</v>
      </c>
      <c r="X39" s="1281"/>
      <c r="Y39" s="3652"/>
      <c r="Z39" s="1271" t="str">
        <f t="shared" si="13"/>
        <v>宗地形状</v>
      </c>
      <c r="AA39" s="1298">
        <f t="shared" si="3"/>
        <v>1</v>
      </c>
      <c r="AB39" s="1298">
        <f t="shared" si="4"/>
        <v>1</v>
      </c>
      <c r="AC39" s="1298">
        <f t="shared" si="5"/>
        <v>1</v>
      </c>
    </row>
    <row r="40" spans="1:29" ht="15">
      <c r="A40" s="1163"/>
      <c r="B40" s="1109" t="s">
        <v>1620</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52"/>
      <c r="Q40" s="664" t="str">
        <f t="shared" si="14"/>
        <v>临街宽度及深度</v>
      </c>
      <c r="R40" s="1287" t="s">
        <v>1343</v>
      </c>
      <c r="S40" s="1288">
        <f t="shared" si="10"/>
        <v>100</v>
      </c>
      <c r="T40" s="1287" t="s">
        <v>1343</v>
      </c>
      <c r="U40" s="1288">
        <f t="shared" si="11"/>
        <v>100</v>
      </c>
      <c r="V40" s="1287" t="s">
        <v>1343</v>
      </c>
      <c r="W40" s="1288">
        <f t="shared" si="12"/>
        <v>100</v>
      </c>
      <c r="X40" s="1281"/>
      <c r="Y40" s="3652"/>
      <c r="Z40" s="1271" t="str">
        <f t="shared" si="13"/>
        <v>临街宽度及深度</v>
      </c>
      <c r="AA40" s="1298">
        <f t="shared" si="3"/>
        <v>1</v>
      </c>
      <c r="AB40" s="1298">
        <f t="shared" si="4"/>
        <v>1</v>
      </c>
      <c r="AC40" s="1298">
        <f t="shared" si="5"/>
        <v>1</v>
      </c>
    </row>
    <row r="41" spans="1:29" s="1071" customFormat="1" ht="15">
      <c r="A41" s="1165"/>
      <c r="B41" s="1109" t="s">
        <v>1621</v>
      </c>
      <c r="C41" s="1166"/>
      <c r="D41" s="1111">
        <v>100</v>
      </c>
      <c r="E41" s="1166"/>
      <c r="F41" s="1121">
        <f>SUMIF(122:122,E41,123:123)-SUMIF(122:122,C41,123:123)+100</f>
        <v>100</v>
      </c>
      <c r="G41" s="1166"/>
      <c r="H41" s="1121">
        <f>SUMIF(122:122,G41,123:123)-SUMIF(122:122,C41,123:123)+100</f>
        <v>100</v>
      </c>
      <c r="I41" s="1166"/>
      <c r="J41" s="1121">
        <f>SUMIF(122:122,I41,123:123)-SUMIF(122:122,C41,123:123)+100</f>
        <v>100</v>
      </c>
      <c r="K41" s="1257"/>
      <c r="L41" s="1241"/>
      <c r="M41" s="1242"/>
      <c r="N41" s="1242"/>
      <c r="O41" s="1243"/>
      <c r="P41" s="3652"/>
      <c r="Q41" s="664" t="str">
        <f t="shared" si="14"/>
        <v>宗地开发程度</v>
      </c>
      <c r="R41" s="1282" t="s">
        <v>1343</v>
      </c>
      <c r="S41" s="1283">
        <f t="shared" si="10"/>
        <v>100</v>
      </c>
      <c r="T41" s="1282" t="s">
        <v>1343</v>
      </c>
      <c r="U41" s="1283">
        <f t="shared" si="11"/>
        <v>100</v>
      </c>
      <c r="V41" s="1282" t="s">
        <v>1343</v>
      </c>
      <c r="W41" s="1283">
        <f t="shared" si="12"/>
        <v>100</v>
      </c>
      <c r="X41" s="1284"/>
      <c r="Y41" s="3652"/>
      <c r="Z41" s="1297" t="str">
        <f t="shared" si="13"/>
        <v>宗地开发程度</v>
      </c>
      <c r="AA41" s="1296">
        <f t="shared" si="3"/>
        <v>1</v>
      </c>
      <c r="AB41" s="1296">
        <f t="shared" si="4"/>
        <v>1</v>
      </c>
      <c r="AC41" s="1296">
        <f t="shared" si="5"/>
        <v>1</v>
      </c>
    </row>
    <row r="42" spans="1:29" ht="15">
      <c r="A42" s="1163"/>
      <c r="B42" s="1109" t="s">
        <v>1622</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52" t="s">
        <v>1369</v>
      </c>
      <c r="Q42" s="664" t="str">
        <f t="shared" si="14"/>
        <v>工程地质条件</v>
      </c>
      <c r="R42" s="1287" t="s">
        <v>1343</v>
      </c>
      <c r="S42" s="1288">
        <f t="shared" si="10"/>
        <v>100</v>
      </c>
      <c r="T42" s="1287" t="s">
        <v>1343</v>
      </c>
      <c r="U42" s="1288">
        <f t="shared" si="11"/>
        <v>100</v>
      </c>
      <c r="V42" s="1287" t="s">
        <v>1343</v>
      </c>
      <c r="W42" s="1288">
        <f t="shared" si="12"/>
        <v>100</v>
      </c>
      <c r="X42" s="1281"/>
      <c r="Y42" s="3652" t="s">
        <v>1369</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52"/>
      <c r="Q43" s="664">
        <f t="shared" si="14"/>
        <v>111</v>
      </c>
      <c r="R43" s="1287" t="s">
        <v>1343</v>
      </c>
      <c r="S43" s="1288">
        <f t="shared" si="10"/>
        <v>100</v>
      </c>
      <c r="T43" s="1287" t="s">
        <v>1343</v>
      </c>
      <c r="U43" s="1288">
        <f t="shared" si="11"/>
        <v>100</v>
      </c>
      <c r="V43" s="1287" t="s">
        <v>1343</v>
      </c>
      <c r="W43" s="1288">
        <f t="shared" si="12"/>
        <v>100</v>
      </c>
      <c r="X43" s="1281"/>
      <c r="Y43" s="3652"/>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52"/>
      <c r="Q44" s="664">
        <f t="shared" si="14"/>
        <v>111</v>
      </c>
      <c r="R44" s="1287" t="s">
        <v>1343</v>
      </c>
      <c r="S44" s="1288">
        <f t="shared" si="10"/>
        <v>100</v>
      </c>
      <c r="T44" s="1287" t="s">
        <v>1343</v>
      </c>
      <c r="U44" s="1288">
        <f t="shared" si="11"/>
        <v>100</v>
      </c>
      <c r="V44" s="1287" t="s">
        <v>1343</v>
      </c>
      <c r="W44" s="1288">
        <f t="shared" si="12"/>
        <v>100</v>
      </c>
      <c r="X44" s="1281"/>
      <c r="Y44" s="3652"/>
      <c r="Z44" s="1271">
        <f t="shared" si="13"/>
        <v>111</v>
      </c>
      <c r="AA44" s="1298">
        <f t="shared" si="3"/>
        <v>1</v>
      </c>
      <c r="AB44" s="1298">
        <f t="shared" si="4"/>
        <v>1</v>
      </c>
      <c r="AC44" s="1298">
        <f t="shared" si="5"/>
        <v>1</v>
      </c>
    </row>
    <row r="45" spans="1:29" s="1073" customFormat="1" ht="15">
      <c r="A45" s="1168"/>
      <c r="B45" s="1167">
        <v>111</v>
      </c>
      <c r="C45" s="1169"/>
      <c r="D45" s="1426">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52"/>
      <c r="Q45" s="664">
        <f t="shared" si="14"/>
        <v>111</v>
      </c>
      <c r="R45" s="1289" t="s">
        <v>1343</v>
      </c>
      <c r="S45" s="1290">
        <f t="shared" si="10"/>
        <v>100</v>
      </c>
      <c r="T45" s="1289" t="s">
        <v>1343</v>
      </c>
      <c r="U45" s="1290">
        <f t="shared" si="11"/>
        <v>100</v>
      </c>
      <c r="V45" s="1289" t="s">
        <v>1343</v>
      </c>
      <c r="W45" s="1290">
        <f t="shared" si="12"/>
        <v>100</v>
      </c>
      <c r="X45" s="1291"/>
      <c r="Y45" s="3652"/>
      <c r="Z45" s="1299">
        <f t="shared" si="13"/>
        <v>111</v>
      </c>
      <c r="AA45" s="1298">
        <f t="shared" si="3"/>
        <v>1</v>
      </c>
      <c r="AB45" s="1298">
        <f t="shared" si="4"/>
        <v>1</v>
      </c>
      <c r="AC45" s="1298">
        <f t="shared" si="5"/>
        <v>1</v>
      </c>
    </row>
    <row r="46" spans="1:29" ht="15">
      <c r="A46" s="1170" t="s">
        <v>1604</v>
      </c>
      <c r="B46" s="1171" t="s">
        <v>1623</v>
      </c>
      <c r="C46" s="1172" t="s">
        <v>124</v>
      </c>
      <c r="D46" s="1173"/>
      <c r="E46" s="1174"/>
      <c r="F46" s="1175"/>
      <c r="G46" s="1176"/>
      <c r="H46" s="1177"/>
      <c r="I46" s="1174"/>
      <c r="J46" s="1177"/>
      <c r="K46" s="1262"/>
      <c r="L46" s="1263"/>
      <c r="M46" s="1187"/>
      <c r="N46" s="1239"/>
      <c r="O46" s="1187"/>
      <c r="P46" s="3643" t="str">
        <f>A46</f>
        <v>成交单价</v>
      </c>
      <c r="Q46" s="3643"/>
      <c r="R46" s="3676">
        <f>E46</f>
        <v>0</v>
      </c>
      <c r="S46" s="3676"/>
      <c r="T46" s="3676">
        <f>G46</f>
        <v>0</v>
      </c>
      <c r="U46" s="3676"/>
      <c r="V46" s="3676">
        <f>I46</f>
        <v>0</v>
      </c>
      <c r="W46" s="3676"/>
      <c r="X46" s="1227"/>
      <c r="Y46" s="1300"/>
      <c r="Z46" s="1227"/>
      <c r="AA46" s="1227"/>
      <c r="AB46" s="1227"/>
      <c r="AC46" s="1227"/>
    </row>
    <row r="47" spans="1:29" ht="15">
      <c r="A47" s="1178" t="s">
        <v>1386</v>
      </c>
      <c r="B47" s="1179"/>
      <c r="C47" s="1180" t="e">
        <f>R48</f>
        <v>#DIV/0!</v>
      </c>
      <c r="D47" s="1181" t="s">
        <v>1387</v>
      </c>
      <c r="E47" s="1180" t="e">
        <f>R47</f>
        <v>#DIV/0!</v>
      </c>
      <c r="F47" s="1182"/>
      <c r="G47" s="1183" t="e">
        <f>T47</f>
        <v>#DIV/0!</v>
      </c>
      <c r="H47" s="1182"/>
      <c r="I47" s="1180" t="e">
        <f>V47</f>
        <v>#DIV/0!</v>
      </c>
      <c r="J47" s="1182"/>
      <c r="K47" s="1264">
        <f>F47+H47+J47</f>
        <v>0</v>
      </c>
      <c r="L47" s="1263"/>
      <c r="M47" s="1187"/>
      <c r="N47" s="1187"/>
      <c r="O47" s="1187"/>
      <c r="P47" s="3643" t="str">
        <f>A47</f>
        <v>比较价值（元/平方米）</v>
      </c>
      <c r="Q47" s="3643"/>
      <c r="R47" s="3713" t="e">
        <f>ROUND(PRODUCT(R46,AA7:AA45),0)</f>
        <v>#DIV/0!</v>
      </c>
      <c r="S47" s="3713"/>
      <c r="T47" s="3713" t="e">
        <f>ROUND(PRODUCT(T46,AB7:AB45),0)</f>
        <v>#DIV/0!</v>
      </c>
      <c r="U47" s="3713"/>
      <c r="V47" s="3713" t="e">
        <f>ROUND(PRODUCT(V46,AC7:AC45),0)</f>
        <v>#DIV/0!</v>
      </c>
      <c r="W47" s="3713"/>
      <c r="X47" s="1227"/>
      <c r="Y47" s="1227"/>
      <c r="Z47" s="1227"/>
      <c r="AA47" s="1227"/>
      <c r="AB47" s="1227"/>
      <c r="AC47" s="1227"/>
    </row>
    <row r="48" spans="1:29" ht="15">
      <c r="A48" s="1184" t="s">
        <v>1624</v>
      </c>
      <c r="B48" s="1185"/>
      <c r="C48" s="1186" t="e">
        <f>R48</f>
        <v>#DIV/0!</v>
      </c>
      <c r="D48" s="1186"/>
      <c r="E48" s="1186"/>
      <c r="F48" s="1186"/>
      <c r="G48" s="1186"/>
      <c r="H48" s="1186"/>
      <c r="I48" s="1186"/>
      <c r="J48" s="1186"/>
      <c r="K48" s="1265"/>
      <c r="L48" s="1263"/>
      <c r="M48" s="1187"/>
      <c r="N48" s="1187"/>
      <c r="O48" s="1187"/>
      <c r="P48" s="3700" t="str">
        <f>A48</f>
        <v>估价对象XX用房的比较价值（楼面单价，元/平方米）</v>
      </c>
      <c r="Q48" s="3701"/>
      <c r="R48" s="3714" t="e">
        <f>ROUND(IF(D47="简单平均",AVERAGE(R47:W47),R47*F47+T47*H47+V47*J47),0)</f>
        <v>#DIV/0!</v>
      </c>
      <c r="S48" s="3714"/>
      <c r="T48" s="3714"/>
      <c r="U48" s="3714"/>
      <c r="V48" s="3714"/>
      <c r="W48" s="3714"/>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1389</v>
      </c>
      <c r="D51" s="708"/>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1390</v>
      </c>
      <c r="D52" s="707"/>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1391</v>
      </c>
      <c r="D53" s="707"/>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1625</v>
      </c>
      <c r="B55" s="1197" t="s">
        <v>1626</v>
      </c>
      <c r="C55" s="1198" t="s">
        <v>1627</v>
      </c>
      <c r="D55" s="1199" t="s">
        <v>1628</v>
      </c>
      <c r="E55" s="1200" t="s">
        <v>1629</v>
      </c>
      <c r="F55" s="1427" t="s">
        <v>1630</v>
      </c>
      <c r="G55" s="3626" t="s">
        <v>1631</v>
      </c>
      <c r="H55" s="3712"/>
      <c r="I55" s="1431" t="s">
        <v>1632</v>
      </c>
      <c r="J55" s="1432">
        <f>项目基本情况!F35</f>
        <v>0</v>
      </c>
      <c r="K55" s="1272" t="s">
        <v>1633</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1634</v>
      </c>
      <c r="B56" s="1203" t="e">
        <f>C48</f>
        <v>#DIV/0!</v>
      </c>
      <c r="C56" s="1204">
        <v>1</v>
      </c>
      <c r="D56" s="1205">
        <v>1</v>
      </c>
      <c r="E56" s="1204">
        <f>'数据-汇总表'!E8+'数据-汇总表'!E9</f>
        <v>46.53</v>
      </c>
      <c r="F56" s="1428" t="e">
        <f t="shared" ref="F56:F64" si="15">ROUND(B56*E56/10000,0)</f>
        <v>#DIV/0!</v>
      </c>
      <c r="G56" s="3642"/>
      <c r="H56" s="3643"/>
      <c r="I56" s="1433">
        <v>1</v>
      </c>
      <c r="J56" s="1434">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1635</v>
      </c>
      <c r="B57" s="395" t="e">
        <f>ROUND($C$48*C57*D57,0)</f>
        <v>#DIV/0!</v>
      </c>
      <c r="C57" s="582">
        <f t="shared" ref="C57:C64" si="16">IF($C$55="北京市系数",I57,J57)</f>
        <v>0</v>
      </c>
      <c r="D57" s="1208">
        <v>0.25</v>
      </c>
      <c r="E57" s="1209"/>
      <c r="F57" s="1428" t="e">
        <f t="shared" si="15"/>
        <v>#DIV/0!</v>
      </c>
      <c r="G57" s="1210" t="s">
        <v>1636</v>
      </c>
      <c r="H57" s="1211">
        <f>项目基本情况!B37</f>
        <v>0</v>
      </c>
      <c r="I57" s="1433">
        <f>SUMIF(修正!A57:A68,H57,修正!B57:B68)</f>
        <v>0</v>
      </c>
      <c r="J57" s="1435"/>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1637</v>
      </c>
      <c r="B58" s="395" t="e">
        <f t="shared" ref="B58:B64" si="17">ROUND($C$48*C58*D58,0)</f>
        <v>#DIV/0!</v>
      </c>
      <c r="C58" s="582">
        <f t="shared" si="16"/>
        <v>0</v>
      </c>
      <c r="D58" s="1208">
        <v>0.25</v>
      </c>
      <c r="E58" s="1209"/>
      <c r="F58" s="1428" t="e">
        <f t="shared" si="15"/>
        <v>#DIV/0!</v>
      </c>
      <c r="G58" s="1212"/>
      <c r="H58" s="1211">
        <f>项目基本情况!B37</f>
        <v>0</v>
      </c>
      <c r="I58" s="1433">
        <f>SUMIF(修正!A57:A68,H58,修正!C57:C68)</f>
        <v>0</v>
      </c>
      <c r="J58" s="1435"/>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1638</v>
      </c>
      <c r="B59" s="395" t="e">
        <f t="shared" si="17"/>
        <v>#DIV/0!</v>
      </c>
      <c r="C59" s="582">
        <f t="shared" si="16"/>
        <v>0</v>
      </c>
      <c r="D59" s="1208">
        <v>0.25</v>
      </c>
      <c r="E59" s="1209"/>
      <c r="F59" s="1428" t="e">
        <f t="shared" si="15"/>
        <v>#DIV/0!</v>
      </c>
      <c r="G59" s="1212"/>
      <c r="H59" s="1211">
        <f>项目基本情况!B37</f>
        <v>0</v>
      </c>
      <c r="I59" s="1433">
        <f>SUMIF(修正!A57:A68,H59,修正!D57:D68)</f>
        <v>0</v>
      </c>
      <c r="J59" s="1435"/>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1639</v>
      </c>
      <c r="B60" s="395" t="e">
        <f t="shared" si="17"/>
        <v>#DIV/0!</v>
      </c>
      <c r="C60" s="582">
        <f t="shared" si="16"/>
        <v>0</v>
      </c>
      <c r="D60" s="1208">
        <v>0.25</v>
      </c>
      <c r="E60" s="394">
        <f>'数据-汇总表'!E11</f>
        <v>0</v>
      </c>
      <c r="F60" s="1428" t="e">
        <f t="shared" si="15"/>
        <v>#DIV/0!</v>
      </c>
      <c r="G60" s="1214" t="s">
        <v>1640</v>
      </c>
      <c r="H60" s="1211">
        <f>项目基本情况!C37</f>
        <v>0</v>
      </c>
      <c r="I60" s="1433">
        <f>SUMIF(修正!A57:A68,H60,修正!E57:E68)</f>
        <v>0</v>
      </c>
      <c r="J60" s="1435"/>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1641</v>
      </c>
      <c r="B61" s="395" t="e">
        <f t="shared" si="17"/>
        <v>#DIV/0!</v>
      </c>
      <c r="C61" s="582">
        <f t="shared" si="16"/>
        <v>0</v>
      </c>
      <c r="D61" s="1208">
        <v>0.25</v>
      </c>
      <c r="E61" s="394">
        <f>'数据-汇总表'!E12</f>
        <v>0</v>
      </c>
      <c r="F61" s="1428" t="e">
        <f t="shared" si="15"/>
        <v>#DIV/0!</v>
      </c>
      <c r="G61" s="1215" t="s">
        <v>1642</v>
      </c>
      <c r="H61" s="1211">
        <f>IF(G61="商业",项目基本情况!B37,IF(G61="办公",项目基本情况!C37,IF(G61="住宅",项目基本情况!D37,项目基本情况!E37)))</f>
        <v>0</v>
      </c>
      <c r="I61" s="1433">
        <f>SUMIF(修正!A57:A68,H61,修正!F57:F68)</f>
        <v>0</v>
      </c>
      <c r="J61" s="1435"/>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1643</v>
      </c>
      <c r="B62" s="395" t="e">
        <f t="shared" si="17"/>
        <v>#DIV/0!</v>
      </c>
      <c r="C62" s="582">
        <f t="shared" si="16"/>
        <v>0</v>
      </c>
      <c r="D62" s="1208">
        <v>0.25</v>
      </c>
      <c r="E62" s="394">
        <f>'数据-汇总表'!E13</f>
        <v>0</v>
      </c>
      <c r="F62" s="1428" t="e">
        <f t="shared" si="15"/>
        <v>#DIV/0!</v>
      </c>
      <c r="G62" s="1215" t="s">
        <v>1644</v>
      </c>
      <c r="H62" s="1211">
        <f>IF(G62="商业",项目基本情况!B37,IF(G62="办公",项目基本情况!C37,IF(G62="住宅",项目基本情况!D37,项目基本情况!E37)))</f>
        <v>0</v>
      </c>
      <c r="I62" s="1433">
        <f>SUMIF(修正!A57:A68,H62,修正!G57:G68)</f>
        <v>0</v>
      </c>
      <c r="J62" s="1435"/>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1645</v>
      </c>
      <c r="B63" s="395" t="e">
        <f t="shared" si="17"/>
        <v>#DIV/0!</v>
      </c>
      <c r="C63" s="582">
        <f t="shared" si="16"/>
        <v>0</v>
      </c>
      <c r="D63" s="1208">
        <v>0.25</v>
      </c>
      <c r="E63" s="394">
        <f>'数据-汇总表'!E14</f>
        <v>0</v>
      </c>
      <c r="F63" s="1428" t="e">
        <f t="shared" si="15"/>
        <v>#DIV/0!</v>
      </c>
      <c r="G63" s="1214" t="s">
        <v>1636</v>
      </c>
      <c r="H63" s="1211">
        <f>项目基本情况!B37</f>
        <v>0</v>
      </c>
      <c r="I63" s="1433">
        <f>SUMIF(修正!A57:A68,H63,修正!G57:G68)</f>
        <v>0</v>
      </c>
      <c r="J63" s="1435"/>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1646</v>
      </c>
      <c r="B64" s="395" t="e">
        <f t="shared" si="17"/>
        <v>#DIV/0!</v>
      </c>
      <c r="C64" s="582">
        <f t="shared" si="16"/>
        <v>0</v>
      </c>
      <c r="D64" s="1208">
        <v>0.25</v>
      </c>
      <c r="E64" s="394">
        <f>'数据-汇总表'!E15</f>
        <v>0</v>
      </c>
      <c r="F64" s="1428" t="e">
        <f t="shared" si="15"/>
        <v>#DIV/0!</v>
      </c>
      <c r="G64" s="1216" t="s">
        <v>1640</v>
      </c>
      <c r="H64" s="1217">
        <f>项目基本情况!C37</f>
        <v>0</v>
      </c>
      <c r="I64" s="1436">
        <f>SUMIF(修正!A57:A68,H64,修正!G57:G68)</f>
        <v>0</v>
      </c>
      <c r="J64" s="1437"/>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2.75">
      <c r="A65" s="1218" t="s">
        <v>1647</v>
      </c>
      <c r="B65" s="1219" t="s">
        <v>1648</v>
      </c>
      <c r="C65" s="1219" t="s">
        <v>1648</v>
      </c>
      <c r="D65" s="1219" t="s">
        <v>1648</v>
      </c>
      <c r="E65" s="1219">
        <f>IF(B46="楼面地价",SUM(E56:E64),'数据-汇总表'!D3)</f>
        <v>46.53</v>
      </c>
      <c r="F65" s="1220" t="e">
        <f>IF(B46="楼面地价",SUM(F56:F64),ROUND(C48*E65/10000,0))</f>
        <v>#DIV/0!</v>
      </c>
      <c r="G65" s="1439"/>
      <c r="H65" s="1439"/>
      <c r="I65" s="1439"/>
      <c r="J65" s="1439"/>
      <c r="K65" s="1441"/>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2023-10-1</v>
      </c>
      <c r="D67" s="1225">
        <f>EDATE(C67,-3)</f>
        <v>45108</v>
      </c>
      <c r="E67" s="1225">
        <f>EDATE(D67,-3)</f>
        <v>45017</v>
      </c>
      <c r="F67" s="1225">
        <f t="shared" ref="F67:O67" si="18">EDATE(E67,-3)</f>
        <v>44927</v>
      </c>
      <c r="G67" s="1225">
        <f t="shared" si="18"/>
        <v>44835</v>
      </c>
      <c r="H67" s="1225">
        <f t="shared" si="18"/>
        <v>44743</v>
      </c>
      <c r="I67" s="1225">
        <f t="shared" si="18"/>
        <v>44652</v>
      </c>
      <c r="J67" s="1225">
        <f t="shared" si="18"/>
        <v>44562</v>
      </c>
      <c r="K67" s="1225">
        <f t="shared" si="18"/>
        <v>44470</v>
      </c>
      <c r="L67" s="1225">
        <f t="shared" si="18"/>
        <v>44378</v>
      </c>
      <c r="M67" s="1225">
        <f t="shared" si="18"/>
        <v>44287</v>
      </c>
      <c r="N67" s="1225">
        <f t="shared" si="18"/>
        <v>44197</v>
      </c>
      <c r="O67" s="1225">
        <f t="shared" si="18"/>
        <v>44105</v>
      </c>
      <c r="P67" s="1187"/>
      <c r="Q67" s="1187"/>
      <c r="R67" s="1187"/>
      <c r="S67" s="1187"/>
      <c r="T67" s="1187"/>
      <c r="U67" s="1187"/>
      <c r="V67" s="1187"/>
      <c r="W67" s="1187"/>
      <c r="X67" s="1187"/>
      <c r="Y67" s="1187"/>
      <c r="Z67" s="1187"/>
      <c r="AA67" s="1187"/>
      <c r="AB67" s="1187"/>
      <c r="AC67" s="1187"/>
    </row>
    <row r="68" spans="1:29" ht="21">
      <c r="A68" s="1226" t="s">
        <v>1392</v>
      </c>
      <c r="B68" s="1227"/>
      <c r="C68" s="1228"/>
      <c r="D68" s="1228"/>
      <c r="E68" s="1228"/>
      <c r="F68" s="1229"/>
      <c r="G68" s="1229"/>
      <c r="H68" s="1228"/>
      <c r="I68" s="1228"/>
      <c r="J68" s="1279"/>
      <c r="K68" s="1442"/>
      <c r="L68" s="1443"/>
      <c r="M68" s="1279"/>
      <c r="N68" s="1280"/>
      <c r="O68" s="1280"/>
      <c r="P68" s="1280"/>
      <c r="Q68" s="1292"/>
      <c r="R68" s="1187"/>
      <c r="S68" s="1187"/>
      <c r="T68" s="1187"/>
      <c r="U68" s="1187"/>
      <c r="V68" s="1187"/>
      <c r="W68" s="1187"/>
      <c r="X68" s="1187"/>
      <c r="Y68" s="1187"/>
      <c r="Z68" s="1187"/>
      <c r="AA68" s="1187"/>
      <c r="AB68" s="1187"/>
      <c r="AC68" s="1187"/>
    </row>
    <row r="69" spans="1:29" s="1076" customFormat="1" ht="15">
      <c r="A69" s="1301" t="s">
        <v>1649</v>
      </c>
      <c r="B69" s="1302"/>
      <c r="C69" s="1303" t="str">
        <f>YEAR(C67)&amp;"-"&amp;ROUNDUP(MONTH(C67)/3,0)</f>
        <v>2023-4</v>
      </c>
      <c r="D69" s="1303" t="str">
        <f>YEAR(D67)&amp;"-"&amp;ROUNDUP(MONTH(D67)/3,0)</f>
        <v>2023-3</v>
      </c>
      <c r="E69" s="1303" t="str">
        <f t="shared" ref="E69:O69" si="19">YEAR(E67)&amp;"-"&amp;ROUNDUP(MONTH(E67)/3,0)</f>
        <v>2023-2</v>
      </c>
      <c r="F69" s="1303" t="str">
        <f t="shared" si="19"/>
        <v>2023-1</v>
      </c>
      <c r="G69" s="1303" t="str">
        <f t="shared" si="19"/>
        <v>2022-4</v>
      </c>
      <c r="H69" s="1303" t="str">
        <f t="shared" si="19"/>
        <v>2022-3</v>
      </c>
      <c r="I69" s="1303" t="str">
        <f t="shared" si="19"/>
        <v>2022-2</v>
      </c>
      <c r="J69" s="1303" t="str">
        <f t="shared" si="19"/>
        <v>2022-1</v>
      </c>
      <c r="K69" s="1303" t="str">
        <f t="shared" si="19"/>
        <v>2021-4</v>
      </c>
      <c r="L69" s="1303" t="str">
        <f t="shared" si="19"/>
        <v>2021-3</v>
      </c>
      <c r="M69" s="1303" t="str">
        <f t="shared" si="19"/>
        <v>2021-2</v>
      </c>
      <c r="N69" s="1303" t="str">
        <f t="shared" si="19"/>
        <v>2021-1</v>
      </c>
      <c r="O69" s="1303" t="str">
        <f t="shared" si="19"/>
        <v>2020-4</v>
      </c>
      <c r="P69" s="1352"/>
      <c r="Q69" s="1408"/>
      <c r="R69" s="1408"/>
      <c r="S69" s="1408"/>
      <c r="T69" s="1408"/>
      <c r="U69" s="1408"/>
      <c r="V69" s="1408"/>
      <c r="W69" s="1408"/>
      <c r="X69" s="1408"/>
      <c r="Y69" s="1408"/>
      <c r="Z69" s="1408"/>
      <c r="AA69" s="1408"/>
      <c r="AB69" s="1408"/>
      <c r="AC69" s="1408"/>
    </row>
    <row r="70" spans="1:29" s="1071" customFormat="1" ht="30" customHeight="1">
      <c r="A70" s="1440" t="s">
        <v>1650</v>
      </c>
      <c r="B70" s="1305" t="str">
        <f>"北京市平均增长率"&amp;TEXT(SUMIF(基准地价修正!N25:N29,A70,基准地价修正!P25:P29),"0.00%")</f>
        <v>北京市平均增长率0.00%</v>
      </c>
      <c r="C70" s="841">
        <v>100</v>
      </c>
      <c r="D70" s="959"/>
      <c r="E70" s="959"/>
      <c r="F70" s="959"/>
      <c r="G70" s="959"/>
      <c r="H70" s="959"/>
      <c r="I70" s="959"/>
      <c r="J70" s="959"/>
      <c r="K70" s="959"/>
      <c r="L70" s="959"/>
      <c r="M70" s="1353"/>
      <c r="N70" s="959"/>
      <c r="O70" s="1444"/>
      <c r="P70" s="1292"/>
      <c r="Q70" s="1409"/>
      <c r="R70" s="1409"/>
      <c r="S70" s="1409"/>
      <c r="T70" s="1409"/>
      <c r="U70" s="1409"/>
      <c r="V70" s="1409"/>
      <c r="W70" s="1409"/>
      <c r="X70" s="1409"/>
      <c r="Y70" s="1409"/>
      <c r="Z70" s="1409"/>
      <c r="AA70" s="1409"/>
      <c r="AB70" s="1409"/>
      <c r="AC70" s="1409"/>
    </row>
    <row r="71" spans="1:29" s="1071" customFormat="1" ht="15">
      <c r="A71" s="1306" t="s">
        <v>1393</v>
      </c>
      <c r="B71" s="1307"/>
      <c r="C71" s="1308"/>
      <c r="D71" s="1309"/>
      <c r="E71" s="1309"/>
      <c r="F71" s="1309"/>
      <c r="G71" s="1309"/>
      <c r="H71" s="1309"/>
      <c r="I71" s="1309"/>
      <c r="J71" s="1309"/>
      <c r="K71" s="1309"/>
      <c r="L71" s="1309"/>
      <c r="M71" s="1355"/>
      <c r="N71" s="1309"/>
      <c r="O71" s="1445"/>
      <c r="P71" s="1292"/>
      <c r="Q71" s="1292"/>
      <c r="R71" s="1409"/>
      <c r="S71" s="1409"/>
      <c r="T71" s="1409"/>
      <c r="U71" s="1409"/>
      <c r="V71" s="1409"/>
      <c r="W71" s="1409"/>
      <c r="X71" s="1409"/>
      <c r="Y71" s="1409"/>
      <c r="Z71" s="1409"/>
      <c r="AA71" s="1409"/>
      <c r="AB71" s="1409"/>
      <c r="AC71" s="1409"/>
    </row>
    <row r="72" spans="1:29" s="1071" customFormat="1" ht="15">
      <c r="A72" s="1310" t="s">
        <v>1344</v>
      </c>
      <c r="B72" s="1311"/>
      <c r="C72" s="1312" t="s">
        <v>1394</v>
      </c>
      <c r="D72" s="1313"/>
      <c r="E72" s="1313"/>
      <c r="F72" s="1313"/>
      <c r="G72" s="1313"/>
      <c r="H72" s="1313"/>
      <c r="I72" s="1313"/>
      <c r="J72" s="1313"/>
      <c r="K72" s="1313"/>
      <c r="L72" s="1357"/>
      <c r="M72" s="1358"/>
      <c r="N72" s="1359"/>
      <c r="O72" s="1359"/>
      <c r="P72" s="1360"/>
      <c r="Q72" s="1292"/>
      <c r="R72" s="1409"/>
      <c r="S72" s="1409"/>
      <c r="T72" s="1409"/>
      <c r="U72" s="1409"/>
      <c r="V72" s="1409"/>
      <c r="W72" s="1409"/>
      <c r="X72" s="1409"/>
      <c r="Y72" s="1409"/>
      <c r="Z72" s="1409"/>
      <c r="AA72" s="1409"/>
      <c r="AB72" s="1409"/>
      <c r="AC72" s="1409"/>
    </row>
    <row r="73" spans="1:29" s="1071" customFormat="1" ht="15">
      <c r="A73" s="1310"/>
      <c r="B73" s="1311"/>
      <c r="C73" s="1314">
        <v>100</v>
      </c>
      <c r="D73" s="1315"/>
      <c r="E73" s="1315"/>
      <c r="F73" s="1315"/>
      <c r="G73" s="1315"/>
      <c r="H73" s="1315"/>
      <c r="I73" s="1315"/>
      <c r="J73" s="1315"/>
      <c r="K73" s="1315"/>
      <c r="L73" s="1315"/>
      <c r="M73" s="1361"/>
      <c r="N73" s="1359"/>
      <c r="O73" s="1359"/>
      <c r="P73" s="1292"/>
      <c r="Q73" s="1292"/>
      <c r="R73" s="1409"/>
      <c r="S73" s="1409"/>
      <c r="T73" s="1409"/>
      <c r="U73" s="1409"/>
      <c r="V73" s="1409"/>
      <c r="W73" s="1409"/>
      <c r="X73" s="1409"/>
      <c r="Y73" s="1409"/>
      <c r="Z73" s="1409"/>
      <c r="AA73" s="1409"/>
      <c r="AB73" s="1409"/>
      <c r="AC73" s="1409"/>
    </row>
    <row r="74" spans="1:29">
      <c r="A74" s="1316" t="s">
        <v>1395</v>
      </c>
      <c r="B74" s="1317" t="s">
        <v>1349</v>
      </c>
      <c r="C74" s="1260"/>
      <c r="D74" s="1260"/>
      <c r="E74" s="1260"/>
      <c r="F74" s="1260"/>
      <c r="G74" s="1260"/>
      <c r="H74" s="1260"/>
      <c r="I74" s="1260"/>
      <c r="J74" s="1260"/>
      <c r="K74" s="1362"/>
      <c r="L74" s="1363"/>
      <c r="M74" s="1364"/>
      <c r="N74" s="1365"/>
      <c r="O74" s="1365"/>
      <c r="P74" s="1366"/>
      <c r="Q74" s="1292"/>
      <c r="R74" s="1187"/>
      <c r="S74" s="1187"/>
      <c r="T74" s="1187"/>
      <c r="U74" s="1187"/>
      <c r="V74" s="1187"/>
      <c r="W74" s="1187"/>
      <c r="X74" s="1187"/>
      <c r="Y74" s="1187"/>
      <c r="Z74" s="1187"/>
      <c r="AA74" s="1187"/>
      <c r="AB74" s="1187"/>
      <c r="AC74" s="1187"/>
    </row>
    <row r="75" spans="1:29" ht="15">
      <c r="A75" s="1318"/>
      <c r="B75" s="1319"/>
      <c r="C75" s="964"/>
      <c r="D75" s="964"/>
      <c r="E75" s="964"/>
      <c r="F75" s="964"/>
      <c r="G75" s="964"/>
      <c r="H75" s="964"/>
      <c r="I75" s="964"/>
      <c r="J75" s="964"/>
      <c r="K75" s="964"/>
      <c r="L75" s="964"/>
      <c r="M75" s="1367"/>
      <c r="N75" s="1368"/>
      <c r="O75" s="1368"/>
      <c r="P75" s="1366"/>
      <c r="Q75" s="1292"/>
      <c r="R75" s="1187"/>
      <c r="S75" s="1187"/>
      <c r="T75" s="1187"/>
      <c r="U75" s="1187"/>
      <c r="V75" s="1187"/>
      <c r="W75" s="1187"/>
      <c r="X75" s="1187"/>
      <c r="Y75" s="1187"/>
      <c r="Z75" s="1187"/>
      <c r="AA75" s="1187"/>
      <c r="AB75" s="1187"/>
      <c r="AC75" s="1187"/>
    </row>
    <row r="76" spans="1:29" ht="27">
      <c r="A76" s="1318"/>
      <c r="B76" s="1320" t="s">
        <v>1352</v>
      </c>
      <c r="C76" s="1321"/>
      <c r="D76" s="1321"/>
      <c r="E76" s="1321"/>
      <c r="F76" s="1321"/>
      <c r="G76" s="1321"/>
      <c r="H76" s="1321"/>
      <c r="I76" s="1321"/>
      <c r="J76" s="1321"/>
      <c r="K76" s="1369"/>
      <c r="L76" s="1370"/>
      <c r="M76" s="1371"/>
      <c r="N76" s="1365"/>
      <c r="O76" s="1365"/>
      <c r="P76" s="1366"/>
      <c r="Q76" s="1292"/>
      <c r="R76" s="1187"/>
      <c r="S76" s="1187"/>
      <c r="T76" s="1187"/>
      <c r="U76" s="1187"/>
      <c r="V76" s="1187"/>
      <c r="W76" s="1187"/>
      <c r="X76" s="1187"/>
      <c r="Y76" s="1187"/>
      <c r="Z76" s="1187"/>
      <c r="AA76" s="1187"/>
      <c r="AB76" s="1187"/>
      <c r="AC76" s="1187"/>
    </row>
    <row r="77" spans="1:29" ht="15">
      <c r="A77" s="1318"/>
      <c r="B77" s="1322"/>
      <c r="C77" s="1323"/>
      <c r="D77" s="1323"/>
      <c r="E77" s="1323"/>
      <c r="F77" s="1323"/>
      <c r="G77" s="1323"/>
      <c r="H77" s="1323"/>
      <c r="I77" s="1323"/>
      <c r="J77" s="1323"/>
      <c r="K77" s="1323"/>
      <c r="L77" s="1323"/>
      <c r="M77" s="1372"/>
      <c r="N77" s="1368"/>
      <c r="O77" s="1368"/>
      <c r="P77" s="1366"/>
      <c r="Q77" s="1292"/>
      <c r="R77" s="1187"/>
      <c r="S77" s="1187"/>
      <c r="T77" s="1187"/>
      <c r="U77" s="1187"/>
      <c r="V77" s="1187"/>
      <c r="W77" s="1187"/>
      <c r="X77" s="1187"/>
      <c r="Y77" s="1187"/>
      <c r="Z77" s="1187"/>
      <c r="AA77" s="1187"/>
      <c r="AB77" s="1187"/>
      <c r="AC77" s="1187"/>
    </row>
    <row r="78" spans="1:29" ht="15">
      <c r="A78" s="1318"/>
      <c r="B78" s="1324" t="s">
        <v>1353</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3" t="str">
        <f>M79&amp;"（含）"&amp;"-"&amp;P79</f>
        <v>（含）-</v>
      </c>
      <c r="N78" s="1368"/>
      <c r="O78" s="1368"/>
      <c r="P78" s="1366"/>
      <c r="Q78" s="1292"/>
      <c r="R78" s="1187"/>
      <c r="S78" s="1187"/>
      <c r="T78" s="1187"/>
      <c r="U78" s="1187"/>
      <c r="V78" s="1187"/>
      <c r="W78" s="1187"/>
      <c r="X78" s="1187"/>
      <c r="Y78" s="1187"/>
      <c r="Z78" s="1187"/>
      <c r="AA78" s="1187"/>
      <c r="AB78" s="1187"/>
      <c r="AC78" s="1187"/>
    </row>
    <row r="79" spans="1:29" ht="15">
      <c r="A79" s="1318"/>
      <c r="B79" s="1326"/>
      <c r="C79" s="1118"/>
      <c r="D79" s="1118"/>
      <c r="E79" s="1118"/>
      <c r="F79" s="1118"/>
      <c r="G79" s="1118"/>
      <c r="H79" s="1118"/>
      <c r="I79" s="1118"/>
      <c r="J79" s="1118"/>
      <c r="K79" s="1373"/>
      <c r="L79" s="1374"/>
      <c r="M79" s="1375"/>
      <c r="N79" s="1365"/>
      <c r="O79" s="1365"/>
      <c r="P79" s="1366"/>
      <c r="Q79" s="1292"/>
      <c r="R79" s="1187"/>
      <c r="S79" s="1187"/>
      <c r="T79" s="1187"/>
      <c r="U79" s="1187"/>
      <c r="V79" s="1187"/>
      <c r="W79" s="1187"/>
      <c r="X79" s="1187"/>
      <c r="Y79" s="1187"/>
      <c r="Z79" s="1187"/>
      <c r="AA79" s="1187"/>
      <c r="AB79" s="1187"/>
      <c r="AC79" s="1187"/>
    </row>
    <row r="80" spans="1:29" ht="15">
      <c r="A80" s="1318"/>
      <c r="B80" s="1319"/>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8"/>
      <c r="O80" s="1368"/>
      <c r="P80" s="1366"/>
      <c r="Q80" s="1292"/>
      <c r="R80" s="1187"/>
      <c r="S80" s="1187"/>
      <c r="T80" s="1187"/>
      <c r="U80" s="1187"/>
      <c r="V80" s="1187"/>
      <c r="W80" s="1187"/>
      <c r="X80" s="1187"/>
      <c r="Y80" s="1187"/>
      <c r="Z80" s="1187"/>
      <c r="AA80" s="1187"/>
      <c r="AB80" s="1187"/>
      <c r="AC80" s="1187"/>
    </row>
    <row r="81" spans="1:29" s="1073" customFormat="1" ht="15">
      <c r="A81" s="1327"/>
      <c r="B81" s="1320" t="str">
        <f>B12</f>
        <v>配建</v>
      </c>
      <c r="C81" s="1328"/>
      <c r="D81" s="1328"/>
      <c r="E81" s="1328"/>
      <c r="F81" s="1328"/>
      <c r="G81" s="1328"/>
      <c r="H81" s="1329"/>
      <c r="I81" s="1329"/>
      <c r="J81" s="1329"/>
      <c r="K81" s="1329"/>
      <c r="L81" s="1376"/>
      <c r="M81" s="1377"/>
      <c r="N81" s="1378"/>
      <c r="O81" s="1378"/>
      <c r="P81" s="1379"/>
      <c r="Q81" s="1410"/>
      <c r="R81" s="1411"/>
      <c r="S81" s="1411"/>
      <c r="T81" s="1411"/>
      <c r="U81" s="1411"/>
      <c r="V81" s="1411"/>
      <c r="W81" s="1411"/>
      <c r="X81" s="1411"/>
      <c r="Y81" s="1411"/>
      <c r="Z81" s="1411"/>
      <c r="AA81" s="1411"/>
      <c r="AB81" s="1411"/>
      <c r="AC81" s="1411"/>
    </row>
    <row r="82" spans="1:29" s="1073" customFormat="1" ht="15">
      <c r="A82" s="1327"/>
      <c r="B82" s="1322"/>
      <c r="C82" s="963"/>
      <c r="D82" s="964"/>
      <c r="E82" s="964"/>
      <c r="F82" s="964"/>
      <c r="G82" s="964"/>
      <c r="H82" s="964"/>
      <c r="I82" s="964"/>
      <c r="J82" s="964"/>
      <c r="K82" s="964"/>
      <c r="L82" s="964"/>
      <c r="M82" s="1367"/>
      <c r="N82" s="1368"/>
      <c r="O82" s="1368"/>
      <c r="P82" s="1379"/>
      <c r="Q82" s="1410"/>
      <c r="R82" s="1411"/>
      <c r="S82" s="1411"/>
      <c r="T82" s="1411"/>
      <c r="U82" s="1411"/>
      <c r="V82" s="1411"/>
      <c r="W82" s="1411"/>
      <c r="X82" s="1411"/>
      <c r="Y82" s="1411"/>
      <c r="Z82" s="1411"/>
      <c r="AA82" s="1411"/>
      <c r="AB82" s="1411"/>
      <c r="AC82" s="1411"/>
    </row>
    <row r="83" spans="1:29" s="1073" customFormat="1" ht="15">
      <c r="A83" s="1327"/>
      <c r="B83" s="1320">
        <f>B13</f>
        <v>111</v>
      </c>
      <c r="C83" s="1328"/>
      <c r="D83" s="1328"/>
      <c r="E83" s="1328"/>
      <c r="F83" s="1328"/>
      <c r="G83" s="1328"/>
      <c r="H83" s="1329"/>
      <c r="I83" s="1329"/>
      <c r="J83" s="1329"/>
      <c r="K83" s="1329"/>
      <c r="L83" s="1376"/>
      <c r="M83" s="1377"/>
      <c r="N83" s="1378"/>
      <c r="O83" s="1378"/>
      <c r="P83" s="1258"/>
      <c r="Q83" s="1412"/>
      <c r="R83" s="1411"/>
      <c r="S83" s="1411"/>
      <c r="T83" s="1411"/>
      <c r="U83" s="1411"/>
      <c r="V83" s="1411"/>
      <c r="W83" s="1411"/>
      <c r="X83" s="1411"/>
      <c r="Y83" s="1411"/>
      <c r="Z83" s="1411"/>
      <c r="AA83" s="1411"/>
      <c r="AB83" s="1411"/>
      <c r="AC83" s="1411"/>
    </row>
    <row r="84" spans="1:29" s="1073" customFormat="1" ht="15">
      <c r="A84" s="1327"/>
      <c r="B84" s="1322"/>
      <c r="C84" s="963"/>
      <c r="D84" s="963"/>
      <c r="E84" s="963"/>
      <c r="F84" s="963"/>
      <c r="G84" s="963"/>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3" customFormat="1" ht="15">
      <c r="A85" s="1327"/>
      <c r="B85" s="1324">
        <f>B14</f>
        <v>111</v>
      </c>
      <c r="C85" s="1313"/>
      <c r="D85" s="1313"/>
      <c r="E85" s="1313"/>
      <c r="F85" s="1313"/>
      <c r="G85" s="1313"/>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3"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6" t="s">
        <v>1354</v>
      </c>
      <c r="B87" s="1317" t="s">
        <v>1555</v>
      </c>
      <c r="C87" s="1336" t="s">
        <v>1396</v>
      </c>
      <c r="D87" s="1336" t="s">
        <v>1397</v>
      </c>
      <c r="E87" s="1336" t="s">
        <v>1398</v>
      </c>
      <c r="F87" s="1336" t="s">
        <v>1399</v>
      </c>
      <c r="G87" s="1336" t="s">
        <v>1400</v>
      </c>
      <c r="H87" s="1337"/>
      <c r="I87" s="1337"/>
      <c r="J87" s="1337"/>
      <c r="K87" s="1385"/>
      <c r="L87" s="1386"/>
      <c r="M87" s="1387"/>
      <c r="N87" s="1365"/>
      <c r="O87" s="1365"/>
      <c r="P87" s="1388"/>
      <c r="Q87" s="1292"/>
      <c r="R87" s="1187"/>
      <c r="S87" s="1187"/>
      <c r="T87" s="1187"/>
      <c r="U87" s="1187"/>
      <c r="V87" s="1187"/>
      <c r="W87" s="1187"/>
      <c r="X87" s="1187"/>
      <c r="Y87" s="1187"/>
      <c r="Z87" s="1187"/>
      <c r="AA87" s="1187"/>
      <c r="AB87" s="1187"/>
      <c r="AC87" s="1187"/>
    </row>
    <row r="88" spans="1:29" ht="15">
      <c r="A88" s="1318"/>
      <c r="B88" s="1322"/>
      <c r="C88" s="1323">
        <v>100</v>
      </c>
      <c r="D88" s="1323">
        <f>C88-$K15</f>
        <v>100</v>
      </c>
      <c r="E88" s="1323">
        <f>D88-$K15</f>
        <v>100</v>
      </c>
      <c r="F88" s="1323">
        <f>E88-$K15</f>
        <v>100</v>
      </c>
      <c r="G88" s="1323">
        <f>F88-$K15</f>
        <v>100</v>
      </c>
      <c r="H88" s="1323"/>
      <c r="I88" s="1323"/>
      <c r="J88" s="1323"/>
      <c r="K88" s="1323"/>
      <c r="L88" s="1323"/>
      <c r="M88" s="1372"/>
      <c r="N88" s="1368"/>
      <c r="O88" s="1368"/>
      <c r="P88" s="1366"/>
      <c r="Q88" s="1292"/>
      <c r="R88" s="1187"/>
      <c r="S88" s="1187"/>
      <c r="T88" s="1187"/>
      <c r="U88" s="1187"/>
      <c r="V88" s="1187"/>
      <c r="W88" s="1187"/>
      <c r="X88" s="1187"/>
      <c r="Y88" s="1187"/>
      <c r="Z88" s="1187"/>
      <c r="AA88" s="1187"/>
      <c r="AB88" s="1187"/>
      <c r="AC88" s="1187"/>
    </row>
    <row r="89" spans="1:29" ht="15">
      <c r="A89" s="1318"/>
      <c r="B89" s="1320" t="s">
        <v>1582</v>
      </c>
      <c r="C89" s="1338" t="s">
        <v>1396</v>
      </c>
      <c r="D89" s="1338" t="s">
        <v>1397</v>
      </c>
      <c r="E89" s="1338" t="s">
        <v>1398</v>
      </c>
      <c r="F89" s="1338" t="s">
        <v>1399</v>
      </c>
      <c r="G89" s="1338" t="s">
        <v>1400</v>
      </c>
      <c r="H89" s="1321"/>
      <c r="I89" s="1321"/>
      <c r="J89" s="1321"/>
      <c r="K89" s="1369"/>
      <c r="L89" s="1370"/>
      <c r="M89" s="1371"/>
      <c r="N89" s="1365"/>
      <c r="O89" s="1365"/>
      <c r="P89" s="1366"/>
      <c r="Q89" s="1292"/>
      <c r="R89" s="1187"/>
      <c r="S89" s="1187"/>
      <c r="T89" s="1187"/>
      <c r="U89" s="1187"/>
      <c r="V89" s="1187"/>
      <c r="W89" s="1187"/>
      <c r="X89" s="1187"/>
      <c r="Y89" s="1187"/>
      <c r="Z89" s="1187"/>
      <c r="AA89" s="1187"/>
      <c r="AB89" s="1187"/>
      <c r="AC89" s="1187"/>
    </row>
    <row r="90" spans="1:29" ht="15">
      <c r="A90" s="1318"/>
      <c r="B90" s="1322"/>
      <c r="C90" s="1323">
        <v>100</v>
      </c>
      <c r="D90" s="1323">
        <f>C90-$K17</f>
        <v>100</v>
      </c>
      <c r="E90" s="1323">
        <f>D90-$K17</f>
        <v>100</v>
      </c>
      <c r="F90" s="1323">
        <f>E90-$K17</f>
        <v>100</v>
      </c>
      <c r="G90" s="1323">
        <f>F90-$K17</f>
        <v>100</v>
      </c>
      <c r="H90" s="1323"/>
      <c r="I90" s="1323"/>
      <c r="J90" s="1323"/>
      <c r="K90" s="1323"/>
      <c r="L90" s="1323"/>
      <c r="M90" s="1372"/>
      <c r="N90" s="1368"/>
      <c r="O90" s="1368"/>
      <c r="P90" s="1366"/>
      <c r="Q90" s="1292"/>
      <c r="R90" s="1187"/>
      <c r="S90" s="1187"/>
      <c r="T90" s="1187"/>
      <c r="U90" s="1187"/>
      <c r="V90" s="1187"/>
      <c r="W90" s="1187"/>
      <c r="X90" s="1187"/>
      <c r="Y90" s="1187"/>
      <c r="Z90" s="1187"/>
      <c r="AA90" s="1187"/>
      <c r="AB90" s="1187"/>
      <c r="AC90" s="1187"/>
    </row>
    <row r="91" spans="1:29" ht="15">
      <c r="A91" s="1318"/>
      <c r="B91" s="1320" t="s">
        <v>1355</v>
      </c>
      <c r="C91" s="1338" t="s">
        <v>1396</v>
      </c>
      <c r="D91" s="1338" t="s">
        <v>1397</v>
      </c>
      <c r="E91" s="1338" t="s">
        <v>1398</v>
      </c>
      <c r="F91" s="1338" t="s">
        <v>1399</v>
      </c>
      <c r="G91" s="1338" t="s">
        <v>1400</v>
      </c>
      <c r="H91" s="1321"/>
      <c r="I91" s="1321"/>
      <c r="J91" s="1321"/>
      <c r="K91" s="1369"/>
      <c r="L91" s="1370"/>
      <c r="M91" s="1371"/>
      <c r="N91" s="1365"/>
      <c r="O91" s="1365"/>
      <c r="P91" s="1366"/>
      <c r="Q91" s="1292"/>
      <c r="R91" s="1187"/>
      <c r="S91" s="1187"/>
      <c r="T91" s="1187"/>
      <c r="U91" s="1187"/>
      <c r="V91" s="1187"/>
      <c r="W91" s="1187"/>
      <c r="X91" s="1187"/>
      <c r="Y91" s="1187"/>
      <c r="Z91" s="1187"/>
      <c r="AA91" s="1187"/>
      <c r="AB91" s="1187"/>
      <c r="AC91" s="1187"/>
    </row>
    <row r="92" spans="1:29" ht="15">
      <c r="A92" s="1318"/>
      <c r="B92" s="1322"/>
      <c r="C92" s="1323">
        <v>100</v>
      </c>
      <c r="D92" s="1323">
        <f>C92-$K19</f>
        <v>100</v>
      </c>
      <c r="E92" s="1323">
        <f>D92-$K19</f>
        <v>100</v>
      </c>
      <c r="F92" s="1323">
        <f>E92-$K19</f>
        <v>100</v>
      </c>
      <c r="G92" s="1323">
        <f>F92-$K19</f>
        <v>100</v>
      </c>
      <c r="H92" s="1323"/>
      <c r="I92" s="1323"/>
      <c r="J92" s="1323"/>
      <c r="K92" s="1323"/>
      <c r="L92" s="1323"/>
      <c r="M92" s="1372"/>
      <c r="N92" s="1368"/>
      <c r="O92" s="1368"/>
      <c r="P92" s="1366"/>
      <c r="Q92" s="1292"/>
      <c r="R92" s="1187"/>
      <c r="S92" s="1187"/>
      <c r="T92" s="1187"/>
      <c r="U92" s="1187"/>
      <c r="V92" s="1187"/>
      <c r="W92" s="1187"/>
      <c r="X92" s="1187"/>
      <c r="Y92" s="1187"/>
      <c r="Z92" s="1187"/>
      <c r="AA92" s="1187"/>
      <c r="AB92" s="1187"/>
      <c r="AC92" s="1187"/>
    </row>
    <row r="93" spans="1:29" ht="15">
      <c r="A93" s="1318"/>
      <c r="B93" s="1320" t="s">
        <v>1358</v>
      </c>
      <c r="C93" s="1338" t="s">
        <v>1396</v>
      </c>
      <c r="D93" s="1338" t="s">
        <v>1397</v>
      </c>
      <c r="E93" s="1338" t="s">
        <v>1398</v>
      </c>
      <c r="F93" s="1338" t="s">
        <v>1399</v>
      </c>
      <c r="G93" s="1338" t="s">
        <v>1400</v>
      </c>
      <c r="H93" s="1321"/>
      <c r="I93" s="1321"/>
      <c r="J93" s="1321"/>
      <c r="K93" s="1369"/>
      <c r="L93" s="1370"/>
      <c r="M93" s="1371"/>
      <c r="N93" s="1365"/>
      <c r="O93" s="1365"/>
      <c r="P93" s="1366"/>
      <c r="Q93" s="1292"/>
      <c r="R93" s="1187"/>
      <c r="S93" s="1187"/>
      <c r="T93" s="1187"/>
      <c r="U93" s="1187"/>
      <c r="V93" s="1187"/>
      <c r="W93" s="1187"/>
      <c r="X93" s="1187"/>
      <c r="Y93" s="1187"/>
      <c r="Z93" s="1187"/>
      <c r="AA93" s="1187"/>
      <c r="AB93" s="1187"/>
      <c r="AC93" s="1187"/>
    </row>
    <row r="94" spans="1:29" ht="15">
      <c r="A94" s="1318"/>
      <c r="B94" s="1322"/>
      <c r="C94" s="1323">
        <v>100</v>
      </c>
      <c r="D94" s="1323">
        <f>C94-$K21</f>
        <v>100</v>
      </c>
      <c r="E94" s="1323">
        <f>D94-$K21</f>
        <v>100</v>
      </c>
      <c r="F94" s="1323">
        <f>E94-$K21</f>
        <v>100</v>
      </c>
      <c r="G94" s="1323">
        <f>F94-$K21</f>
        <v>100</v>
      </c>
      <c r="H94" s="1323"/>
      <c r="I94" s="1323"/>
      <c r="J94" s="1323"/>
      <c r="K94" s="1323"/>
      <c r="L94" s="1323"/>
      <c r="M94" s="1372"/>
      <c r="N94" s="1368"/>
      <c r="O94" s="1368"/>
      <c r="P94" s="1366"/>
      <c r="Q94" s="1292"/>
      <c r="R94" s="1187"/>
      <c r="S94" s="1187"/>
      <c r="T94" s="1187"/>
      <c r="U94" s="1187"/>
      <c r="V94" s="1187"/>
      <c r="W94" s="1187"/>
      <c r="X94" s="1187"/>
      <c r="Y94" s="1187"/>
      <c r="Z94" s="1187"/>
      <c r="AA94" s="1187"/>
      <c r="AB94" s="1187"/>
      <c r="AC94" s="1187"/>
    </row>
    <row r="95" spans="1:29" s="1071" customFormat="1" ht="15">
      <c r="A95" s="1339"/>
      <c r="B95" s="1320" t="s">
        <v>1615</v>
      </c>
      <c r="C95" s="1338" t="s">
        <v>1396</v>
      </c>
      <c r="D95" s="1338" t="s">
        <v>1397</v>
      </c>
      <c r="E95" s="1338" t="s">
        <v>1398</v>
      </c>
      <c r="F95" s="1338" t="s">
        <v>1399</v>
      </c>
      <c r="G95" s="1338" t="s">
        <v>1400</v>
      </c>
      <c r="H95" s="1338"/>
      <c r="I95" s="1338"/>
      <c r="J95" s="1338"/>
      <c r="K95" s="1338"/>
      <c r="L95" s="1389"/>
      <c r="M95" s="1390"/>
      <c r="N95" s="1359"/>
      <c r="O95" s="1359"/>
      <c r="P95" s="1366"/>
      <c r="Q95" s="1292"/>
      <c r="R95" s="1409"/>
      <c r="S95" s="1409"/>
      <c r="T95" s="1409"/>
      <c r="U95" s="1409"/>
      <c r="V95" s="1409"/>
      <c r="W95" s="1409"/>
      <c r="X95" s="1409"/>
      <c r="Y95" s="1409"/>
      <c r="Z95" s="1409"/>
      <c r="AA95" s="1409"/>
      <c r="AB95" s="1409"/>
      <c r="AC95" s="1409"/>
    </row>
    <row r="96" spans="1:29" s="1071" customFormat="1" ht="15">
      <c r="A96" s="1339"/>
      <c r="B96" s="1322"/>
      <c r="C96" s="1340">
        <v>100</v>
      </c>
      <c r="D96" s="1323">
        <f>C96-$K23</f>
        <v>100</v>
      </c>
      <c r="E96" s="1323">
        <f>D96-$K23</f>
        <v>100</v>
      </c>
      <c r="F96" s="1323">
        <f>E96-$K23</f>
        <v>100</v>
      </c>
      <c r="G96" s="1323">
        <f>F96-$K23</f>
        <v>100</v>
      </c>
      <c r="H96" s="1323"/>
      <c r="I96" s="1323"/>
      <c r="J96" s="1323"/>
      <c r="K96" s="1323"/>
      <c r="L96" s="1323"/>
      <c r="M96" s="1372"/>
      <c r="N96" s="1368"/>
      <c r="O96" s="1368"/>
      <c r="P96" s="1366"/>
      <c r="Q96" s="1292"/>
      <c r="R96" s="1409"/>
      <c r="S96" s="1409"/>
      <c r="T96" s="1409"/>
      <c r="U96" s="1409"/>
      <c r="V96" s="1409"/>
      <c r="W96" s="1409"/>
      <c r="X96" s="1409"/>
      <c r="Y96" s="1409"/>
      <c r="Z96" s="1409"/>
      <c r="AA96" s="1409"/>
      <c r="AB96" s="1409"/>
      <c r="AC96" s="1409"/>
    </row>
    <row r="97" spans="1:29" s="1071" customFormat="1" ht="27">
      <c r="A97" s="1339"/>
      <c r="B97" s="1320" t="s">
        <v>1616</v>
      </c>
      <c r="C97" s="1336" t="s">
        <v>1396</v>
      </c>
      <c r="D97" s="1336" t="s">
        <v>1397</v>
      </c>
      <c r="E97" s="1336" t="s">
        <v>1398</v>
      </c>
      <c r="F97" s="1336" t="s">
        <v>1399</v>
      </c>
      <c r="G97" s="1336" t="s">
        <v>1400</v>
      </c>
      <c r="H97" s="1338"/>
      <c r="I97" s="1338"/>
      <c r="J97" s="1338"/>
      <c r="K97" s="1338"/>
      <c r="L97" s="1338"/>
      <c r="M97" s="1390"/>
      <c r="N97" s="1359"/>
      <c r="O97" s="1359"/>
      <c r="P97" s="1366"/>
      <c r="Q97" s="1292"/>
      <c r="R97" s="1409"/>
      <c r="S97" s="1409"/>
      <c r="T97" s="1409"/>
      <c r="U97" s="1409"/>
      <c r="V97" s="1409"/>
      <c r="W97" s="1409"/>
      <c r="X97" s="1409"/>
      <c r="Y97" s="1409"/>
      <c r="Z97" s="1409"/>
      <c r="AA97" s="1409"/>
      <c r="AB97" s="1409"/>
      <c r="AC97" s="1409"/>
    </row>
    <row r="98" spans="1:29" s="1071" customFormat="1" ht="15">
      <c r="A98" s="1339"/>
      <c r="B98" s="1322"/>
      <c r="C98" s="1323">
        <v>100</v>
      </c>
      <c r="D98" s="1323">
        <f>C98-$K25</f>
        <v>100</v>
      </c>
      <c r="E98" s="1323">
        <f>D98-$K25</f>
        <v>100</v>
      </c>
      <c r="F98" s="1323">
        <f>E98-$K25</f>
        <v>100</v>
      </c>
      <c r="G98" s="1323">
        <f>F98-$K25</f>
        <v>100</v>
      </c>
      <c r="H98" s="1323"/>
      <c r="I98" s="1323"/>
      <c r="J98" s="1323"/>
      <c r="K98" s="1323"/>
      <c r="L98" s="1323"/>
      <c r="M98" s="1372"/>
      <c r="N98" s="1368"/>
      <c r="O98" s="1368"/>
      <c r="P98" s="1366"/>
      <c r="Q98" s="1292"/>
      <c r="R98" s="1409"/>
      <c r="S98" s="1409"/>
      <c r="T98" s="1409"/>
      <c r="U98" s="1409"/>
      <c r="V98" s="1409"/>
      <c r="W98" s="1409"/>
      <c r="X98" s="1409"/>
      <c r="Y98" s="1409"/>
      <c r="Z98" s="1409"/>
      <c r="AA98" s="1409"/>
      <c r="AB98" s="1409"/>
      <c r="AC98" s="1409"/>
    </row>
    <row r="99" spans="1:29" s="1073" customFormat="1" ht="15">
      <c r="A99" s="1327"/>
      <c r="B99" s="1320" t="s">
        <v>1359</v>
      </c>
      <c r="C99" s="1336" t="s">
        <v>1396</v>
      </c>
      <c r="D99" s="1336" t="s">
        <v>1397</v>
      </c>
      <c r="E99" s="1336" t="s">
        <v>1398</v>
      </c>
      <c r="F99" s="1336" t="s">
        <v>1399</v>
      </c>
      <c r="G99" s="1336" t="s">
        <v>1400</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3" customFormat="1" ht="15">
      <c r="A100" s="1327"/>
      <c r="B100" s="1322"/>
      <c r="C100" s="1323">
        <v>100</v>
      </c>
      <c r="D100" s="1323">
        <f>C100-$K27</f>
        <v>100</v>
      </c>
      <c r="E100" s="1323">
        <f>D100-$K27</f>
        <v>100</v>
      </c>
      <c r="F100" s="1323">
        <f>E100-$K27</f>
        <v>100</v>
      </c>
      <c r="G100" s="1323">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3" customFormat="1" ht="15">
      <c r="A101" s="1327"/>
      <c r="B101" s="1324" t="s">
        <v>1360</v>
      </c>
      <c r="C101" s="1343" t="s">
        <v>1401</v>
      </c>
      <c r="D101" s="1343" t="s">
        <v>1402</v>
      </c>
      <c r="E101" s="1343" t="s">
        <v>1403</v>
      </c>
      <c r="F101" s="1343" t="s">
        <v>1404</v>
      </c>
      <c r="G101" s="1343" t="s">
        <v>1405</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3"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8"/>
      <c r="B103" s="1320" t="str">
        <f>B31</f>
        <v>临街状况</v>
      </c>
      <c r="C103" s="1321" t="s">
        <v>1651</v>
      </c>
      <c r="D103" s="1321" t="s">
        <v>1652</v>
      </c>
      <c r="E103" s="1321" t="s">
        <v>1653</v>
      </c>
      <c r="F103" s="1321" t="s">
        <v>1654</v>
      </c>
      <c r="G103" s="1321"/>
      <c r="H103" s="1321"/>
      <c r="I103" s="1321"/>
      <c r="J103" s="1321"/>
      <c r="K103" s="1369"/>
      <c r="L103" s="1370"/>
      <c r="M103" s="1371"/>
      <c r="N103" s="1365"/>
      <c r="O103" s="1365"/>
      <c r="P103" s="1366"/>
      <c r="Q103" s="1292"/>
      <c r="R103" s="1187"/>
      <c r="S103" s="1187"/>
      <c r="T103" s="1187"/>
      <c r="U103" s="1187"/>
      <c r="V103" s="1187"/>
      <c r="W103" s="1187"/>
      <c r="X103" s="1187"/>
      <c r="Y103" s="1187"/>
      <c r="Z103" s="1187"/>
      <c r="AA103" s="1187"/>
      <c r="AB103" s="1187"/>
      <c r="AC103" s="1187"/>
    </row>
    <row r="104" spans="1:29" ht="15">
      <c r="A104" s="1318"/>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8"/>
      <c r="O104" s="1368"/>
      <c r="P104" s="1366"/>
      <c r="Q104" s="1292"/>
      <c r="R104" s="1187"/>
      <c r="S104" s="1187"/>
      <c r="T104" s="1187"/>
      <c r="U104" s="1187"/>
      <c r="V104" s="1187"/>
      <c r="W104" s="1187"/>
      <c r="X104" s="1187"/>
      <c r="Y104" s="1187"/>
      <c r="Z104" s="1187"/>
      <c r="AA104" s="1187"/>
      <c r="AB104" s="1187"/>
      <c r="AC104" s="1187"/>
    </row>
    <row r="105" spans="1:29" ht="27">
      <c r="A105" s="1318"/>
      <c r="B105" s="1320" t="s">
        <v>1362</v>
      </c>
      <c r="C105" s="1328"/>
      <c r="D105" s="1328"/>
      <c r="E105" s="1328"/>
      <c r="F105" s="1328"/>
      <c r="G105" s="1328"/>
      <c r="H105" s="1344"/>
      <c r="I105" s="1344"/>
      <c r="J105" s="1344"/>
      <c r="K105" s="1395"/>
      <c r="L105" s="1396"/>
      <c r="M105" s="1397"/>
      <c r="N105" s="1365"/>
      <c r="O105" s="1365"/>
      <c r="P105" s="1366"/>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8"/>
      <c r="O106" s="1368"/>
      <c r="P106" s="1366"/>
      <c r="Q106" s="1292"/>
      <c r="R106" s="1187"/>
      <c r="S106" s="1187"/>
      <c r="T106" s="1187"/>
      <c r="U106" s="1187"/>
      <c r="V106" s="1187"/>
      <c r="W106" s="1187"/>
      <c r="X106" s="1187"/>
      <c r="Y106" s="1187"/>
      <c r="Z106" s="1187"/>
      <c r="AA106" s="1187"/>
      <c r="AB106" s="1187"/>
      <c r="AC106" s="1187"/>
    </row>
    <row r="107" spans="1:29" ht="15">
      <c r="A107" s="1318"/>
      <c r="B107" s="1320" t="s">
        <v>1617</v>
      </c>
      <c r="C107" s="1344"/>
      <c r="D107" s="1344"/>
      <c r="E107" s="1344"/>
      <c r="F107" s="1344"/>
      <c r="G107" s="1344"/>
      <c r="H107" s="1344"/>
      <c r="I107" s="1344"/>
      <c r="J107" s="1344"/>
      <c r="K107" s="1395"/>
      <c r="L107" s="1396"/>
      <c r="M107" s="1397"/>
      <c r="N107" s="1365"/>
      <c r="O107" s="1365"/>
      <c r="P107" s="1366"/>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8"/>
      <c r="O108" s="1368"/>
      <c r="P108" s="1366"/>
      <c r="Q108" s="1292"/>
      <c r="R108" s="1187"/>
      <c r="S108" s="1187"/>
      <c r="T108" s="1187"/>
      <c r="U108" s="1187"/>
      <c r="V108" s="1187"/>
      <c r="W108" s="1187"/>
      <c r="X108" s="1187"/>
      <c r="Y108" s="1187"/>
      <c r="Z108" s="1187"/>
      <c r="AA108" s="1187"/>
      <c r="AB108" s="1187"/>
      <c r="AC108" s="1187"/>
    </row>
    <row r="109" spans="1:29" ht="15">
      <c r="A109" s="1318"/>
      <c r="B109" s="1324">
        <f>B35</f>
        <v>111</v>
      </c>
      <c r="C109" s="1328"/>
      <c r="D109" s="1328"/>
      <c r="E109" s="1328"/>
      <c r="F109" s="1328"/>
      <c r="G109" s="1345"/>
      <c r="H109" s="1345"/>
      <c r="I109" s="1345"/>
      <c r="J109" s="1345"/>
      <c r="K109" s="1398"/>
      <c r="L109" s="1399"/>
      <c r="M109" s="1400"/>
      <c r="N109" s="1365"/>
      <c r="O109" s="1365"/>
      <c r="P109" s="1366"/>
      <c r="Q109" s="1292"/>
      <c r="R109" s="1187"/>
      <c r="S109" s="1187"/>
      <c r="T109" s="1187"/>
      <c r="U109" s="1187"/>
      <c r="V109" s="1187"/>
      <c r="W109" s="1187"/>
      <c r="X109" s="1187"/>
      <c r="Y109" s="1187"/>
      <c r="Z109" s="1187"/>
      <c r="AA109" s="1187"/>
      <c r="AB109" s="1187"/>
      <c r="AC109" s="1187"/>
    </row>
    <row r="110" spans="1:29" ht="15">
      <c r="A110" s="1318"/>
      <c r="B110" s="1333"/>
      <c r="C110" s="963"/>
      <c r="D110" s="963"/>
      <c r="E110" s="963"/>
      <c r="F110" s="963"/>
      <c r="G110" s="1346"/>
      <c r="H110" s="1346"/>
      <c r="I110" s="1346"/>
      <c r="J110" s="1346"/>
      <c r="K110" s="1346"/>
      <c r="L110" s="1346"/>
      <c r="M110" s="1401"/>
      <c r="N110" s="1368"/>
      <c r="O110" s="1368"/>
      <c r="P110" s="1366"/>
      <c r="Q110" s="1292"/>
      <c r="R110" s="1187"/>
      <c r="S110" s="1187"/>
      <c r="T110" s="1187"/>
      <c r="U110" s="1187"/>
      <c r="V110" s="1187"/>
      <c r="W110" s="1187"/>
      <c r="X110" s="1187"/>
      <c r="Y110" s="1187"/>
      <c r="Z110" s="1187"/>
      <c r="AA110" s="1187"/>
      <c r="AB110" s="1187"/>
      <c r="AC110" s="1187"/>
    </row>
    <row r="111" spans="1:29">
      <c r="A111" s="1153"/>
      <c r="B111" s="1320">
        <f>B36</f>
        <v>111</v>
      </c>
      <c r="C111" s="1313"/>
      <c r="D111" s="1313"/>
      <c r="E111" s="1313"/>
      <c r="F111" s="1313"/>
      <c r="G111" s="1344"/>
      <c r="H111" s="1344"/>
      <c r="I111" s="1344"/>
      <c r="J111" s="1344"/>
      <c r="K111" s="1395"/>
      <c r="L111" s="1396"/>
      <c r="M111" s="1397"/>
      <c r="N111" s="1365"/>
      <c r="O111" s="1365"/>
      <c r="P111" s="1366"/>
      <c r="Q111" s="1292"/>
      <c r="R111" s="1187"/>
      <c r="S111" s="1187"/>
      <c r="T111" s="1187"/>
      <c r="U111" s="1187"/>
      <c r="V111" s="1187"/>
      <c r="W111" s="1187"/>
      <c r="X111" s="1187"/>
      <c r="Y111" s="1187"/>
      <c r="Z111" s="1187"/>
      <c r="AA111" s="1187"/>
      <c r="AB111" s="1187"/>
      <c r="AC111" s="1187"/>
    </row>
    <row r="112" spans="1:29" ht="15">
      <c r="A112" s="1318"/>
      <c r="B112" s="1322"/>
      <c r="C112" s="1334"/>
      <c r="D112" s="1334"/>
      <c r="E112" s="1334"/>
      <c r="F112" s="1334"/>
      <c r="G112" s="964"/>
      <c r="H112" s="964"/>
      <c r="I112" s="964"/>
      <c r="J112" s="964"/>
      <c r="K112" s="964"/>
      <c r="L112" s="964"/>
      <c r="M112" s="1367"/>
      <c r="N112" s="1368"/>
      <c r="O112" s="1368"/>
      <c r="P112" s="1366"/>
      <c r="Q112" s="1292"/>
      <c r="R112" s="1187"/>
      <c r="S112" s="1187"/>
      <c r="T112" s="1187"/>
      <c r="U112" s="1187"/>
      <c r="V112" s="1187"/>
      <c r="W112" s="1187"/>
      <c r="X112" s="1187"/>
      <c r="Y112" s="1187"/>
      <c r="Z112" s="1187"/>
      <c r="AA112" s="1187"/>
      <c r="AB112" s="1187"/>
      <c r="AC112" s="1187"/>
    </row>
    <row r="113" spans="1:29" s="1073" customFormat="1">
      <c r="A113" s="1347"/>
      <c r="B113" s="1348">
        <f>B37</f>
        <v>111</v>
      </c>
      <c r="C113" s="959"/>
      <c r="D113" s="959"/>
      <c r="E113" s="959"/>
      <c r="F113" s="959"/>
      <c r="G113" s="959"/>
      <c r="H113" s="959"/>
      <c r="I113" s="959"/>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3" customFormat="1" ht="15">
      <c r="A114" s="1327"/>
      <c r="B114" s="1324"/>
      <c r="C114" s="1315"/>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6" t="s">
        <v>1367</v>
      </c>
      <c r="B115" s="1317" t="s">
        <v>1618</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92"/>
      <c r="R115" s="1187"/>
      <c r="S115" s="1187"/>
      <c r="T115" s="1187"/>
      <c r="U115" s="1187"/>
      <c r="V115" s="1187"/>
      <c r="W115" s="1187"/>
      <c r="X115" s="1187"/>
      <c r="Y115" s="1187"/>
      <c r="Z115" s="1187"/>
      <c r="AA115" s="1187"/>
      <c r="AB115" s="1187"/>
      <c r="AC115" s="1187"/>
    </row>
    <row r="116" spans="1:29" ht="15">
      <c r="A116" s="1318"/>
      <c r="B116" s="1324"/>
      <c r="C116" s="959"/>
      <c r="D116" s="959"/>
      <c r="E116" s="959"/>
      <c r="F116" s="959"/>
      <c r="G116" s="959"/>
      <c r="H116" s="959"/>
      <c r="I116" s="959"/>
      <c r="J116" s="1402"/>
      <c r="K116" s="1402"/>
      <c r="L116" s="1403"/>
      <c r="M116" s="1404"/>
      <c r="N116" s="1365"/>
      <c r="O116" s="1365"/>
      <c r="P116" s="1366"/>
      <c r="Q116" s="1292"/>
      <c r="R116" s="1187"/>
      <c r="S116" s="1187"/>
      <c r="T116" s="1187"/>
      <c r="U116" s="1187"/>
      <c r="V116" s="1187"/>
      <c r="W116" s="1187"/>
      <c r="X116" s="1187"/>
      <c r="Y116" s="1187"/>
      <c r="Z116" s="1187"/>
      <c r="AA116" s="1187"/>
      <c r="AB116" s="1187"/>
      <c r="AC116" s="1187"/>
    </row>
    <row r="117" spans="1:29" ht="15">
      <c r="A117" s="1318"/>
      <c r="B117" s="1322"/>
      <c r="C117" s="1334"/>
      <c r="D117" s="1346"/>
      <c r="E117" s="1346"/>
      <c r="F117" s="1346"/>
      <c r="G117" s="1346"/>
      <c r="H117" s="1346"/>
      <c r="I117" s="1346"/>
      <c r="J117" s="1346"/>
      <c r="K117" s="1346"/>
      <c r="L117" s="1346"/>
      <c r="M117" s="1401"/>
      <c r="N117" s="1368"/>
      <c r="O117" s="1368"/>
      <c r="P117" s="1366"/>
      <c r="Q117" s="1292"/>
      <c r="R117" s="1187"/>
      <c r="S117" s="1187"/>
      <c r="T117" s="1187"/>
      <c r="U117" s="1187"/>
      <c r="V117" s="1187"/>
      <c r="W117" s="1187"/>
      <c r="X117" s="1187"/>
      <c r="Y117" s="1187"/>
      <c r="Z117" s="1187"/>
      <c r="AA117" s="1187"/>
      <c r="AB117" s="1187"/>
      <c r="AC117" s="1187"/>
    </row>
    <row r="118" spans="1:29">
      <c r="A118" s="1350"/>
      <c r="B118" s="1320" t="s">
        <v>1619</v>
      </c>
      <c r="C118" s="1344"/>
      <c r="D118" s="1344"/>
      <c r="E118" s="1344"/>
      <c r="F118" s="1344"/>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row>
    <row r="119" spans="1:29" ht="15">
      <c r="A119" s="1318"/>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2">
        <f t="shared" si="26"/>
        <v>100</v>
      </c>
      <c r="N119" s="1368"/>
      <c r="O119" s="1368"/>
      <c r="P119" s="1366"/>
      <c r="Q119" s="1292"/>
      <c r="R119" s="1187"/>
      <c r="S119" s="1187"/>
      <c r="T119" s="1187"/>
      <c r="U119" s="1187"/>
      <c r="V119" s="1187"/>
      <c r="W119" s="1187"/>
      <c r="X119" s="1187"/>
      <c r="Y119" s="1187"/>
      <c r="Z119" s="1187"/>
      <c r="AA119" s="1187"/>
      <c r="AB119" s="1187"/>
      <c r="AC119" s="1187"/>
    </row>
    <row r="120" spans="1:29">
      <c r="A120" s="1350"/>
      <c r="B120" s="1320" t="s">
        <v>1620</v>
      </c>
      <c r="C120" s="1328"/>
      <c r="D120" s="1328"/>
      <c r="E120" s="1328"/>
      <c r="F120" s="1344"/>
      <c r="G120" s="1344"/>
      <c r="H120" s="1344"/>
      <c r="I120" s="1344"/>
      <c r="J120" s="1344"/>
      <c r="K120" s="1395"/>
      <c r="L120" s="1396"/>
      <c r="M120" s="1397"/>
      <c r="N120" s="1365"/>
      <c r="O120" s="1365"/>
      <c r="P120" s="1366"/>
      <c r="Q120" s="1292"/>
      <c r="R120" s="1187"/>
      <c r="S120" s="1187"/>
      <c r="T120" s="1187"/>
      <c r="U120" s="1187"/>
      <c r="V120" s="1187"/>
      <c r="W120" s="1187"/>
      <c r="X120" s="1187"/>
      <c r="Y120" s="1187"/>
      <c r="Z120" s="1187"/>
      <c r="AA120" s="1187"/>
      <c r="AB120" s="1187"/>
      <c r="AC120" s="1187"/>
    </row>
    <row r="121" spans="1:29" ht="15">
      <c r="A121" s="1318"/>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2">
        <f t="shared" si="27"/>
        <v>100</v>
      </c>
      <c r="N121" s="1368"/>
      <c r="O121" s="1368"/>
      <c r="P121" s="1366"/>
      <c r="Q121" s="1292"/>
      <c r="R121" s="1187"/>
      <c r="S121" s="1187"/>
      <c r="T121" s="1187"/>
      <c r="U121" s="1187"/>
      <c r="V121" s="1187"/>
      <c r="W121" s="1187"/>
      <c r="X121" s="1187"/>
      <c r="Y121" s="1187"/>
      <c r="Z121" s="1187"/>
      <c r="AA121" s="1187"/>
      <c r="AB121" s="1187"/>
      <c r="AC121" s="1187"/>
    </row>
    <row r="122" spans="1:29" s="1073" customFormat="1">
      <c r="A122" s="1347"/>
      <c r="B122" s="1320" t="s">
        <v>1621</v>
      </c>
      <c r="C122" s="1328"/>
      <c r="D122" s="1328"/>
      <c r="E122" s="1328"/>
      <c r="F122" s="1328"/>
      <c r="G122" s="1328"/>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3"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20" t="s">
        <v>1622</v>
      </c>
      <c r="C124" s="1328"/>
      <c r="D124" s="1328"/>
      <c r="E124" s="1344"/>
      <c r="F124" s="1344"/>
      <c r="G124" s="1344"/>
      <c r="H124" s="1344"/>
      <c r="I124" s="1344"/>
      <c r="J124" s="1344"/>
      <c r="K124" s="1395"/>
      <c r="L124" s="1396"/>
      <c r="M124" s="1397"/>
      <c r="N124" s="1365"/>
      <c r="O124" s="1365"/>
      <c r="P124" s="1366"/>
      <c r="Q124" s="1292"/>
      <c r="R124" s="1187"/>
      <c r="S124" s="1187"/>
      <c r="T124" s="1187"/>
      <c r="U124" s="1187"/>
      <c r="V124" s="1187"/>
      <c r="W124" s="1187"/>
      <c r="X124" s="1187"/>
      <c r="Y124" s="1187"/>
      <c r="Z124" s="1187"/>
      <c r="AA124" s="1187"/>
      <c r="AB124" s="1187"/>
      <c r="AC124" s="1187"/>
    </row>
    <row r="125" spans="1:29" ht="15">
      <c r="A125" s="1318"/>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2">
        <f t="shared" si="29"/>
        <v>100</v>
      </c>
      <c r="N125" s="1368"/>
      <c r="O125" s="1368"/>
      <c r="P125" s="1366"/>
      <c r="Q125" s="1292"/>
      <c r="R125" s="1187"/>
      <c r="S125" s="1187"/>
      <c r="T125" s="1187"/>
      <c r="U125" s="1187"/>
      <c r="V125" s="1187"/>
      <c r="W125" s="1187"/>
      <c r="X125" s="1187"/>
      <c r="Y125" s="1187"/>
      <c r="Z125" s="1187"/>
      <c r="AA125" s="1187"/>
      <c r="AB125" s="1187"/>
      <c r="AC125" s="1187"/>
    </row>
    <row r="126" spans="1:29">
      <c r="A126" s="1350"/>
      <c r="B126" s="1320">
        <f>B43</f>
        <v>111</v>
      </c>
      <c r="C126" s="1328"/>
      <c r="D126" s="1328"/>
      <c r="E126" s="1328"/>
      <c r="F126" s="1328"/>
      <c r="G126" s="1328"/>
      <c r="H126" s="1344"/>
      <c r="I126" s="1344"/>
      <c r="J126" s="1344"/>
      <c r="K126" s="1395"/>
      <c r="L126" s="1396"/>
      <c r="M126" s="1397"/>
      <c r="N126" s="1365"/>
      <c r="O126" s="1365"/>
      <c r="P126" s="1366"/>
      <c r="Q126" s="1292"/>
      <c r="R126" s="1187"/>
      <c r="S126" s="1187"/>
      <c r="T126" s="1187"/>
      <c r="U126" s="1187"/>
      <c r="V126" s="1187"/>
      <c r="W126" s="1187"/>
      <c r="X126" s="1187"/>
      <c r="Y126" s="1187"/>
      <c r="Z126" s="1187"/>
      <c r="AA126" s="1187"/>
      <c r="AB126" s="1187"/>
      <c r="AC126" s="1187"/>
    </row>
    <row r="127" spans="1:29" ht="15">
      <c r="A127" s="1318"/>
      <c r="B127" s="1322"/>
      <c r="C127" s="963"/>
      <c r="D127" s="963"/>
      <c r="E127" s="963"/>
      <c r="F127" s="963"/>
      <c r="G127" s="964"/>
      <c r="H127" s="964"/>
      <c r="I127" s="964"/>
      <c r="J127" s="964"/>
      <c r="K127" s="964"/>
      <c r="L127" s="964"/>
      <c r="M127" s="1367"/>
      <c r="N127" s="1368"/>
      <c r="O127" s="1368"/>
      <c r="P127" s="1366"/>
      <c r="Q127" s="1292"/>
      <c r="R127" s="1187"/>
      <c r="S127" s="1187"/>
      <c r="T127" s="1187"/>
      <c r="U127" s="1187"/>
      <c r="V127" s="1187"/>
      <c r="W127" s="1187"/>
      <c r="X127" s="1187"/>
      <c r="Y127" s="1187"/>
      <c r="Z127" s="1187"/>
      <c r="AA127" s="1187"/>
      <c r="AB127" s="1187"/>
      <c r="AC127" s="1187"/>
    </row>
    <row r="128" spans="1:29">
      <c r="A128" s="1350"/>
      <c r="B128" s="1320">
        <f>B44</f>
        <v>111</v>
      </c>
      <c r="C128" s="1313"/>
      <c r="D128" s="1313"/>
      <c r="E128" s="1313"/>
      <c r="F128" s="1313"/>
      <c r="G128" s="1344"/>
      <c r="H128" s="1344"/>
      <c r="I128" s="1344"/>
      <c r="J128" s="1344"/>
      <c r="K128" s="1395"/>
      <c r="L128" s="1396"/>
      <c r="M128" s="1397"/>
      <c r="N128" s="1365"/>
      <c r="O128" s="1365"/>
      <c r="P128" s="1366"/>
      <c r="Q128" s="1292"/>
      <c r="R128" s="1187"/>
      <c r="S128" s="1187"/>
      <c r="T128" s="1187"/>
      <c r="U128" s="1187"/>
      <c r="V128" s="1187"/>
      <c r="W128" s="1187"/>
      <c r="X128" s="1187"/>
      <c r="Y128" s="1187"/>
      <c r="Z128" s="1187"/>
      <c r="AA128" s="1187"/>
      <c r="AB128" s="1187"/>
      <c r="AC128" s="1187"/>
    </row>
    <row r="129" spans="1:29" ht="15">
      <c r="A129" s="1318"/>
      <c r="B129" s="1322"/>
      <c r="C129" s="1334"/>
      <c r="D129" s="1334"/>
      <c r="E129" s="1334"/>
      <c r="F129" s="1334"/>
      <c r="G129" s="964"/>
      <c r="H129" s="964"/>
      <c r="I129" s="964"/>
      <c r="J129" s="964"/>
      <c r="K129" s="964"/>
      <c r="L129" s="964"/>
      <c r="M129" s="1367"/>
      <c r="N129" s="1368"/>
      <c r="O129" s="1368"/>
      <c r="P129" s="1366"/>
      <c r="Q129" s="1292"/>
      <c r="R129" s="1187"/>
      <c r="S129" s="1187"/>
      <c r="T129" s="1187"/>
      <c r="U129" s="1187"/>
      <c r="V129" s="1187"/>
      <c r="W129" s="1187"/>
      <c r="X129" s="1187"/>
      <c r="Y129" s="1187"/>
      <c r="Z129" s="1187"/>
      <c r="AA129" s="1187"/>
      <c r="AB129" s="1187"/>
      <c r="AC129" s="1187"/>
    </row>
    <row r="130" spans="1:29" s="1073" customFormat="1">
      <c r="A130" s="1347"/>
      <c r="B130" s="1320">
        <f>B45</f>
        <v>111</v>
      </c>
      <c r="C130" s="1313"/>
      <c r="D130" s="1313"/>
      <c r="E130" s="1313"/>
      <c r="F130" s="1313"/>
      <c r="G130" s="1329"/>
      <c r="H130" s="1329"/>
      <c r="I130" s="1329"/>
      <c r="J130" s="1329"/>
      <c r="K130" s="1329"/>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3"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1612</v>
      </c>
      <c r="B1" s="1081"/>
      <c r="C1" s="1082" t="s">
        <v>1590</v>
      </c>
      <c r="D1" s="1083"/>
      <c r="E1" s="1083"/>
      <c r="F1" s="1084" t="s">
        <v>1329</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78" t="s">
        <v>982</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984</v>
      </c>
      <c r="B3" s="1088" t="e">
        <f>ROUND(IF(D3="",B2*10000/'数据-汇总表'!E3,B2*10000/D3),0)</f>
        <v>#DIV/0!</v>
      </c>
      <c r="C3" s="381" t="s">
        <v>1330</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1331</v>
      </c>
      <c r="B4" s="1091"/>
      <c r="C4" s="3626" t="s">
        <v>1332</v>
      </c>
      <c r="D4" s="3627"/>
      <c r="E4" s="3628" t="s">
        <v>1333</v>
      </c>
      <c r="F4" s="3629"/>
      <c r="G4" s="3626" t="s">
        <v>1334</v>
      </c>
      <c r="H4" s="3627"/>
      <c r="I4" s="3626" t="s">
        <v>1335</v>
      </c>
      <c r="J4" s="3627"/>
      <c r="K4" s="1237" t="s">
        <v>1336</v>
      </c>
      <c r="L4" s="1238"/>
      <c r="M4" s="1239"/>
      <c r="N4" s="1239"/>
      <c r="O4" s="1239"/>
      <c r="P4" s="3704" t="s">
        <v>1337</v>
      </c>
      <c r="Q4" s="3705"/>
      <c r="R4" s="3708" t="s">
        <v>1333</v>
      </c>
      <c r="S4" s="3709"/>
      <c r="T4" s="3708" t="s">
        <v>1334</v>
      </c>
      <c r="U4" s="3709"/>
      <c r="V4" s="3676" t="s">
        <v>1335</v>
      </c>
      <c r="W4" s="3676"/>
      <c r="X4" s="1281"/>
      <c r="Y4" s="3708" t="s">
        <v>1337</v>
      </c>
      <c r="Z4" s="3709"/>
      <c r="AA4" s="3703" t="s">
        <v>1333</v>
      </c>
      <c r="AB4" s="3658" t="s">
        <v>1334</v>
      </c>
      <c r="AC4" s="3703" t="s">
        <v>1335</v>
      </c>
    </row>
    <row r="5" spans="1:29" ht="15">
      <c r="A5" s="1092"/>
      <c r="B5" s="1093"/>
      <c r="C5" s="3630" t="s">
        <v>1338</v>
      </c>
      <c r="D5" s="3631"/>
      <c r="E5" s="3698" t="s">
        <v>1552</v>
      </c>
      <c r="F5" s="3633"/>
      <c r="G5" s="3630" t="s">
        <v>1553</v>
      </c>
      <c r="H5" s="3631"/>
      <c r="I5" s="3630" t="s">
        <v>1554</v>
      </c>
      <c r="J5" s="3631"/>
      <c r="K5" s="1237"/>
      <c r="L5" s="1238"/>
      <c r="M5" s="1239"/>
      <c r="N5" s="1239"/>
      <c r="O5" s="1239"/>
      <c r="P5" s="3706"/>
      <c r="Q5" s="3666"/>
      <c r="R5" s="3671"/>
      <c r="S5" s="3672"/>
      <c r="T5" s="3671"/>
      <c r="U5" s="3672"/>
      <c r="V5" s="3676"/>
      <c r="W5" s="3676"/>
      <c r="X5" s="1281"/>
      <c r="Y5" s="3671"/>
      <c r="Z5" s="3672"/>
      <c r="AA5" s="3658"/>
      <c r="AB5" s="3658"/>
      <c r="AC5" s="3658"/>
    </row>
    <row r="6" spans="1:29" ht="15">
      <c r="A6" s="1094"/>
      <c r="B6" s="1095"/>
      <c r="C6" s="3715" t="s">
        <v>1655</v>
      </c>
      <c r="D6" s="3716"/>
      <c r="E6" s="3717" t="s">
        <v>1655</v>
      </c>
      <c r="F6" s="3718"/>
      <c r="G6" s="3715" t="s">
        <v>1655</v>
      </c>
      <c r="H6" s="3716"/>
      <c r="I6" s="3715" t="s">
        <v>1655</v>
      </c>
      <c r="J6" s="3716"/>
      <c r="K6" s="1237" t="s">
        <v>1340</v>
      </c>
      <c r="L6" s="1238"/>
      <c r="M6" s="1239"/>
      <c r="N6" s="1239"/>
      <c r="O6" s="1239"/>
      <c r="P6" s="3707"/>
      <c r="Q6" s="3668"/>
      <c r="R6" s="3671"/>
      <c r="S6" s="3672"/>
      <c r="T6" s="3673"/>
      <c r="U6" s="3674"/>
      <c r="V6" s="3676"/>
      <c r="W6" s="3676"/>
      <c r="X6" s="1281"/>
      <c r="Y6" s="3673"/>
      <c r="Z6" s="3674"/>
      <c r="AA6" s="3659"/>
      <c r="AB6" s="3659"/>
      <c r="AC6" s="3659"/>
    </row>
    <row r="7" spans="1:29" s="1071" customFormat="1" ht="15">
      <c r="A7" s="1096" t="s">
        <v>1341</v>
      </c>
      <c r="B7" s="1097"/>
      <c r="C7" s="1098">
        <f>'数据-取费表'!B2</f>
        <v>45218</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40" t="s">
        <v>1342</v>
      </c>
      <c r="Q7" s="3639"/>
      <c r="R7" s="1282" t="s">
        <v>1343</v>
      </c>
      <c r="S7" s="1283">
        <f t="shared" ref="S7:S15" si="0">F7</f>
        <v>0</v>
      </c>
      <c r="T7" s="1282" t="s">
        <v>1343</v>
      </c>
      <c r="U7" s="1283">
        <f t="shared" ref="U7:U15" si="1">H7</f>
        <v>0</v>
      </c>
      <c r="V7" s="1282" t="s">
        <v>1343</v>
      </c>
      <c r="W7" s="1283">
        <f t="shared" ref="W7:W15" si="2">J7</f>
        <v>0</v>
      </c>
      <c r="X7" s="1284"/>
      <c r="Y7" s="3640" t="s">
        <v>1342</v>
      </c>
      <c r="Z7" s="3641"/>
      <c r="AA7" s="1296" t="e">
        <f>D7/F7</f>
        <v>#DIV/0!</v>
      </c>
      <c r="AB7" s="1296" t="e">
        <f>D7/H7</f>
        <v>#DIV/0!</v>
      </c>
      <c r="AC7" s="1296" t="e">
        <f>D7/J7</f>
        <v>#DIV/0!</v>
      </c>
    </row>
    <row r="8" spans="1:29" s="1071" customFormat="1" ht="15">
      <c r="A8" s="1096" t="s">
        <v>1344</v>
      </c>
      <c r="B8" s="1097"/>
      <c r="C8" s="1103" t="s">
        <v>1394</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40" t="s">
        <v>1347</v>
      </c>
      <c r="Q8" s="3641"/>
      <c r="R8" s="1282" t="s">
        <v>1343</v>
      </c>
      <c r="S8" s="1283">
        <f t="shared" si="0"/>
        <v>0</v>
      </c>
      <c r="T8" s="1282" t="s">
        <v>1343</v>
      </c>
      <c r="U8" s="1283">
        <f t="shared" si="1"/>
        <v>0</v>
      </c>
      <c r="V8" s="1282" t="s">
        <v>1343</v>
      </c>
      <c r="W8" s="1283">
        <f t="shared" si="2"/>
        <v>0</v>
      </c>
      <c r="X8" s="1284"/>
      <c r="Y8" s="3640" t="s">
        <v>1347</v>
      </c>
      <c r="Z8" s="3641"/>
      <c r="AA8" s="1296" t="e">
        <f t="shared" ref="AA8:AA40" si="3">D8/F8</f>
        <v>#DIV/0!</v>
      </c>
      <c r="AB8" s="1296" t="e">
        <f t="shared" ref="AB8:AB40" si="4">D8/H8</f>
        <v>#DIV/0!</v>
      </c>
      <c r="AC8" s="1296" t="e">
        <f t="shared" ref="AC8:AC40" si="5">D8/J8</f>
        <v>#DIV/0!</v>
      </c>
    </row>
    <row r="9" spans="1:29" s="1071" customFormat="1">
      <c r="A9" s="1104" t="s">
        <v>1348</v>
      </c>
      <c r="B9" s="1105" t="s">
        <v>1349</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43" t="s">
        <v>1350</v>
      </c>
      <c r="Q9" s="1286" t="str">
        <f t="shared" ref="Q9:Q15" si="6">B9</f>
        <v>用途</v>
      </c>
      <c r="R9" s="1282" t="s">
        <v>1343</v>
      </c>
      <c r="S9" s="1283">
        <f t="shared" si="0"/>
        <v>100</v>
      </c>
      <c r="T9" s="1282" t="s">
        <v>1343</v>
      </c>
      <c r="U9" s="1283">
        <f t="shared" si="1"/>
        <v>100</v>
      </c>
      <c r="V9" s="1282" t="s">
        <v>1343</v>
      </c>
      <c r="W9" s="1283">
        <f t="shared" si="2"/>
        <v>100</v>
      </c>
      <c r="X9" s="1284"/>
      <c r="Y9" s="3612" t="s">
        <v>1351</v>
      </c>
      <c r="Z9" s="1297" t="str">
        <f t="shared" ref="Z9:Z15" si="7">Q9</f>
        <v>用途</v>
      </c>
      <c r="AA9" s="1296">
        <f t="shared" si="3"/>
        <v>1</v>
      </c>
      <c r="AB9" s="1296">
        <f t="shared" si="4"/>
        <v>1</v>
      </c>
      <c r="AC9" s="1296">
        <f t="shared" si="5"/>
        <v>1</v>
      </c>
    </row>
    <row r="10" spans="1:29" s="1072" customFormat="1" ht="27">
      <c r="A10" s="1108"/>
      <c r="B10" s="1109" t="s">
        <v>1352</v>
      </c>
      <c r="C10" s="1110"/>
      <c r="D10" s="1111">
        <v>100</v>
      </c>
      <c r="E10" s="1110"/>
      <c r="F10" s="1111">
        <f>ROUND(100/'数据-取费表'!G16,0)</f>
        <v>113</v>
      </c>
      <c r="G10" s="1110"/>
      <c r="H10" s="1111">
        <f>ROUND(100/'数据-取费表'!G16,0)</f>
        <v>113</v>
      </c>
      <c r="I10" s="1110"/>
      <c r="J10" s="1111">
        <f>ROUND(100/'数据-取费表'!G16,0)</f>
        <v>113</v>
      </c>
      <c r="K10" s="1244"/>
      <c r="L10" s="1245"/>
      <c r="M10" s="1246"/>
      <c r="N10" s="1246"/>
      <c r="O10" s="1247"/>
      <c r="P10" s="3643"/>
      <c r="Q10" s="1286" t="str">
        <f t="shared" si="6"/>
        <v>土地使用年限（年）</v>
      </c>
      <c r="R10" s="1282" t="s">
        <v>1343</v>
      </c>
      <c r="S10" s="1283">
        <f t="shared" si="0"/>
        <v>113</v>
      </c>
      <c r="T10" s="1282" t="s">
        <v>1343</v>
      </c>
      <c r="U10" s="1283">
        <f t="shared" si="1"/>
        <v>113</v>
      </c>
      <c r="V10" s="1282" t="s">
        <v>1343</v>
      </c>
      <c r="W10" s="1283">
        <f t="shared" si="2"/>
        <v>113</v>
      </c>
      <c r="X10" s="1284"/>
      <c r="Y10" s="3612"/>
      <c r="Z10" s="1297" t="str">
        <f t="shared" si="7"/>
        <v>土地使用年限（年）</v>
      </c>
      <c r="AA10" s="1296">
        <f t="shared" si="3"/>
        <v>0.88495575221238942</v>
      </c>
      <c r="AB10" s="1296">
        <f t="shared" si="4"/>
        <v>0.88495575221238942</v>
      </c>
      <c r="AC10" s="1296">
        <f t="shared" si="5"/>
        <v>0.88495575221238942</v>
      </c>
    </row>
    <row r="11" spans="1:29" ht="15">
      <c r="A11" s="1112"/>
      <c r="B11" s="1109" t="s">
        <v>1353</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43"/>
      <c r="Q11" s="1286" t="str">
        <f t="shared" si="6"/>
        <v>容积率</v>
      </c>
      <c r="R11" s="1282" t="s">
        <v>1343</v>
      </c>
      <c r="S11" s="1283" t="e">
        <f t="shared" si="0"/>
        <v>#N/A</v>
      </c>
      <c r="T11" s="1282" t="s">
        <v>1343</v>
      </c>
      <c r="U11" s="1283" t="e">
        <f t="shared" si="1"/>
        <v>#N/A</v>
      </c>
      <c r="V11" s="1282" t="s">
        <v>1343</v>
      </c>
      <c r="W11" s="1283" t="e">
        <f t="shared" si="2"/>
        <v>#N/A</v>
      </c>
      <c r="X11" s="1284"/>
      <c r="Y11" s="361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43"/>
      <c r="Q12" s="1286">
        <f t="shared" si="6"/>
        <v>111</v>
      </c>
      <c r="R12" s="1282" t="s">
        <v>1343</v>
      </c>
      <c r="S12" s="1283">
        <f t="shared" si="0"/>
        <v>100</v>
      </c>
      <c r="T12" s="1282" t="s">
        <v>1343</v>
      </c>
      <c r="U12" s="1283">
        <f t="shared" si="1"/>
        <v>100</v>
      </c>
      <c r="V12" s="1282" t="s">
        <v>1343</v>
      </c>
      <c r="W12" s="1283">
        <f t="shared" si="2"/>
        <v>100</v>
      </c>
      <c r="X12" s="1284"/>
      <c r="Y12" s="3612"/>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43"/>
      <c r="Q13" s="1286">
        <f t="shared" si="6"/>
        <v>111</v>
      </c>
      <c r="R13" s="1282" t="s">
        <v>1343</v>
      </c>
      <c r="S13" s="1283">
        <f t="shared" si="0"/>
        <v>100</v>
      </c>
      <c r="T13" s="1282" t="s">
        <v>1343</v>
      </c>
      <c r="U13" s="1283">
        <f t="shared" si="1"/>
        <v>100</v>
      </c>
      <c r="V13" s="1282" t="s">
        <v>1343</v>
      </c>
      <c r="W13" s="1283">
        <f t="shared" si="2"/>
        <v>100</v>
      </c>
      <c r="X13" s="1284"/>
      <c r="Y13" s="3612"/>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43"/>
      <c r="Q14" s="1286">
        <f t="shared" si="6"/>
        <v>111</v>
      </c>
      <c r="R14" s="1282" t="s">
        <v>1343</v>
      </c>
      <c r="S14" s="1283">
        <f t="shared" si="0"/>
        <v>100</v>
      </c>
      <c r="T14" s="1282" t="s">
        <v>1343</v>
      </c>
      <c r="U14" s="1283">
        <f t="shared" si="1"/>
        <v>100</v>
      </c>
      <c r="V14" s="1282" t="s">
        <v>1343</v>
      </c>
      <c r="W14" s="1283">
        <f t="shared" si="2"/>
        <v>100</v>
      </c>
      <c r="X14" s="1284"/>
      <c r="Y14" s="3612"/>
      <c r="Z14" s="1297">
        <f t="shared" si="7"/>
        <v>111</v>
      </c>
      <c r="AA14" s="1296">
        <f t="shared" si="3"/>
        <v>1</v>
      </c>
      <c r="AB14" s="1296">
        <f t="shared" si="4"/>
        <v>1</v>
      </c>
      <c r="AC14" s="1296">
        <f t="shared" si="5"/>
        <v>1</v>
      </c>
    </row>
    <row r="15" spans="1:29" ht="57">
      <c r="A15" s="1126" t="s">
        <v>1354</v>
      </c>
      <c r="B15" s="1127" t="s">
        <v>1591</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50" t="s">
        <v>1356</v>
      </c>
      <c r="Q15" s="664" t="str">
        <f t="shared" si="6"/>
        <v>产业集聚程度</v>
      </c>
      <c r="R15" s="1287" t="s">
        <v>1343</v>
      </c>
      <c r="S15" s="1288">
        <f t="shared" si="0"/>
        <v>100</v>
      </c>
      <c r="T15" s="1287" t="s">
        <v>1343</v>
      </c>
      <c r="U15" s="1288">
        <f t="shared" si="1"/>
        <v>100</v>
      </c>
      <c r="V15" s="1287" t="s">
        <v>1343</v>
      </c>
      <c r="W15" s="1288">
        <f t="shared" si="2"/>
        <v>100</v>
      </c>
      <c r="X15" s="1281"/>
      <c r="Y15" s="3650" t="s">
        <v>1356</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51"/>
      <c r="Q16" s="664"/>
      <c r="R16" s="1287"/>
      <c r="S16" s="1288"/>
      <c r="T16" s="1287"/>
      <c r="U16" s="1288"/>
      <c r="V16" s="1287"/>
      <c r="W16" s="1288"/>
      <c r="X16" s="1281"/>
      <c r="Y16" s="3651"/>
      <c r="Z16" s="1271"/>
      <c r="AA16" s="1298">
        <v>1</v>
      </c>
      <c r="AB16" s="1298">
        <v>1</v>
      </c>
      <c r="AC16" s="1298">
        <v>1</v>
      </c>
    </row>
    <row r="17" spans="1:29" ht="85.5">
      <c r="A17" s="1112"/>
      <c r="B17" s="1136" t="s">
        <v>1358</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51"/>
      <c r="Q17" s="664" t="str">
        <f>B17</f>
        <v>交通便捷度</v>
      </c>
      <c r="R17" s="1287" t="s">
        <v>1343</v>
      </c>
      <c r="S17" s="1288">
        <f>F17</f>
        <v>100</v>
      </c>
      <c r="T17" s="1287" t="s">
        <v>1343</v>
      </c>
      <c r="U17" s="1288">
        <f>H17</f>
        <v>100</v>
      </c>
      <c r="V17" s="1287" t="s">
        <v>1343</v>
      </c>
      <c r="W17" s="1288">
        <f>J17</f>
        <v>100</v>
      </c>
      <c r="X17" s="1281"/>
      <c r="Y17" s="3651"/>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51"/>
      <c r="Q18" s="664"/>
      <c r="R18" s="1287"/>
      <c r="S18" s="1288"/>
      <c r="T18" s="1287"/>
      <c r="U18" s="1288"/>
      <c r="V18" s="1287"/>
      <c r="W18" s="1288"/>
      <c r="X18" s="1281"/>
      <c r="Y18" s="3651"/>
      <c r="Z18" s="1271"/>
      <c r="AA18" s="1298">
        <v>1</v>
      </c>
      <c r="AB18" s="1298">
        <v>1</v>
      </c>
      <c r="AC18" s="1298">
        <v>1</v>
      </c>
    </row>
    <row r="19" spans="1:29" ht="15">
      <c r="A19" s="1112"/>
      <c r="B19" s="1136" t="s">
        <v>1615</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51"/>
      <c r="Q19" s="664" t="str">
        <f t="shared" ref="Q19:Q34" si="8">B19</f>
        <v>区域土地利用方向</v>
      </c>
      <c r="R19" s="1287" t="s">
        <v>1343</v>
      </c>
      <c r="S19" s="1288">
        <f>F19</f>
        <v>100</v>
      </c>
      <c r="T19" s="1287" t="s">
        <v>1343</v>
      </c>
      <c r="U19" s="1288">
        <f>H19</f>
        <v>100</v>
      </c>
      <c r="V19" s="1287" t="s">
        <v>1343</v>
      </c>
      <c r="W19" s="1288">
        <f>J19</f>
        <v>100</v>
      </c>
      <c r="X19" s="1281"/>
      <c r="Y19" s="3651"/>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51"/>
      <c r="Q20" s="664"/>
      <c r="R20" s="1287"/>
      <c r="S20" s="1288"/>
      <c r="T20" s="1287"/>
      <c r="U20" s="1288"/>
      <c r="V20" s="1287"/>
      <c r="W20" s="1288"/>
      <c r="X20" s="1281"/>
      <c r="Y20" s="3651"/>
      <c r="Z20" s="1271"/>
      <c r="AA20" s="1298"/>
      <c r="AB20" s="1298"/>
      <c r="AC20" s="1298"/>
    </row>
    <row r="21" spans="1:29" ht="71.25">
      <c r="A21" s="1092"/>
      <c r="B21" s="1136" t="s">
        <v>1656</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51"/>
      <c r="Q21" s="664" t="str">
        <f t="shared" si="8"/>
        <v>环境状况</v>
      </c>
      <c r="R21" s="1287" t="s">
        <v>1343</v>
      </c>
      <c r="S21" s="1288">
        <f>F21</f>
        <v>100</v>
      </c>
      <c r="T21" s="1287" t="s">
        <v>1343</v>
      </c>
      <c r="U21" s="1288">
        <f>H21</f>
        <v>100</v>
      </c>
      <c r="V21" s="1287" t="s">
        <v>1343</v>
      </c>
      <c r="W21" s="1288">
        <f>J21</f>
        <v>100</v>
      </c>
      <c r="X21" s="1281"/>
      <c r="Y21" s="3651"/>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51"/>
      <c r="Q22" s="664"/>
      <c r="R22" s="1287"/>
      <c r="S22" s="1288"/>
      <c r="T22" s="1287"/>
      <c r="U22" s="1288"/>
      <c r="V22" s="1287"/>
      <c r="W22" s="1288"/>
      <c r="X22" s="1281"/>
      <c r="Y22" s="3651"/>
      <c r="Z22" s="1271"/>
      <c r="AA22" s="1298">
        <v>1</v>
      </c>
      <c r="AB22" s="1298">
        <v>1</v>
      </c>
      <c r="AC22" s="1298">
        <v>1</v>
      </c>
    </row>
    <row r="23" spans="1:29" s="1071" customFormat="1" ht="42.75">
      <c r="A23" s="1142"/>
      <c r="B23" s="1143" t="s">
        <v>1359</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51"/>
      <c r="Q23" s="1286" t="str">
        <f t="shared" si="8"/>
        <v>公共配套设施</v>
      </c>
      <c r="R23" s="1282" t="s">
        <v>1343</v>
      </c>
      <c r="S23" s="1283">
        <f>F23</f>
        <v>100</v>
      </c>
      <c r="T23" s="1282" t="s">
        <v>1343</v>
      </c>
      <c r="U23" s="1283">
        <f>H23</f>
        <v>100</v>
      </c>
      <c r="V23" s="1282" t="s">
        <v>1343</v>
      </c>
      <c r="W23" s="1283">
        <f>J23</f>
        <v>100</v>
      </c>
      <c r="X23" s="1284"/>
      <c r="Y23" s="3651"/>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51"/>
      <c r="Q24" s="1286"/>
      <c r="R24" s="1282"/>
      <c r="S24" s="1283"/>
      <c r="T24" s="1282"/>
      <c r="U24" s="1283"/>
      <c r="V24" s="1282"/>
      <c r="W24" s="1283"/>
      <c r="X24" s="1284"/>
      <c r="Y24" s="3651"/>
      <c r="Z24" s="1297"/>
      <c r="AA24" s="1296">
        <v>1</v>
      </c>
      <c r="AB24" s="1296">
        <v>1</v>
      </c>
      <c r="AC24" s="1296">
        <v>1</v>
      </c>
    </row>
    <row r="25" spans="1:29" s="1071" customFormat="1" ht="28.5">
      <c r="A25" s="1142"/>
      <c r="B25" s="1143" t="s">
        <v>1360</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51"/>
      <c r="Q25" s="1286" t="str">
        <f t="shared" ref="Q25" si="9">B25</f>
        <v>基础设施水平</v>
      </c>
      <c r="R25" s="1282" t="s">
        <v>1343</v>
      </c>
      <c r="S25" s="1283">
        <f>F25</f>
        <v>100</v>
      </c>
      <c r="T25" s="1282" t="s">
        <v>1343</v>
      </c>
      <c r="U25" s="1283">
        <f>H25</f>
        <v>100</v>
      </c>
      <c r="V25" s="1282" t="s">
        <v>1343</v>
      </c>
      <c r="W25" s="1283">
        <f>J25</f>
        <v>100</v>
      </c>
      <c r="X25" s="1284"/>
      <c r="Y25" s="3651"/>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51"/>
      <c r="Q26" s="1286"/>
      <c r="R26" s="1282"/>
      <c r="S26" s="1283"/>
      <c r="T26" s="1282"/>
      <c r="U26" s="1283"/>
      <c r="V26" s="1282"/>
      <c r="W26" s="1283"/>
      <c r="X26" s="1284"/>
      <c r="Y26" s="3651"/>
      <c r="Z26" s="1297"/>
      <c r="AA26" s="1296">
        <v>1</v>
      </c>
      <c r="AB26" s="1296">
        <v>1</v>
      </c>
      <c r="AC26" s="1296">
        <v>1</v>
      </c>
    </row>
    <row r="27" spans="1:29" ht="15">
      <c r="A27" s="1112"/>
      <c r="B27" s="1140" t="s">
        <v>1583</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51"/>
      <c r="Q27" s="664" t="str">
        <f t="shared" si="8"/>
        <v>临街状况</v>
      </c>
      <c r="R27" s="1287" t="s">
        <v>1343</v>
      </c>
      <c r="S27" s="1288">
        <f t="shared" ref="S27:S40" si="10">F27</f>
        <v>100</v>
      </c>
      <c r="T27" s="1287" t="s">
        <v>1343</v>
      </c>
      <c r="U27" s="1288">
        <f t="shared" ref="U27:U40" si="11">H27</f>
        <v>100</v>
      </c>
      <c r="V27" s="1287" t="s">
        <v>1343</v>
      </c>
      <c r="W27" s="1288">
        <f t="shared" ref="W27:W40" si="12">J27</f>
        <v>100</v>
      </c>
      <c r="X27" s="1281"/>
      <c r="Y27" s="3651"/>
      <c r="Z27" s="1271" t="str">
        <f t="shared" ref="Z27:Z40" si="13">Q27</f>
        <v>临街状况</v>
      </c>
      <c r="AA27" s="1298">
        <f t="shared" si="3"/>
        <v>1</v>
      </c>
      <c r="AB27" s="1298">
        <f t="shared" si="4"/>
        <v>1</v>
      </c>
      <c r="AC27" s="1298">
        <f t="shared" si="5"/>
        <v>1</v>
      </c>
    </row>
    <row r="28" spans="1:29" ht="27">
      <c r="A28" s="1112"/>
      <c r="B28" s="1143" t="s">
        <v>1362</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51"/>
      <c r="Q28" s="664" t="str">
        <f t="shared" si="8"/>
        <v>毗邻道路的类型与等级</v>
      </c>
      <c r="R28" s="1287" t="s">
        <v>1343</v>
      </c>
      <c r="S28" s="1288">
        <f t="shared" si="10"/>
        <v>100</v>
      </c>
      <c r="T28" s="1287" t="s">
        <v>1343</v>
      </c>
      <c r="U28" s="1288">
        <f t="shared" si="11"/>
        <v>100</v>
      </c>
      <c r="V28" s="1287" t="s">
        <v>1343</v>
      </c>
      <c r="W28" s="1288">
        <f t="shared" si="12"/>
        <v>100</v>
      </c>
      <c r="X28" s="1281"/>
      <c r="Y28" s="3651"/>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51"/>
      <c r="Q29" s="664"/>
      <c r="R29" s="1287"/>
      <c r="S29" s="1288"/>
      <c r="T29" s="1287"/>
      <c r="U29" s="1288"/>
      <c r="V29" s="1287"/>
      <c r="W29" s="1288"/>
      <c r="X29" s="1281"/>
      <c r="Y29" s="3651"/>
      <c r="Z29" s="1271"/>
      <c r="AA29" s="1298">
        <v>1</v>
      </c>
      <c r="AB29" s="1298">
        <v>1</v>
      </c>
      <c r="AC29" s="1298">
        <v>1</v>
      </c>
    </row>
    <row r="30" spans="1:29" ht="15">
      <c r="A30" s="1112"/>
      <c r="B30" s="1149" t="s">
        <v>1617</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51"/>
      <c r="Q30" s="664" t="str">
        <f t="shared" si="8"/>
        <v>土地级别</v>
      </c>
      <c r="R30" s="1287" t="s">
        <v>1343</v>
      </c>
      <c r="S30" s="1288">
        <f t="shared" si="10"/>
        <v>100</v>
      </c>
      <c r="T30" s="1287" t="s">
        <v>1343</v>
      </c>
      <c r="U30" s="1288">
        <f t="shared" si="11"/>
        <v>100</v>
      </c>
      <c r="V30" s="1287" t="s">
        <v>1343</v>
      </c>
      <c r="W30" s="1288">
        <f t="shared" si="12"/>
        <v>100</v>
      </c>
      <c r="X30" s="1281"/>
      <c r="Y30" s="3651"/>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51"/>
      <c r="Q31" s="664">
        <f t="shared" si="8"/>
        <v>111</v>
      </c>
      <c r="R31" s="1287" t="s">
        <v>1343</v>
      </c>
      <c r="S31" s="1288">
        <f t="shared" si="10"/>
        <v>100</v>
      </c>
      <c r="T31" s="1287" t="s">
        <v>1343</v>
      </c>
      <c r="U31" s="1288">
        <f t="shared" si="11"/>
        <v>100</v>
      </c>
      <c r="V31" s="1287" t="s">
        <v>1343</v>
      </c>
      <c r="W31" s="1288">
        <f t="shared" si="12"/>
        <v>100</v>
      </c>
      <c r="X31" s="1281"/>
      <c r="Y31" s="3651"/>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10" t="s">
        <v>1369</v>
      </c>
      <c r="Q32" s="664">
        <f t="shared" si="8"/>
        <v>111</v>
      </c>
      <c r="R32" s="1287" t="s">
        <v>1343</v>
      </c>
      <c r="S32" s="1288">
        <f t="shared" si="10"/>
        <v>100</v>
      </c>
      <c r="T32" s="1287" t="s">
        <v>1343</v>
      </c>
      <c r="U32" s="1288">
        <f t="shared" si="11"/>
        <v>100</v>
      </c>
      <c r="V32" s="1287" t="s">
        <v>1343</v>
      </c>
      <c r="W32" s="1288">
        <f t="shared" si="12"/>
        <v>100</v>
      </c>
      <c r="X32" s="1281"/>
      <c r="Y32" s="3652" t="s">
        <v>1369</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52"/>
      <c r="Q33" s="664">
        <f t="shared" si="8"/>
        <v>111</v>
      </c>
      <c r="R33" s="1289" t="s">
        <v>1343</v>
      </c>
      <c r="S33" s="1290">
        <f t="shared" si="10"/>
        <v>100</v>
      </c>
      <c r="T33" s="1289" t="s">
        <v>1343</v>
      </c>
      <c r="U33" s="1290">
        <f t="shared" si="11"/>
        <v>100</v>
      </c>
      <c r="V33" s="1289" t="s">
        <v>1343</v>
      </c>
      <c r="W33" s="1290">
        <f t="shared" si="12"/>
        <v>100</v>
      </c>
      <c r="X33" s="1291"/>
      <c r="Y33" s="3652"/>
      <c r="Z33" s="1299">
        <f t="shared" si="13"/>
        <v>111</v>
      </c>
      <c r="AA33" s="1298">
        <f t="shared" si="3"/>
        <v>1</v>
      </c>
      <c r="AB33" s="1298">
        <f t="shared" si="4"/>
        <v>1</v>
      </c>
      <c r="AC33" s="1298">
        <f t="shared" si="5"/>
        <v>1</v>
      </c>
    </row>
    <row r="34" spans="1:31" ht="15">
      <c r="A34" s="1126" t="s">
        <v>1367</v>
      </c>
      <c r="B34" s="1160" t="s">
        <v>1618</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52"/>
      <c r="Q34" s="664" t="str">
        <f t="shared" si="8"/>
        <v>宗地面积</v>
      </c>
      <c r="R34" s="1287" t="s">
        <v>1343</v>
      </c>
      <c r="S34" s="1288" t="e">
        <f t="shared" si="10"/>
        <v>#N/A</v>
      </c>
      <c r="T34" s="1287" t="s">
        <v>1343</v>
      </c>
      <c r="U34" s="1288" t="e">
        <f t="shared" si="11"/>
        <v>#N/A</v>
      </c>
      <c r="V34" s="1287" t="s">
        <v>1343</v>
      </c>
      <c r="W34" s="1288" t="e">
        <f t="shared" si="12"/>
        <v>#N/A</v>
      </c>
      <c r="X34" s="1281"/>
      <c r="Y34" s="3652"/>
      <c r="Z34" s="1271" t="str">
        <f t="shared" si="13"/>
        <v>宗地面积</v>
      </c>
      <c r="AA34" s="1298" t="e">
        <f t="shared" si="3"/>
        <v>#N/A</v>
      </c>
      <c r="AB34" s="1298" t="e">
        <f t="shared" si="4"/>
        <v>#N/A</v>
      </c>
      <c r="AC34" s="1298" t="e">
        <f t="shared" si="5"/>
        <v>#N/A</v>
      </c>
    </row>
    <row r="35" spans="1:31" ht="15">
      <c r="A35" s="1163"/>
      <c r="B35" s="1109" t="s">
        <v>1619</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52"/>
      <c r="Q35" s="664" t="str">
        <f t="shared" ref="Q35:Q40" si="14">B35</f>
        <v>宗地形状</v>
      </c>
      <c r="R35" s="1287" t="s">
        <v>1343</v>
      </c>
      <c r="S35" s="1288">
        <f t="shared" si="10"/>
        <v>100</v>
      </c>
      <c r="T35" s="1287" t="s">
        <v>1343</v>
      </c>
      <c r="U35" s="1288">
        <f t="shared" si="11"/>
        <v>100</v>
      </c>
      <c r="V35" s="1287" t="s">
        <v>1343</v>
      </c>
      <c r="W35" s="1288">
        <f t="shared" si="12"/>
        <v>100</v>
      </c>
      <c r="X35" s="1281"/>
      <c r="Y35" s="3652"/>
      <c r="Z35" s="1271" t="str">
        <f t="shared" si="13"/>
        <v>宗地形状</v>
      </c>
      <c r="AA35" s="1298">
        <f t="shared" si="3"/>
        <v>1</v>
      </c>
      <c r="AB35" s="1298">
        <f t="shared" si="4"/>
        <v>1</v>
      </c>
      <c r="AC35" s="1298">
        <f t="shared" si="5"/>
        <v>1</v>
      </c>
    </row>
    <row r="36" spans="1:31" s="1071" customFormat="1" ht="15">
      <c r="A36" s="1165"/>
      <c r="B36" s="1109" t="s">
        <v>1621</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52"/>
      <c r="Q36" s="664" t="str">
        <f t="shared" si="14"/>
        <v>宗地开发程度</v>
      </c>
      <c r="R36" s="1282" t="s">
        <v>1343</v>
      </c>
      <c r="S36" s="1283">
        <f t="shared" si="10"/>
        <v>100</v>
      </c>
      <c r="T36" s="1282" t="s">
        <v>1343</v>
      </c>
      <c r="U36" s="1283">
        <f t="shared" si="11"/>
        <v>100</v>
      </c>
      <c r="V36" s="1282" t="s">
        <v>1343</v>
      </c>
      <c r="W36" s="1283">
        <f t="shared" si="12"/>
        <v>100</v>
      </c>
      <c r="X36" s="1284"/>
      <c r="Y36" s="3652"/>
      <c r="Z36" s="1297" t="str">
        <f t="shared" si="13"/>
        <v>宗地开发程度</v>
      </c>
      <c r="AA36" s="1296">
        <f t="shared" si="3"/>
        <v>1</v>
      </c>
      <c r="AB36" s="1296">
        <f t="shared" si="4"/>
        <v>1</v>
      </c>
      <c r="AC36" s="1296">
        <f t="shared" si="5"/>
        <v>1</v>
      </c>
    </row>
    <row r="37" spans="1:31" ht="15">
      <c r="A37" s="1163"/>
      <c r="B37" s="1109" t="s">
        <v>1622</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52" t="s">
        <v>1369</v>
      </c>
      <c r="Q37" s="664" t="str">
        <f t="shared" si="14"/>
        <v>工程地质条件</v>
      </c>
      <c r="R37" s="1287" t="s">
        <v>1343</v>
      </c>
      <c r="S37" s="1288">
        <f t="shared" si="10"/>
        <v>100</v>
      </c>
      <c r="T37" s="1287" t="s">
        <v>1343</v>
      </c>
      <c r="U37" s="1288">
        <f t="shared" si="11"/>
        <v>100</v>
      </c>
      <c r="V37" s="1287" t="s">
        <v>1343</v>
      </c>
      <c r="W37" s="1288">
        <f t="shared" si="12"/>
        <v>100</v>
      </c>
      <c r="X37" s="1281"/>
      <c r="Y37" s="3652" t="s">
        <v>1369</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52"/>
      <c r="Q38" s="664">
        <f t="shared" si="14"/>
        <v>111</v>
      </c>
      <c r="R38" s="1287" t="s">
        <v>1343</v>
      </c>
      <c r="S38" s="1288">
        <f t="shared" si="10"/>
        <v>100</v>
      </c>
      <c r="T38" s="1287" t="s">
        <v>1343</v>
      </c>
      <c r="U38" s="1288">
        <f t="shared" si="11"/>
        <v>100</v>
      </c>
      <c r="V38" s="1287" t="s">
        <v>1343</v>
      </c>
      <c r="W38" s="1288">
        <f t="shared" si="12"/>
        <v>100</v>
      </c>
      <c r="X38" s="1281"/>
      <c r="Y38" s="3652"/>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52"/>
      <c r="Q39" s="664">
        <f t="shared" si="14"/>
        <v>111</v>
      </c>
      <c r="R39" s="1287" t="s">
        <v>1343</v>
      </c>
      <c r="S39" s="1288">
        <f t="shared" si="10"/>
        <v>100</v>
      </c>
      <c r="T39" s="1287" t="s">
        <v>1343</v>
      </c>
      <c r="U39" s="1288">
        <f t="shared" si="11"/>
        <v>100</v>
      </c>
      <c r="V39" s="1287" t="s">
        <v>1343</v>
      </c>
      <c r="W39" s="1288">
        <f t="shared" si="12"/>
        <v>100</v>
      </c>
      <c r="X39" s="1281"/>
      <c r="Y39" s="3652"/>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52"/>
      <c r="Q40" s="664">
        <f t="shared" si="14"/>
        <v>111</v>
      </c>
      <c r="R40" s="1289" t="s">
        <v>1343</v>
      </c>
      <c r="S40" s="1290">
        <f t="shared" si="10"/>
        <v>100</v>
      </c>
      <c r="T40" s="1289" t="s">
        <v>1343</v>
      </c>
      <c r="U40" s="1290">
        <f t="shared" si="11"/>
        <v>100</v>
      </c>
      <c r="V40" s="1289" t="s">
        <v>1343</v>
      </c>
      <c r="W40" s="1290">
        <f t="shared" si="12"/>
        <v>100</v>
      </c>
      <c r="X40" s="1291"/>
      <c r="Y40" s="3652"/>
      <c r="Z40" s="1299">
        <f t="shared" si="13"/>
        <v>111</v>
      </c>
      <c r="AA40" s="1298">
        <f t="shared" si="3"/>
        <v>1</v>
      </c>
      <c r="AB40" s="1298">
        <f t="shared" si="4"/>
        <v>1</v>
      </c>
      <c r="AC40" s="1298">
        <f t="shared" si="5"/>
        <v>1</v>
      </c>
    </row>
    <row r="41" spans="1:31" ht="15">
      <c r="A41" s="1170" t="s">
        <v>1604</v>
      </c>
      <c r="B41" s="1171" t="s">
        <v>1657</v>
      </c>
      <c r="C41" s="1172" t="s">
        <v>124</v>
      </c>
      <c r="D41" s="1173"/>
      <c r="E41" s="1174"/>
      <c r="F41" s="1175"/>
      <c r="G41" s="1176"/>
      <c r="H41" s="1177"/>
      <c r="I41" s="1174"/>
      <c r="J41" s="1177"/>
      <c r="K41" s="1262"/>
      <c r="L41" s="1263"/>
      <c r="M41" s="1239"/>
      <c r="N41" s="1239"/>
      <c r="O41" s="1187"/>
      <c r="P41" s="3643" t="str">
        <f>A41</f>
        <v>成交单价</v>
      </c>
      <c r="Q41" s="3643"/>
      <c r="R41" s="3676">
        <f>E41</f>
        <v>0</v>
      </c>
      <c r="S41" s="3676"/>
      <c r="T41" s="3676">
        <f>G41</f>
        <v>0</v>
      </c>
      <c r="U41" s="3676"/>
      <c r="V41" s="3676">
        <f>I41</f>
        <v>0</v>
      </c>
      <c r="W41" s="3676"/>
      <c r="X41" s="1227"/>
      <c r="Y41" s="1300"/>
      <c r="Z41" s="1227"/>
      <c r="AA41" s="1227"/>
      <c r="AB41" s="1227"/>
      <c r="AC41" s="1227"/>
    </row>
    <row r="42" spans="1:31" ht="15">
      <c r="A42" s="1178" t="s">
        <v>1386</v>
      </c>
      <c r="B42" s="1179"/>
      <c r="C42" s="1180" t="e">
        <f>R43</f>
        <v>#DIV/0!</v>
      </c>
      <c r="D42" s="1181" t="s">
        <v>1387</v>
      </c>
      <c r="E42" s="1180" t="e">
        <f>R42</f>
        <v>#DIV/0!</v>
      </c>
      <c r="F42" s="1182"/>
      <c r="G42" s="1183" t="e">
        <f>T42</f>
        <v>#DIV/0!</v>
      </c>
      <c r="H42" s="1182"/>
      <c r="I42" s="1180" t="e">
        <f>V42</f>
        <v>#DIV/0!</v>
      </c>
      <c r="J42" s="1182"/>
      <c r="K42" s="1264">
        <f>F42+H42+J42</f>
        <v>0</v>
      </c>
      <c r="L42" s="1263"/>
      <c r="M42" s="1239"/>
      <c r="N42" s="1239"/>
      <c r="O42" s="1187"/>
      <c r="P42" s="3643" t="str">
        <f>A42</f>
        <v>比较价值（元/平方米）</v>
      </c>
      <c r="Q42" s="3643"/>
      <c r="R42" s="3713" t="e">
        <f>ROUND(PRODUCT(R41,AA7:AA40),0)</f>
        <v>#DIV/0!</v>
      </c>
      <c r="S42" s="3713"/>
      <c r="T42" s="3713" t="e">
        <f>ROUND(PRODUCT(T41,AB7:AB40),0)</f>
        <v>#DIV/0!</v>
      </c>
      <c r="U42" s="3713"/>
      <c r="V42" s="3713" t="e">
        <f>ROUND(PRODUCT(V41,AC7:AC40),0)</f>
        <v>#DIV/0!</v>
      </c>
      <c r="W42" s="3713"/>
      <c r="X42" s="1227"/>
      <c r="Y42" s="1227"/>
      <c r="Z42" s="1227"/>
      <c r="AA42" s="1227"/>
      <c r="AB42" s="1227"/>
      <c r="AC42" s="1227"/>
    </row>
    <row r="43" spans="1:31" ht="15">
      <c r="A43" s="1184" t="s">
        <v>1388</v>
      </c>
      <c r="B43" s="1185"/>
      <c r="C43" s="1186" t="e">
        <f>R43</f>
        <v>#DIV/0!</v>
      </c>
      <c r="D43" s="1186"/>
      <c r="E43" s="1186"/>
      <c r="F43" s="1186"/>
      <c r="G43" s="1186"/>
      <c r="H43" s="1186"/>
      <c r="I43" s="1186"/>
      <c r="J43" s="1186"/>
      <c r="K43" s="1265"/>
      <c r="L43" s="1263"/>
      <c r="M43" s="1239"/>
      <c r="N43" s="1239"/>
      <c r="O43" s="1187"/>
      <c r="P43" s="3700" t="str">
        <f>A43</f>
        <v>估价对象XX用房的比较价值（楼面单价，元/平方米）</v>
      </c>
      <c r="Q43" s="3701"/>
      <c r="R43" s="3714" t="e">
        <f>ROUND(IF(D42="简单平均",AVERAGE(R42:W42),R42*F42+T42*H42+V42*J42),0)</f>
        <v>#DIV/0!</v>
      </c>
      <c r="S43" s="3714"/>
      <c r="T43" s="3714"/>
      <c r="U43" s="3714"/>
      <c r="V43" s="3714"/>
      <c r="W43" s="3714"/>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1389</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1390</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1391</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1625</v>
      </c>
      <c r="B50" s="1197" t="s">
        <v>1626</v>
      </c>
      <c r="C50" s="1198" t="s">
        <v>1627</v>
      </c>
      <c r="D50" s="1199" t="s">
        <v>1628</v>
      </c>
      <c r="E50" s="1200" t="s">
        <v>1629</v>
      </c>
      <c r="F50" s="1201" t="s">
        <v>1630</v>
      </c>
      <c r="G50" s="3626" t="s">
        <v>1631</v>
      </c>
      <c r="H50" s="3712"/>
      <c r="I50" s="1271" t="s">
        <v>1658</v>
      </c>
      <c r="J50" s="1271">
        <f>项目基本情况!F35</f>
        <v>0</v>
      </c>
      <c r="K50" s="1272" t="s">
        <v>1633</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1634</v>
      </c>
      <c r="B51" s="1203" t="e">
        <f>C43</f>
        <v>#DIV/0!</v>
      </c>
      <c r="C51" s="1204">
        <v>1</v>
      </c>
      <c r="D51" s="1205">
        <v>1</v>
      </c>
      <c r="E51" s="1204">
        <f>'数据-汇总表'!E8+'数据-汇总表'!E9</f>
        <v>46.53</v>
      </c>
      <c r="F51" s="1206" t="e">
        <f t="shared" ref="F51:F60" si="15">ROUND(B51*E51/10000,0)</f>
        <v>#DIV/0!</v>
      </c>
      <c r="G51" s="3642"/>
      <c r="H51" s="3643"/>
      <c r="I51" s="694">
        <v>1</v>
      </c>
      <c r="J51" s="694">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1635</v>
      </c>
      <c r="B52" s="395" t="e">
        <f>ROUND($C$43*C52*D52,0)</f>
        <v>#DIV/0!</v>
      </c>
      <c r="C52" s="582">
        <f t="shared" ref="C52:C60" si="16">IF($C$50="北京市系数",I52,J52)</f>
        <v>0</v>
      </c>
      <c r="D52" s="1208">
        <v>0.25</v>
      </c>
      <c r="E52" s="1209"/>
      <c r="F52" s="1206" t="e">
        <f t="shared" si="15"/>
        <v>#DIV/0!</v>
      </c>
      <c r="G52" s="1210" t="s">
        <v>1636</v>
      </c>
      <c r="H52" s="1211">
        <f>项目基本情况!B37</f>
        <v>0</v>
      </c>
      <c r="I52" s="694">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1637</v>
      </c>
      <c r="B53" s="395" t="e">
        <f t="shared" ref="B53:B60" si="17">ROUND($C$43*C53*D53,0)</f>
        <v>#DIV/0!</v>
      </c>
      <c r="C53" s="582">
        <f t="shared" si="16"/>
        <v>0</v>
      </c>
      <c r="D53" s="1208">
        <v>0.25</v>
      </c>
      <c r="E53" s="1209"/>
      <c r="F53" s="1206" t="e">
        <f t="shared" si="15"/>
        <v>#DIV/0!</v>
      </c>
      <c r="G53" s="1212"/>
      <c r="H53" s="1211">
        <f>项目基本情况!B37</f>
        <v>0</v>
      </c>
      <c r="I53" s="694">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1638</v>
      </c>
      <c r="B54" s="395" t="e">
        <f t="shared" si="17"/>
        <v>#DIV/0!</v>
      </c>
      <c r="C54" s="582">
        <f t="shared" si="16"/>
        <v>0</v>
      </c>
      <c r="D54" s="1208">
        <v>0.25</v>
      </c>
      <c r="E54" s="1209"/>
      <c r="F54" s="1206" t="e">
        <f t="shared" si="15"/>
        <v>#DIV/0!</v>
      </c>
      <c r="G54" s="1212"/>
      <c r="H54" s="1211">
        <f>项目基本情况!B37</f>
        <v>0</v>
      </c>
      <c r="I54" s="694">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5"/>
      <c r="C55" s="582"/>
      <c r="D55" s="1208"/>
      <c r="E55" s="1209"/>
      <c r="F55" s="1206"/>
      <c r="G55" s="1213"/>
      <c r="H55" s="1211"/>
      <c r="I55" s="694"/>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1639</v>
      </c>
      <c r="B56" s="395" t="e">
        <f t="shared" si="17"/>
        <v>#DIV/0!</v>
      </c>
      <c r="C56" s="582">
        <f t="shared" si="16"/>
        <v>0</v>
      </c>
      <c r="D56" s="1208">
        <v>0.25</v>
      </c>
      <c r="E56" s="394">
        <f>'数据-汇总表'!E11</f>
        <v>0</v>
      </c>
      <c r="F56" s="1206" t="e">
        <f t="shared" si="15"/>
        <v>#DIV/0!</v>
      </c>
      <c r="G56" s="1214" t="s">
        <v>1640</v>
      </c>
      <c r="H56" s="1211">
        <f>项目基本情况!C37</f>
        <v>0</v>
      </c>
      <c r="I56" s="694">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1641</v>
      </c>
      <c r="B57" s="395" t="e">
        <f t="shared" si="17"/>
        <v>#DIV/0!</v>
      </c>
      <c r="C57" s="582">
        <f t="shared" si="16"/>
        <v>0</v>
      </c>
      <c r="D57" s="1208">
        <v>0.25</v>
      </c>
      <c r="E57" s="394">
        <f>'数据-汇总表'!E12</f>
        <v>0</v>
      </c>
      <c r="F57" s="1206" t="e">
        <f t="shared" si="15"/>
        <v>#DIV/0!</v>
      </c>
      <c r="G57" s="1215" t="s">
        <v>1642</v>
      </c>
      <c r="H57" s="1211">
        <f>IF(G57="商业",项目基本情况!B37,IF(G57="办公",项目基本情况!C37,IF(G57="住宅",项目基本情况!D37,项目基本情况!E37)))</f>
        <v>0</v>
      </c>
      <c r="I57" s="694">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1643</v>
      </c>
      <c r="B58" s="395" t="e">
        <f t="shared" si="17"/>
        <v>#DIV/0!</v>
      </c>
      <c r="C58" s="582">
        <f t="shared" si="16"/>
        <v>0</v>
      </c>
      <c r="D58" s="1208">
        <v>0.25</v>
      </c>
      <c r="E58" s="394">
        <f>'数据-汇总表'!E13</f>
        <v>0</v>
      </c>
      <c r="F58" s="1206" t="e">
        <f t="shared" si="15"/>
        <v>#DIV/0!</v>
      </c>
      <c r="G58" s="1215" t="s">
        <v>1644</v>
      </c>
      <c r="H58" s="1211">
        <f>IF(G58="商业",项目基本情况!B37,IF(G58="办公",项目基本情况!C37,IF(G58="住宅",项目基本情况!D37,项目基本情况!E37)))</f>
        <v>0</v>
      </c>
      <c r="I58" s="694">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1645</v>
      </c>
      <c r="B59" s="395" t="e">
        <f t="shared" si="17"/>
        <v>#DIV/0!</v>
      </c>
      <c r="C59" s="582">
        <f t="shared" si="16"/>
        <v>0</v>
      </c>
      <c r="D59" s="1208">
        <v>0.25</v>
      </c>
      <c r="E59" s="394">
        <f>'数据-汇总表'!E14</f>
        <v>0</v>
      </c>
      <c r="F59" s="1206" t="e">
        <f t="shared" si="15"/>
        <v>#DIV/0!</v>
      </c>
      <c r="G59" s="1214" t="s">
        <v>1636</v>
      </c>
      <c r="H59" s="1211">
        <f>项目基本情况!B37</f>
        <v>0</v>
      </c>
      <c r="I59" s="694">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1646</v>
      </c>
      <c r="B60" s="395" t="e">
        <f t="shared" si="17"/>
        <v>#DIV/0!</v>
      </c>
      <c r="C60" s="582">
        <f t="shared" si="16"/>
        <v>0</v>
      </c>
      <c r="D60" s="1208">
        <v>0.25</v>
      </c>
      <c r="E60" s="394">
        <f>'数据-汇总表'!E15</f>
        <v>0</v>
      </c>
      <c r="F60" s="1206" t="e">
        <f t="shared" si="15"/>
        <v>#DIV/0!</v>
      </c>
      <c r="G60" s="1216" t="s">
        <v>1640</v>
      </c>
      <c r="H60" s="1217">
        <f>项目基本情况!C37</f>
        <v>0</v>
      </c>
      <c r="I60" s="694">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1647</v>
      </c>
      <c r="B61" s="1219" t="s">
        <v>1648</v>
      </c>
      <c r="C61" s="1219" t="s">
        <v>1648</v>
      </c>
      <c r="D61" s="1219" t="s">
        <v>1648</v>
      </c>
      <c r="E61" s="1219">
        <f>IF(B41="楼面地价",SUM(E51:E60),'数据-汇总表'!D3)</f>
        <v>0</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2023-10-1</v>
      </c>
      <c r="D63" s="1225">
        <f>EDATE(C63,-3)</f>
        <v>45108</v>
      </c>
      <c r="E63" s="1225">
        <f>EDATE(D63,-3)</f>
        <v>45017</v>
      </c>
      <c r="F63" s="1225">
        <f t="shared" ref="F63:O63" si="18">EDATE(E63,-3)</f>
        <v>44927</v>
      </c>
      <c r="G63" s="1225">
        <f t="shared" si="18"/>
        <v>44835</v>
      </c>
      <c r="H63" s="1225">
        <f t="shared" si="18"/>
        <v>44743</v>
      </c>
      <c r="I63" s="1225">
        <f t="shared" si="18"/>
        <v>44652</v>
      </c>
      <c r="J63" s="1225">
        <f t="shared" si="18"/>
        <v>44562</v>
      </c>
      <c r="K63" s="1225">
        <f t="shared" si="18"/>
        <v>44470</v>
      </c>
      <c r="L63" s="1225">
        <f t="shared" si="18"/>
        <v>44378</v>
      </c>
      <c r="M63" s="1225">
        <f t="shared" si="18"/>
        <v>44287</v>
      </c>
      <c r="N63" s="1225">
        <f t="shared" si="18"/>
        <v>44197</v>
      </c>
      <c r="O63" s="1225">
        <f t="shared" si="18"/>
        <v>44105</v>
      </c>
      <c r="P63" s="1187"/>
      <c r="Q63" s="1187"/>
      <c r="R63" s="1187"/>
      <c r="S63" s="1187"/>
      <c r="T63" s="1187"/>
      <c r="U63" s="1187"/>
      <c r="V63" s="1187"/>
      <c r="W63" s="1187"/>
      <c r="X63" s="1187"/>
      <c r="Y63" s="1187"/>
      <c r="Z63" s="1187"/>
      <c r="AA63" s="1187"/>
      <c r="AB63" s="1187"/>
      <c r="AC63" s="1187"/>
      <c r="AD63" s="1187"/>
      <c r="AE63" s="1187"/>
    </row>
    <row r="64" spans="1:31" ht="21">
      <c r="A64" s="1226" t="s">
        <v>1392</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1649</v>
      </c>
      <c r="B65" s="1302"/>
      <c r="C65" s="1303" t="str">
        <f>YEAR(C63)&amp;"-"&amp;ROUNDUP(MONTH(C63)/3,0)</f>
        <v>2023-4</v>
      </c>
      <c r="D65" s="1303" t="str">
        <f t="shared" ref="D65:O65" si="19">YEAR(D63)&amp;"-"&amp;ROUNDUP(MONTH(D63)/3,0)</f>
        <v>2023-3</v>
      </c>
      <c r="E65" s="1303" t="str">
        <f t="shared" si="19"/>
        <v>2023-2</v>
      </c>
      <c r="F65" s="1303" t="str">
        <f t="shared" si="19"/>
        <v>2023-1</v>
      </c>
      <c r="G65" s="1303" t="str">
        <f t="shared" si="19"/>
        <v>2022-4</v>
      </c>
      <c r="H65" s="1303" t="str">
        <f t="shared" si="19"/>
        <v>2022-3</v>
      </c>
      <c r="I65" s="1303" t="str">
        <f t="shared" si="19"/>
        <v>2022-2</v>
      </c>
      <c r="J65" s="1303" t="str">
        <f t="shared" si="19"/>
        <v>2022-1</v>
      </c>
      <c r="K65" s="1303" t="str">
        <f t="shared" si="19"/>
        <v>2021-4</v>
      </c>
      <c r="L65" s="1303" t="str">
        <f t="shared" si="19"/>
        <v>2021-3</v>
      </c>
      <c r="M65" s="1303" t="str">
        <f t="shared" si="19"/>
        <v>2021-2</v>
      </c>
      <c r="N65" s="1303" t="str">
        <f t="shared" si="19"/>
        <v>2021-1</v>
      </c>
      <c r="O65" s="1303" t="str">
        <f t="shared" si="19"/>
        <v>2020-4</v>
      </c>
      <c r="P65" s="1352"/>
      <c r="Q65" s="1408"/>
      <c r="R65" s="1408"/>
      <c r="S65" s="1408"/>
      <c r="T65" s="1408"/>
      <c r="U65" s="1408"/>
      <c r="V65" s="1408"/>
      <c r="W65" s="1408"/>
      <c r="X65" s="1408"/>
      <c r="Y65" s="1408"/>
      <c r="Z65" s="1408"/>
      <c r="AA65" s="1408"/>
      <c r="AB65" s="1408"/>
      <c r="AC65" s="1408"/>
      <c r="AD65" s="1408"/>
      <c r="AE65" s="1408"/>
    </row>
    <row r="66" spans="1:31" s="1071" customFormat="1" ht="30.75" customHeight="1">
      <c r="A66" s="1304" t="s">
        <v>1659</v>
      </c>
      <c r="B66" s="1305" t="str">
        <f>"北京市平均增长率"&amp;TEXT(基准地价修正!P28,"0.00%")</f>
        <v>北京市平均增长率0.00%</v>
      </c>
      <c r="C66" s="841">
        <v>100</v>
      </c>
      <c r="D66" s="959"/>
      <c r="E66" s="959"/>
      <c r="F66" s="959"/>
      <c r="G66" s="959"/>
      <c r="H66" s="959"/>
      <c r="I66" s="959"/>
      <c r="J66" s="959"/>
      <c r="K66" s="959"/>
      <c r="L66" s="959"/>
      <c r="M66" s="1353"/>
      <c r="N66" s="1353"/>
      <c r="O66" s="1354"/>
      <c r="P66" s="1292"/>
      <c r="Q66" s="1409"/>
      <c r="R66" s="1409"/>
      <c r="S66" s="1409"/>
      <c r="T66" s="1409"/>
      <c r="U66" s="1409"/>
      <c r="V66" s="1409"/>
      <c r="W66" s="1409"/>
      <c r="X66" s="1409"/>
      <c r="Y66" s="1409"/>
      <c r="Z66" s="1409"/>
      <c r="AA66" s="1409"/>
      <c r="AB66" s="1409"/>
      <c r="AC66" s="1409"/>
      <c r="AD66" s="1409"/>
      <c r="AE66" s="1409"/>
    </row>
    <row r="67" spans="1:31" s="1071" customFormat="1" ht="15">
      <c r="A67" s="1306" t="s">
        <v>1393</v>
      </c>
      <c r="B67" s="1307"/>
      <c r="C67" s="1308"/>
      <c r="D67" s="1309"/>
      <c r="E67" s="1309"/>
      <c r="F67" s="1309"/>
      <c r="G67" s="1309"/>
      <c r="H67" s="1309"/>
      <c r="I67" s="1309"/>
      <c r="J67" s="1309"/>
      <c r="K67" s="1309"/>
      <c r="L67" s="1309"/>
      <c r="M67" s="1355"/>
      <c r="N67" s="1355"/>
      <c r="O67" s="1356"/>
      <c r="P67" s="1292"/>
      <c r="Q67" s="1292"/>
      <c r="R67" s="1409"/>
      <c r="S67" s="1409"/>
      <c r="T67" s="1409"/>
      <c r="U67" s="1409"/>
      <c r="V67" s="1409"/>
      <c r="W67" s="1409"/>
      <c r="X67" s="1409"/>
      <c r="Y67" s="1409"/>
      <c r="Z67" s="1409"/>
      <c r="AA67" s="1409"/>
      <c r="AB67" s="1409"/>
      <c r="AC67" s="1409"/>
      <c r="AD67" s="1409"/>
      <c r="AE67" s="1409"/>
    </row>
    <row r="68" spans="1:31" s="1071" customFormat="1" ht="15">
      <c r="A68" s="1310" t="s">
        <v>1344</v>
      </c>
      <c r="B68" s="1311"/>
      <c r="C68" s="1312" t="s">
        <v>1394</v>
      </c>
      <c r="D68" s="1313"/>
      <c r="E68" s="1313"/>
      <c r="F68" s="1313"/>
      <c r="G68" s="1313"/>
      <c r="H68" s="1313"/>
      <c r="I68" s="1313"/>
      <c r="J68" s="1313"/>
      <c r="K68" s="1313"/>
      <c r="L68" s="1357"/>
      <c r="M68" s="1358"/>
      <c r="N68" s="1359"/>
      <c r="O68" s="1359"/>
      <c r="P68" s="1360"/>
      <c r="Q68" s="1292"/>
      <c r="R68" s="1409"/>
      <c r="S68" s="1409"/>
      <c r="T68" s="1409"/>
      <c r="U68" s="1409"/>
      <c r="V68" s="1409"/>
      <c r="W68" s="1409"/>
      <c r="X68" s="1409"/>
      <c r="Y68" s="1409"/>
      <c r="Z68" s="1409"/>
      <c r="AA68" s="1409"/>
      <c r="AB68" s="1409"/>
      <c r="AC68" s="1409"/>
      <c r="AD68" s="1409"/>
      <c r="AE68" s="1409"/>
    </row>
    <row r="69" spans="1:31" s="1071" customFormat="1" ht="15">
      <c r="A69" s="1310"/>
      <c r="B69" s="1311"/>
      <c r="C69" s="1314">
        <v>100</v>
      </c>
      <c r="D69" s="1315"/>
      <c r="E69" s="1315"/>
      <c r="F69" s="1315"/>
      <c r="G69" s="1315"/>
      <c r="H69" s="1315"/>
      <c r="I69" s="1315"/>
      <c r="J69" s="1315"/>
      <c r="K69" s="1315"/>
      <c r="L69" s="1315"/>
      <c r="M69" s="1361"/>
      <c r="N69" s="1359"/>
      <c r="O69" s="1359"/>
      <c r="P69" s="1292"/>
      <c r="Q69" s="1292"/>
      <c r="R69" s="1409"/>
      <c r="S69" s="1409"/>
      <c r="T69" s="1409"/>
      <c r="U69" s="1409"/>
      <c r="V69" s="1409"/>
      <c r="W69" s="1409"/>
      <c r="X69" s="1409"/>
      <c r="Y69" s="1409"/>
      <c r="Z69" s="1409"/>
      <c r="AA69" s="1409"/>
      <c r="AB69" s="1409"/>
      <c r="AC69" s="1409"/>
      <c r="AD69" s="1409"/>
      <c r="AE69" s="1409"/>
    </row>
    <row r="70" spans="1:31">
      <c r="A70" s="1316" t="s">
        <v>1395</v>
      </c>
      <c r="B70" s="1317" t="s">
        <v>1349</v>
      </c>
      <c r="C70" s="1260"/>
      <c r="D70" s="1260"/>
      <c r="E70" s="1260"/>
      <c r="F70" s="1260"/>
      <c r="G70" s="1260"/>
      <c r="H70" s="1260"/>
      <c r="I70" s="1260"/>
      <c r="J70" s="1260"/>
      <c r="K70" s="1362"/>
      <c r="L70" s="1363"/>
      <c r="M70" s="1364"/>
      <c r="N70" s="1365"/>
      <c r="O70" s="1365"/>
      <c r="P70" s="1366"/>
      <c r="Q70" s="1292"/>
      <c r="R70" s="1187"/>
      <c r="S70" s="1187"/>
      <c r="T70" s="1187"/>
      <c r="U70" s="1187"/>
      <c r="V70" s="1187"/>
      <c r="W70" s="1187"/>
      <c r="X70" s="1187"/>
      <c r="Y70" s="1187"/>
      <c r="Z70" s="1187"/>
      <c r="AA70" s="1187"/>
      <c r="AB70" s="1187"/>
      <c r="AC70" s="1187"/>
      <c r="AD70" s="1187"/>
      <c r="AE70" s="1187"/>
    </row>
    <row r="71" spans="1:31" ht="15">
      <c r="A71" s="1318"/>
      <c r="B71" s="1319"/>
      <c r="C71" s="964"/>
      <c r="D71" s="964"/>
      <c r="E71" s="964"/>
      <c r="F71" s="964"/>
      <c r="G71" s="964"/>
      <c r="H71" s="964"/>
      <c r="I71" s="964"/>
      <c r="J71" s="964"/>
      <c r="K71" s="964"/>
      <c r="L71" s="964"/>
      <c r="M71" s="1367"/>
      <c r="N71" s="1368"/>
      <c r="O71" s="1368"/>
      <c r="P71" s="1366"/>
      <c r="Q71" s="1292"/>
      <c r="R71" s="1187"/>
      <c r="S71" s="1187"/>
      <c r="T71" s="1187"/>
      <c r="U71" s="1187"/>
      <c r="V71" s="1187"/>
      <c r="W71" s="1187"/>
      <c r="X71" s="1187"/>
      <c r="Y71" s="1187"/>
      <c r="Z71" s="1187"/>
      <c r="AA71" s="1187"/>
      <c r="AB71" s="1187"/>
      <c r="AC71" s="1187"/>
      <c r="AD71" s="1187"/>
      <c r="AE71" s="1187"/>
    </row>
    <row r="72" spans="1:31" ht="27">
      <c r="A72" s="1318"/>
      <c r="B72" s="1320" t="s">
        <v>1352</v>
      </c>
      <c r="C72" s="1321"/>
      <c r="D72" s="1321"/>
      <c r="E72" s="1321"/>
      <c r="F72" s="1321"/>
      <c r="G72" s="1321"/>
      <c r="H72" s="1321"/>
      <c r="I72" s="1321"/>
      <c r="J72" s="1321"/>
      <c r="K72" s="1369"/>
      <c r="L72" s="1370"/>
      <c r="M72" s="1371"/>
      <c r="N72" s="1365"/>
      <c r="O72" s="1365"/>
      <c r="P72" s="1366"/>
      <c r="Q72" s="1292"/>
      <c r="R72" s="1187"/>
      <c r="S72" s="1187"/>
      <c r="T72" s="1187"/>
      <c r="U72" s="1187"/>
      <c r="V72" s="1187"/>
      <c r="W72" s="1187"/>
      <c r="X72" s="1187"/>
      <c r="Y72" s="1187"/>
      <c r="Z72" s="1187"/>
      <c r="AA72" s="1187"/>
      <c r="AB72" s="1187"/>
      <c r="AC72" s="1187"/>
      <c r="AD72" s="1187"/>
      <c r="AE72" s="1187"/>
    </row>
    <row r="73" spans="1:31" ht="15">
      <c r="A73" s="1318"/>
      <c r="B73" s="1322"/>
      <c r="C73" s="1323"/>
      <c r="D73" s="1323"/>
      <c r="E73" s="1323"/>
      <c r="F73" s="1323"/>
      <c r="G73" s="1323"/>
      <c r="H73" s="1323"/>
      <c r="I73" s="1323"/>
      <c r="J73" s="1323"/>
      <c r="K73" s="1323"/>
      <c r="L73" s="1323"/>
      <c r="M73" s="1372"/>
      <c r="N73" s="1368"/>
      <c r="O73" s="1368"/>
      <c r="P73" s="1366"/>
      <c r="Q73" s="1292"/>
      <c r="R73" s="1187"/>
      <c r="S73" s="1187"/>
      <c r="T73" s="1187"/>
      <c r="U73" s="1187"/>
      <c r="V73" s="1187"/>
      <c r="W73" s="1187"/>
      <c r="X73" s="1187"/>
      <c r="Y73" s="1187"/>
      <c r="Z73" s="1187"/>
      <c r="AA73" s="1187"/>
      <c r="AB73" s="1187"/>
      <c r="AC73" s="1187"/>
      <c r="AD73" s="1187"/>
      <c r="AE73" s="1187"/>
    </row>
    <row r="74" spans="1:31" ht="15">
      <c r="A74" s="1318"/>
      <c r="B74" s="1324" t="s">
        <v>1353</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3" t="str">
        <f>M75&amp;"（含）"&amp;"-"&amp;P75</f>
        <v>（含）-</v>
      </c>
      <c r="N74" s="1368"/>
      <c r="O74" s="1368"/>
      <c r="P74" s="1366"/>
      <c r="Q74" s="1292"/>
      <c r="R74" s="1187"/>
      <c r="S74" s="1187"/>
      <c r="T74" s="1187"/>
      <c r="U74" s="1187"/>
      <c r="V74" s="1187"/>
      <c r="W74" s="1187"/>
      <c r="X74" s="1187"/>
      <c r="Y74" s="1187"/>
      <c r="Z74" s="1187"/>
      <c r="AA74" s="1187"/>
      <c r="AB74" s="1187"/>
      <c r="AC74" s="1187"/>
      <c r="AD74" s="1187"/>
      <c r="AE74" s="1187"/>
    </row>
    <row r="75" spans="1:31" ht="15">
      <c r="A75" s="1318"/>
      <c r="B75" s="1326"/>
      <c r="C75" s="1118"/>
      <c r="D75" s="1118"/>
      <c r="E75" s="1118"/>
      <c r="F75" s="1118"/>
      <c r="G75" s="1118"/>
      <c r="H75" s="1118"/>
      <c r="I75" s="1118"/>
      <c r="J75" s="1118"/>
      <c r="K75" s="1373"/>
      <c r="L75" s="1374"/>
      <c r="M75" s="1375"/>
      <c r="N75" s="1365"/>
      <c r="O75" s="1365"/>
      <c r="P75" s="1366"/>
      <c r="Q75" s="1292"/>
      <c r="R75" s="1187"/>
      <c r="S75" s="1187"/>
      <c r="T75" s="1187"/>
      <c r="U75" s="1187"/>
      <c r="V75" s="1187"/>
      <c r="W75" s="1187"/>
      <c r="X75" s="1187"/>
      <c r="Y75" s="1187"/>
      <c r="Z75" s="1187"/>
      <c r="AA75" s="1187"/>
      <c r="AB75" s="1187"/>
      <c r="AC75" s="1187"/>
      <c r="AD75" s="1187"/>
      <c r="AE75" s="1187"/>
    </row>
    <row r="76" spans="1:31" ht="15">
      <c r="A76" s="1318"/>
      <c r="B76" s="1319"/>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8"/>
      <c r="O76" s="1368"/>
      <c r="P76" s="1366"/>
      <c r="Q76" s="1292"/>
      <c r="R76" s="1187"/>
      <c r="S76" s="1187"/>
      <c r="T76" s="1187"/>
      <c r="U76" s="1187"/>
      <c r="V76" s="1187"/>
      <c r="W76" s="1187"/>
      <c r="X76" s="1187"/>
      <c r="Y76" s="1187"/>
      <c r="Z76" s="1187"/>
      <c r="AA76" s="1187"/>
      <c r="AB76" s="1187"/>
      <c r="AC76" s="1187"/>
      <c r="AD76" s="1187"/>
      <c r="AE76" s="1187"/>
    </row>
    <row r="77" spans="1:31" s="1073" customFormat="1" ht="15">
      <c r="A77" s="1327"/>
      <c r="B77" s="1320">
        <f>B12</f>
        <v>111</v>
      </c>
      <c r="C77" s="1328"/>
      <c r="D77" s="1328"/>
      <c r="E77" s="1328"/>
      <c r="F77" s="1328"/>
      <c r="G77" s="1328"/>
      <c r="H77" s="1329"/>
      <c r="I77" s="1329"/>
      <c r="J77" s="1329"/>
      <c r="K77" s="1329"/>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3" customFormat="1" ht="15">
      <c r="A78" s="1327"/>
      <c r="B78" s="1322"/>
      <c r="C78" s="963"/>
      <c r="D78" s="964"/>
      <c r="E78" s="964"/>
      <c r="F78" s="964"/>
      <c r="G78" s="964"/>
      <c r="H78" s="964"/>
      <c r="I78" s="964"/>
      <c r="J78" s="964"/>
      <c r="K78" s="964"/>
      <c r="L78" s="964"/>
      <c r="M78" s="1367"/>
      <c r="N78" s="1368"/>
      <c r="O78" s="1368"/>
      <c r="P78" s="1379"/>
      <c r="Q78" s="1410"/>
      <c r="R78" s="1411"/>
      <c r="S78" s="1411"/>
      <c r="T78" s="1411"/>
      <c r="U78" s="1411"/>
      <c r="V78" s="1411"/>
      <c r="W78" s="1411"/>
      <c r="X78" s="1411"/>
      <c r="Y78" s="1411"/>
      <c r="Z78" s="1411"/>
      <c r="AA78" s="1411"/>
      <c r="AB78" s="1411"/>
      <c r="AC78" s="1411"/>
      <c r="AD78" s="1411"/>
      <c r="AE78" s="1411"/>
    </row>
    <row r="79" spans="1:31" s="1073" customFormat="1" ht="15">
      <c r="A79" s="1327"/>
      <c r="B79" s="1320">
        <f>B13</f>
        <v>111</v>
      </c>
      <c r="C79" s="1328"/>
      <c r="D79" s="1328"/>
      <c r="E79" s="1328"/>
      <c r="F79" s="1328"/>
      <c r="G79" s="1328"/>
      <c r="H79" s="1329"/>
      <c r="I79" s="1329"/>
      <c r="J79" s="1329"/>
      <c r="K79" s="1329"/>
      <c r="L79" s="1376"/>
      <c r="M79" s="1377"/>
      <c r="N79" s="1378"/>
      <c r="O79" s="1378"/>
      <c r="P79" s="1258"/>
      <c r="Q79" s="1412"/>
      <c r="R79" s="1411"/>
      <c r="S79" s="1411"/>
      <c r="T79" s="1411"/>
      <c r="U79" s="1411"/>
      <c r="V79" s="1411"/>
      <c r="W79" s="1411"/>
      <c r="X79" s="1411"/>
      <c r="Y79" s="1411"/>
      <c r="Z79" s="1411"/>
      <c r="AA79" s="1411"/>
      <c r="AB79" s="1411"/>
      <c r="AC79" s="1411"/>
      <c r="AD79" s="1411"/>
      <c r="AE79" s="1411"/>
    </row>
    <row r="80" spans="1:31" s="1073" customFormat="1" ht="15">
      <c r="A80" s="1327"/>
      <c r="B80" s="1322"/>
      <c r="C80" s="963"/>
      <c r="D80" s="963"/>
      <c r="E80" s="963"/>
      <c r="F80" s="963"/>
      <c r="G80" s="963"/>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3" customFormat="1" ht="15">
      <c r="A81" s="1327"/>
      <c r="B81" s="1324">
        <f>B14</f>
        <v>111</v>
      </c>
      <c r="C81" s="1313"/>
      <c r="D81" s="1313"/>
      <c r="E81" s="1313"/>
      <c r="F81" s="1313"/>
      <c r="G81" s="1313"/>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3"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6" t="s">
        <v>1354</v>
      </c>
      <c r="B83" s="1317" t="s">
        <v>1591</v>
      </c>
      <c r="C83" s="1336" t="s">
        <v>1396</v>
      </c>
      <c r="D83" s="1336" t="s">
        <v>1397</v>
      </c>
      <c r="E83" s="1336" t="s">
        <v>1398</v>
      </c>
      <c r="F83" s="1336" t="s">
        <v>1399</v>
      </c>
      <c r="G83" s="1336" t="s">
        <v>1400</v>
      </c>
      <c r="H83" s="1337"/>
      <c r="I83" s="1337"/>
      <c r="J83" s="1337"/>
      <c r="K83" s="1385"/>
      <c r="L83" s="1386"/>
      <c r="M83" s="1387"/>
      <c r="N83" s="1365"/>
      <c r="O83" s="1365"/>
      <c r="P83" s="1388"/>
      <c r="Q83" s="1292"/>
      <c r="R83" s="1187"/>
      <c r="S83" s="1187"/>
      <c r="T83" s="1187"/>
      <c r="U83" s="1187"/>
      <c r="V83" s="1187"/>
      <c r="W83" s="1187"/>
      <c r="X83" s="1187"/>
      <c r="Y83" s="1187"/>
      <c r="Z83" s="1187"/>
      <c r="AA83" s="1187"/>
      <c r="AB83" s="1187"/>
      <c r="AC83" s="1187"/>
      <c r="AD83" s="1187"/>
      <c r="AE83" s="1187"/>
    </row>
    <row r="84" spans="1:31" ht="15">
      <c r="A84" s="1318"/>
      <c r="B84" s="1322"/>
      <c r="C84" s="1323">
        <v>100</v>
      </c>
      <c r="D84" s="1323">
        <f>C84-$K15</f>
        <v>100</v>
      </c>
      <c r="E84" s="1323">
        <f>D84-$K15</f>
        <v>100</v>
      </c>
      <c r="F84" s="1323">
        <f>E84-$K15</f>
        <v>100</v>
      </c>
      <c r="G84" s="1323">
        <f>F84-$K15</f>
        <v>100</v>
      </c>
      <c r="H84" s="1323"/>
      <c r="I84" s="1323"/>
      <c r="J84" s="1323"/>
      <c r="K84" s="1323"/>
      <c r="L84" s="1323"/>
      <c r="M84" s="1372"/>
      <c r="N84" s="1368"/>
      <c r="O84" s="1368"/>
      <c r="P84" s="1366"/>
      <c r="Q84" s="1292"/>
      <c r="R84" s="1187"/>
      <c r="S84" s="1187"/>
      <c r="T84" s="1187"/>
      <c r="U84" s="1187"/>
      <c r="V84" s="1187"/>
      <c r="W84" s="1187"/>
      <c r="X84" s="1187"/>
      <c r="Y84" s="1187"/>
      <c r="Z84" s="1187"/>
      <c r="AA84" s="1187"/>
      <c r="AB84" s="1187"/>
      <c r="AC84" s="1187"/>
      <c r="AD84" s="1187"/>
      <c r="AE84" s="1187"/>
    </row>
    <row r="85" spans="1:31" ht="15">
      <c r="A85" s="1318"/>
      <c r="B85" s="1320" t="s">
        <v>1358</v>
      </c>
      <c r="C85" s="1338" t="s">
        <v>1396</v>
      </c>
      <c r="D85" s="1338" t="s">
        <v>1397</v>
      </c>
      <c r="E85" s="1338" t="s">
        <v>1398</v>
      </c>
      <c r="F85" s="1338" t="s">
        <v>1399</v>
      </c>
      <c r="G85" s="1338" t="s">
        <v>1400</v>
      </c>
      <c r="H85" s="1321"/>
      <c r="I85" s="1321"/>
      <c r="J85" s="1321"/>
      <c r="K85" s="1369"/>
      <c r="L85" s="1370"/>
      <c r="M85" s="1371"/>
      <c r="N85" s="1365"/>
      <c r="O85" s="1365"/>
      <c r="P85" s="1366"/>
      <c r="Q85" s="1292"/>
      <c r="R85" s="1187"/>
      <c r="S85" s="1187"/>
      <c r="T85" s="1187"/>
      <c r="U85" s="1187"/>
      <c r="V85" s="1187"/>
      <c r="W85" s="1187"/>
      <c r="X85" s="1187"/>
      <c r="Y85" s="1187"/>
      <c r="Z85" s="1187"/>
      <c r="AA85" s="1187"/>
      <c r="AB85" s="1187"/>
      <c r="AC85" s="1187"/>
      <c r="AD85" s="1187"/>
      <c r="AE85" s="1187"/>
    </row>
    <row r="86" spans="1:31" ht="15">
      <c r="A86" s="1318"/>
      <c r="B86" s="1322"/>
      <c r="C86" s="1323">
        <v>100</v>
      </c>
      <c r="D86" s="1323">
        <f>C86-$K17</f>
        <v>100</v>
      </c>
      <c r="E86" s="1323">
        <f>D86-$K17</f>
        <v>100</v>
      </c>
      <c r="F86" s="1323">
        <f>E86-$K17</f>
        <v>100</v>
      </c>
      <c r="G86" s="1323">
        <f>F86-$K17</f>
        <v>100</v>
      </c>
      <c r="H86" s="1323"/>
      <c r="I86" s="1323"/>
      <c r="J86" s="1323"/>
      <c r="K86" s="1323"/>
      <c r="L86" s="1323"/>
      <c r="M86" s="1372"/>
      <c r="N86" s="1368"/>
      <c r="O86" s="1368"/>
      <c r="P86" s="1366"/>
      <c r="Q86" s="1292"/>
      <c r="R86" s="1187"/>
      <c r="S86" s="1187"/>
      <c r="T86" s="1187"/>
      <c r="U86" s="1187"/>
      <c r="V86" s="1187"/>
      <c r="W86" s="1187"/>
      <c r="X86" s="1187"/>
      <c r="Y86" s="1187"/>
      <c r="Z86" s="1187"/>
      <c r="AA86" s="1187"/>
      <c r="AB86" s="1187"/>
      <c r="AC86" s="1187"/>
      <c r="AD86" s="1187"/>
      <c r="AE86" s="1187"/>
    </row>
    <row r="87" spans="1:31" s="1071" customFormat="1" ht="15">
      <c r="A87" s="1339"/>
      <c r="B87" s="1320" t="s">
        <v>1615</v>
      </c>
      <c r="C87" s="1336" t="s">
        <v>1396</v>
      </c>
      <c r="D87" s="1336" t="s">
        <v>1397</v>
      </c>
      <c r="E87" s="1336" t="s">
        <v>1398</v>
      </c>
      <c r="F87" s="1336" t="s">
        <v>1399</v>
      </c>
      <c r="G87" s="1336" t="s">
        <v>1400</v>
      </c>
      <c r="H87" s="1338"/>
      <c r="I87" s="1338"/>
      <c r="J87" s="1338"/>
      <c r="K87" s="1338"/>
      <c r="L87" s="1389"/>
      <c r="M87" s="1390"/>
      <c r="N87" s="1359"/>
      <c r="O87" s="1359"/>
      <c r="P87" s="1366"/>
      <c r="Q87" s="1292"/>
      <c r="R87" s="1409"/>
      <c r="S87" s="1409"/>
      <c r="T87" s="1409"/>
      <c r="U87" s="1409"/>
      <c r="V87" s="1409"/>
      <c r="W87" s="1409"/>
      <c r="X87" s="1409"/>
      <c r="Y87" s="1409"/>
      <c r="Z87" s="1409"/>
      <c r="AA87" s="1409"/>
      <c r="AB87" s="1409"/>
      <c r="AC87" s="1409"/>
      <c r="AD87" s="1409"/>
      <c r="AE87" s="1409"/>
    </row>
    <row r="88" spans="1:31" s="1071" customFormat="1" ht="15">
      <c r="A88" s="1339"/>
      <c r="B88" s="1322"/>
      <c r="C88" s="1340">
        <v>100</v>
      </c>
      <c r="D88" s="1323">
        <f>C88-$K19</f>
        <v>100</v>
      </c>
      <c r="E88" s="1323">
        <f>D88-$K19</f>
        <v>100</v>
      </c>
      <c r="F88" s="1323">
        <f>E88-$K19</f>
        <v>100</v>
      </c>
      <c r="G88" s="1323">
        <f>F88-$K19</f>
        <v>100</v>
      </c>
      <c r="H88" s="1323"/>
      <c r="I88" s="1323"/>
      <c r="J88" s="1323"/>
      <c r="K88" s="1323"/>
      <c r="L88" s="1323"/>
      <c r="M88" s="1372"/>
      <c r="N88" s="1368"/>
      <c r="O88" s="1368"/>
      <c r="P88" s="1366"/>
      <c r="Q88" s="1292"/>
      <c r="R88" s="1409"/>
      <c r="S88" s="1409"/>
      <c r="T88" s="1409"/>
      <c r="U88" s="1409"/>
      <c r="V88" s="1409"/>
      <c r="W88" s="1409"/>
      <c r="X88" s="1409"/>
      <c r="Y88" s="1409"/>
      <c r="Z88" s="1409"/>
      <c r="AA88" s="1409"/>
      <c r="AB88" s="1409"/>
      <c r="AC88" s="1409"/>
      <c r="AD88" s="1409"/>
      <c r="AE88" s="1409"/>
    </row>
    <row r="89" spans="1:31" s="1071" customFormat="1" ht="27">
      <c r="A89" s="1339"/>
      <c r="B89" s="1320" t="s">
        <v>1616</v>
      </c>
      <c r="C89" s="1336" t="s">
        <v>1396</v>
      </c>
      <c r="D89" s="1336" t="s">
        <v>1397</v>
      </c>
      <c r="E89" s="1336" t="s">
        <v>1398</v>
      </c>
      <c r="F89" s="1336" t="s">
        <v>1399</v>
      </c>
      <c r="G89" s="1336" t="s">
        <v>1400</v>
      </c>
      <c r="H89" s="1338"/>
      <c r="I89" s="1338"/>
      <c r="J89" s="1338"/>
      <c r="K89" s="1338"/>
      <c r="L89" s="1338"/>
      <c r="M89" s="1390"/>
      <c r="N89" s="1359"/>
      <c r="O89" s="1359"/>
      <c r="P89" s="1366"/>
      <c r="Q89" s="1292"/>
      <c r="R89" s="1409"/>
      <c r="S89" s="1409"/>
      <c r="T89" s="1409"/>
      <c r="U89" s="1409"/>
      <c r="V89" s="1409"/>
      <c r="W89" s="1409"/>
      <c r="X89" s="1409"/>
      <c r="Y89" s="1409"/>
      <c r="Z89" s="1409"/>
      <c r="AA89" s="1409"/>
      <c r="AB89" s="1409"/>
      <c r="AC89" s="1409"/>
      <c r="AD89" s="1409"/>
      <c r="AE89" s="1409"/>
    </row>
    <row r="90" spans="1:31" s="1071" customFormat="1" ht="15">
      <c r="A90" s="1339"/>
      <c r="B90" s="1322"/>
      <c r="C90" s="1323">
        <v>100</v>
      </c>
      <c r="D90" s="1323">
        <f>C90-$K21</f>
        <v>100</v>
      </c>
      <c r="E90" s="1323">
        <f>D90-$K21</f>
        <v>100</v>
      </c>
      <c r="F90" s="1323">
        <f>E90-$K21</f>
        <v>100</v>
      </c>
      <c r="G90" s="1323">
        <f>F90-$K21</f>
        <v>100</v>
      </c>
      <c r="H90" s="1323"/>
      <c r="I90" s="1323"/>
      <c r="J90" s="1323"/>
      <c r="K90" s="1323"/>
      <c r="L90" s="1323"/>
      <c r="M90" s="1372"/>
      <c r="N90" s="1368"/>
      <c r="O90" s="1368"/>
      <c r="P90" s="1366"/>
      <c r="Q90" s="1292"/>
      <c r="R90" s="1409"/>
      <c r="S90" s="1409"/>
      <c r="T90" s="1409"/>
      <c r="U90" s="1409"/>
      <c r="V90" s="1409"/>
      <c r="W90" s="1409"/>
      <c r="X90" s="1409"/>
      <c r="Y90" s="1409"/>
      <c r="Z90" s="1409"/>
      <c r="AA90" s="1409"/>
      <c r="AB90" s="1409"/>
      <c r="AC90" s="1409"/>
      <c r="AD90" s="1409"/>
      <c r="AE90" s="1409"/>
    </row>
    <row r="91" spans="1:31" s="1073" customFormat="1" ht="15">
      <c r="A91" s="1327"/>
      <c r="B91" s="1320" t="s">
        <v>1359</v>
      </c>
      <c r="C91" s="1336" t="s">
        <v>1396</v>
      </c>
      <c r="D91" s="1336" t="s">
        <v>1397</v>
      </c>
      <c r="E91" s="1336" t="s">
        <v>1398</v>
      </c>
      <c r="F91" s="1336" t="s">
        <v>1399</v>
      </c>
      <c r="G91" s="1336" t="s">
        <v>1400</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3" customFormat="1" ht="15">
      <c r="A92" s="1327"/>
      <c r="B92" s="1322"/>
      <c r="C92" s="1323">
        <v>100</v>
      </c>
      <c r="D92" s="1323">
        <f>C92-$K23</f>
        <v>100</v>
      </c>
      <c r="E92" s="1323">
        <f>D92-$K23</f>
        <v>100</v>
      </c>
      <c r="F92" s="1323">
        <f>E92-$K23</f>
        <v>100</v>
      </c>
      <c r="G92" s="1323">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3" customFormat="1" ht="15">
      <c r="A93" s="1327"/>
      <c r="B93" s="1324" t="s">
        <v>1360</v>
      </c>
      <c r="C93" s="1343" t="s">
        <v>1401</v>
      </c>
      <c r="D93" s="1343" t="s">
        <v>1402</v>
      </c>
      <c r="E93" s="1343" t="s">
        <v>1403</v>
      </c>
      <c r="F93" s="1343" t="s">
        <v>1404</v>
      </c>
      <c r="G93" s="1343" t="s">
        <v>1405</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3" customFormat="1" ht="15">
      <c r="A94" s="1327"/>
      <c r="B94" s="1324"/>
      <c r="C94" s="1323">
        <v>100</v>
      </c>
      <c r="D94" s="1323">
        <f>C94-$K25</f>
        <v>100</v>
      </c>
      <c r="E94" s="1323">
        <f>D94-$K25</f>
        <v>100</v>
      </c>
      <c r="F94" s="1323">
        <f>E94-$K25</f>
        <v>100</v>
      </c>
      <c r="G94" s="1323">
        <f>F94-$K25</f>
        <v>100</v>
      </c>
      <c r="H94" s="1326"/>
      <c r="I94" s="1326"/>
      <c r="J94" s="1326"/>
      <c r="K94" s="1326"/>
      <c r="L94" s="1326"/>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8"/>
      <c r="B95" s="1320" t="str">
        <f>B27</f>
        <v>临街状况</v>
      </c>
      <c r="C95" s="1321" t="s">
        <v>1651</v>
      </c>
      <c r="D95" s="1321" t="s">
        <v>1652</v>
      </c>
      <c r="E95" s="1321" t="s">
        <v>1653</v>
      </c>
      <c r="F95" s="1321" t="s">
        <v>1654</v>
      </c>
      <c r="G95" s="1321"/>
      <c r="H95" s="1321"/>
      <c r="I95" s="1321"/>
      <c r="J95" s="1321"/>
      <c r="K95" s="1369"/>
      <c r="L95" s="1370"/>
      <c r="M95" s="1371"/>
      <c r="N95" s="1365"/>
      <c r="O95" s="1365"/>
      <c r="P95" s="1366"/>
      <c r="Q95" s="1292"/>
      <c r="R95" s="1187"/>
      <c r="S95" s="1187"/>
      <c r="T95" s="1187"/>
      <c r="U95" s="1187"/>
      <c r="V95" s="1187"/>
      <c r="W95" s="1187"/>
      <c r="X95" s="1187"/>
      <c r="Y95" s="1187"/>
      <c r="Z95" s="1187"/>
      <c r="AA95" s="1187"/>
      <c r="AB95" s="1187"/>
      <c r="AC95" s="1187"/>
      <c r="AD95" s="1187"/>
      <c r="AE95" s="1187"/>
    </row>
    <row r="96" spans="1:31" ht="15">
      <c r="A96" s="1318"/>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8"/>
      <c r="O96" s="1368"/>
      <c r="P96" s="1366"/>
      <c r="Q96" s="1292"/>
      <c r="R96" s="1187"/>
      <c r="S96" s="1187"/>
      <c r="T96" s="1187"/>
      <c r="U96" s="1187"/>
      <c r="V96" s="1187"/>
      <c r="W96" s="1187"/>
      <c r="X96" s="1187"/>
      <c r="Y96" s="1187"/>
      <c r="Z96" s="1187"/>
      <c r="AA96" s="1187"/>
      <c r="AB96" s="1187"/>
      <c r="AC96" s="1187"/>
      <c r="AD96" s="1187"/>
      <c r="AE96" s="1187"/>
    </row>
    <row r="97" spans="1:31" ht="27">
      <c r="A97" s="1318"/>
      <c r="B97" s="1320" t="s">
        <v>1362</v>
      </c>
      <c r="C97" s="1328"/>
      <c r="D97" s="1328"/>
      <c r="E97" s="1328"/>
      <c r="F97" s="1328"/>
      <c r="G97" s="1328"/>
      <c r="H97" s="1344"/>
      <c r="I97" s="1344"/>
      <c r="J97" s="1344"/>
      <c r="K97" s="1395"/>
      <c r="L97" s="1396"/>
      <c r="M97" s="1397"/>
      <c r="N97" s="1365"/>
      <c r="O97" s="1365"/>
      <c r="P97" s="1366"/>
      <c r="Q97" s="1292"/>
      <c r="R97" s="1187"/>
      <c r="S97" s="1187"/>
      <c r="T97" s="1187"/>
      <c r="U97" s="1187"/>
      <c r="V97" s="1187"/>
      <c r="W97" s="1187"/>
      <c r="X97" s="1187"/>
      <c r="Y97" s="1187"/>
      <c r="Z97" s="1187"/>
      <c r="AA97" s="1187"/>
      <c r="AB97" s="1187"/>
      <c r="AC97" s="1187"/>
      <c r="AD97" s="1187"/>
      <c r="AE97" s="1187"/>
    </row>
    <row r="98" spans="1:31" ht="15">
      <c r="A98" s="1318"/>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8"/>
      <c r="O98" s="1368"/>
      <c r="P98" s="1366"/>
      <c r="Q98" s="1292"/>
      <c r="R98" s="1187"/>
      <c r="S98" s="1187"/>
      <c r="T98" s="1187"/>
      <c r="U98" s="1187"/>
      <c r="V98" s="1187"/>
      <c r="W98" s="1187"/>
      <c r="X98" s="1187"/>
      <c r="Y98" s="1187"/>
      <c r="Z98" s="1187"/>
      <c r="AA98" s="1187"/>
      <c r="AB98" s="1187"/>
      <c r="AC98" s="1187"/>
      <c r="AD98" s="1187"/>
      <c r="AE98" s="1187"/>
    </row>
    <row r="99" spans="1:31" ht="15">
      <c r="A99" s="1318"/>
      <c r="B99" s="1320" t="s">
        <v>1617</v>
      </c>
      <c r="C99" s="1344"/>
      <c r="D99" s="1344"/>
      <c r="E99" s="1344"/>
      <c r="F99" s="1344"/>
      <c r="G99" s="1344"/>
      <c r="H99" s="1344"/>
      <c r="I99" s="1344"/>
      <c r="J99" s="1344"/>
      <c r="K99" s="1395"/>
      <c r="L99" s="1396"/>
      <c r="M99" s="1397"/>
      <c r="N99" s="1365"/>
      <c r="O99" s="1365"/>
      <c r="P99" s="1366"/>
      <c r="Q99" s="1292"/>
      <c r="R99" s="1187"/>
      <c r="S99" s="1187"/>
      <c r="T99" s="1187"/>
      <c r="U99" s="1187"/>
      <c r="V99" s="1187"/>
      <c r="W99" s="1187"/>
      <c r="X99" s="1187"/>
      <c r="Y99" s="1187"/>
      <c r="Z99" s="1187"/>
      <c r="AA99" s="1187"/>
      <c r="AB99" s="1187"/>
      <c r="AC99" s="1187"/>
      <c r="AD99" s="1187"/>
      <c r="AE99" s="1187"/>
    </row>
    <row r="100" spans="1:31" ht="15">
      <c r="A100" s="1318"/>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8"/>
      <c r="O100" s="1368"/>
      <c r="P100" s="1366"/>
      <c r="Q100" s="1292"/>
      <c r="R100" s="1187"/>
      <c r="S100" s="1187"/>
      <c r="T100" s="1187"/>
      <c r="U100" s="1187"/>
      <c r="V100" s="1187"/>
      <c r="W100" s="1187"/>
      <c r="X100" s="1187"/>
      <c r="Y100" s="1187"/>
      <c r="Z100" s="1187"/>
      <c r="AA100" s="1187"/>
      <c r="AB100" s="1187"/>
      <c r="AC100" s="1187"/>
      <c r="AD100" s="1187"/>
      <c r="AE100" s="1187"/>
    </row>
    <row r="101" spans="1:31" ht="15">
      <c r="A101" s="1318"/>
      <c r="B101" s="1324">
        <f>B31</f>
        <v>111</v>
      </c>
      <c r="C101" s="1328"/>
      <c r="D101" s="1328"/>
      <c r="E101" s="1328"/>
      <c r="F101" s="1328"/>
      <c r="G101" s="1345"/>
      <c r="H101" s="1345"/>
      <c r="I101" s="1345"/>
      <c r="J101" s="1345"/>
      <c r="K101" s="1398"/>
      <c r="L101" s="1399"/>
      <c r="M101" s="1400"/>
      <c r="N101" s="1365"/>
      <c r="O101" s="1365"/>
      <c r="P101" s="1366"/>
      <c r="Q101" s="1292"/>
      <c r="R101" s="1187"/>
      <c r="S101" s="1187"/>
      <c r="T101" s="1187"/>
      <c r="U101" s="1187"/>
      <c r="V101" s="1187"/>
      <c r="W101" s="1187"/>
      <c r="X101" s="1187"/>
      <c r="Y101" s="1187"/>
      <c r="Z101" s="1187"/>
      <c r="AA101" s="1187"/>
      <c r="AB101" s="1187"/>
      <c r="AC101" s="1187"/>
      <c r="AD101" s="1187"/>
      <c r="AE101" s="1187"/>
    </row>
    <row r="102" spans="1:31" ht="15">
      <c r="A102" s="1318"/>
      <c r="B102" s="1333"/>
      <c r="C102" s="963"/>
      <c r="D102" s="964"/>
      <c r="E102" s="964"/>
      <c r="F102" s="964"/>
      <c r="G102" s="1346"/>
      <c r="H102" s="1346"/>
      <c r="I102" s="1346"/>
      <c r="J102" s="1346"/>
      <c r="K102" s="1346"/>
      <c r="L102" s="1346"/>
      <c r="M102" s="1401"/>
      <c r="N102" s="1368"/>
      <c r="O102" s="1368"/>
      <c r="P102" s="1366"/>
      <c r="Q102" s="1292"/>
      <c r="R102" s="1187"/>
      <c r="S102" s="1187"/>
      <c r="T102" s="1187"/>
      <c r="U102" s="1187"/>
      <c r="V102" s="1187"/>
      <c r="W102" s="1187"/>
      <c r="X102" s="1187"/>
      <c r="Y102" s="1187"/>
      <c r="Z102" s="1187"/>
      <c r="AA102" s="1187"/>
      <c r="AB102" s="1187"/>
      <c r="AC102" s="1187"/>
      <c r="AD102" s="1187"/>
      <c r="AE102" s="1187"/>
    </row>
    <row r="103" spans="1:31">
      <c r="A103" s="1153"/>
      <c r="B103" s="1320">
        <f>B32</f>
        <v>111</v>
      </c>
      <c r="C103" s="1328"/>
      <c r="D103" s="1328"/>
      <c r="E103" s="1328"/>
      <c r="F103" s="1328"/>
      <c r="G103" s="1344"/>
      <c r="H103" s="1344"/>
      <c r="I103" s="1344"/>
      <c r="J103" s="1344"/>
      <c r="K103" s="1395"/>
      <c r="L103" s="1396"/>
      <c r="M103" s="1397"/>
      <c r="N103" s="1365"/>
      <c r="O103" s="1365"/>
      <c r="P103" s="1366"/>
      <c r="Q103" s="1292"/>
      <c r="R103" s="1187"/>
      <c r="S103" s="1187"/>
      <c r="T103" s="1187"/>
      <c r="U103" s="1187"/>
      <c r="V103" s="1187"/>
      <c r="W103" s="1187"/>
      <c r="X103" s="1187"/>
      <c r="Y103" s="1187"/>
      <c r="Z103" s="1187"/>
      <c r="AA103" s="1187"/>
      <c r="AB103" s="1187"/>
      <c r="AC103" s="1187"/>
      <c r="AD103" s="1187"/>
      <c r="AE103" s="1187"/>
    </row>
    <row r="104" spans="1:31" ht="15">
      <c r="A104" s="1318"/>
      <c r="B104" s="1322"/>
      <c r="C104" s="963"/>
      <c r="D104" s="963"/>
      <c r="E104" s="963"/>
      <c r="F104" s="963"/>
      <c r="G104" s="964"/>
      <c r="H104" s="964"/>
      <c r="I104" s="964"/>
      <c r="J104" s="964"/>
      <c r="K104" s="964"/>
      <c r="L104" s="964"/>
      <c r="M104" s="1367"/>
      <c r="N104" s="1368"/>
      <c r="O104" s="1368"/>
      <c r="P104" s="1366"/>
      <c r="Q104" s="1292"/>
      <c r="R104" s="1187"/>
      <c r="S104" s="1187"/>
      <c r="T104" s="1187"/>
      <c r="U104" s="1187"/>
      <c r="V104" s="1187"/>
      <c r="W104" s="1187"/>
      <c r="X104" s="1187"/>
      <c r="Y104" s="1187"/>
      <c r="Z104" s="1187"/>
      <c r="AA104" s="1187"/>
      <c r="AB104" s="1187"/>
      <c r="AC104" s="1187"/>
      <c r="AD104" s="1187"/>
      <c r="AE104" s="1187"/>
    </row>
    <row r="105" spans="1:31" s="1073" customFormat="1">
      <c r="A105" s="1347"/>
      <c r="B105" s="1348">
        <f>B33</f>
        <v>111</v>
      </c>
      <c r="C105" s="1313"/>
      <c r="D105" s="1313"/>
      <c r="E105" s="1313"/>
      <c r="F105" s="1313"/>
      <c r="G105" s="959"/>
      <c r="H105" s="959"/>
      <c r="I105" s="959"/>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3" customFormat="1" ht="15">
      <c r="A106" s="1327"/>
      <c r="B106" s="1324"/>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6" t="s">
        <v>1367</v>
      </c>
      <c r="B107" s="1317" t="s">
        <v>1618</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92"/>
      <c r="R107" s="1187"/>
      <c r="S107" s="1187"/>
      <c r="T107" s="1187"/>
      <c r="U107" s="1187"/>
      <c r="V107" s="1187"/>
      <c r="W107" s="1187"/>
      <c r="X107" s="1187"/>
      <c r="Y107" s="1187"/>
      <c r="Z107" s="1187"/>
      <c r="AA107" s="1187"/>
      <c r="AB107" s="1187"/>
      <c r="AC107" s="1187"/>
      <c r="AD107" s="1187"/>
      <c r="AE107" s="1187"/>
    </row>
    <row r="108" spans="1:31" ht="15">
      <c r="A108" s="1318"/>
      <c r="B108" s="1324"/>
      <c r="C108" s="959"/>
      <c r="D108" s="959"/>
      <c r="E108" s="959"/>
      <c r="F108" s="959"/>
      <c r="G108" s="959"/>
      <c r="H108" s="959"/>
      <c r="I108" s="959"/>
      <c r="J108" s="1402"/>
      <c r="K108" s="1402"/>
      <c r="L108" s="1403"/>
      <c r="M108" s="1404"/>
      <c r="N108" s="1365"/>
      <c r="O108" s="1365"/>
      <c r="P108" s="1366"/>
      <c r="Q108" s="1292"/>
      <c r="R108" s="1187"/>
      <c r="S108" s="1187"/>
      <c r="T108" s="1187"/>
      <c r="U108" s="1187"/>
      <c r="V108" s="1187"/>
      <c r="W108" s="1187"/>
      <c r="X108" s="1187"/>
      <c r="Y108" s="1187"/>
      <c r="Z108" s="1187"/>
      <c r="AA108" s="1187"/>
      <c r="AB108" s="1187"/>
      <c r="AC108" s="1187"/>
      <c r="AD108" s="1187"/>
      <c r="AE108" s="1187"/>
    </row>
    <row r="109" spans="1:31" ht="15">
      <c r="A109" s="1318"/>
      <c r="B109" s="1322"/>
      <c r="C109" s="1334"/>
      <c r="D109" s="1346"/>
      <c r="E109" s="1346"/>
      <c r="F109" s="1346"/>
      <c r="G109" s="1346"/>
      <c r="H109" s="1346"/>
      <c r="I109" s="1346"/>
      <c r="J109" s="1346"/>
      <c r="K109" s="1346"/>
      <c r="L109" s="1346"/>
      <c r="M109" s="1401"/>
      <c r="N109" s="1368"/>
      <c r="O109" s="1368"/>
      <c r="P109" s="1366"/>
      <c r="Q109" s="1292"/>
      <c r="R109" s="1187"/>
      <c r="S109" s="1187"/>
      <c r="T109" s="1187"/>
      <c r="U109" s="1187"/>
      <c r="V109" s="1187"/>
      <c r="W109" s="1187"/>
      <c r="X109" s="1187"/>
      <c r="Y109" s="1187"/>
      <c r="Z109" s="1187"/>
      <c r="AA109" s="1187"/>
      <c r="AB109" s="1187"/>
      <c r="AC109" s="1187"/>
      <c r="AD109" s="1187"/>
      <c r="AE109" s="1187"/>
    </row>
    <row r="110" spans="1:31">
      <c r="A110" s="1350"/>
      <c r="B110" s="1320" t="s">
        <v>1619</v>
      </c>
      <c r="C110" s="1344"/>
      <c r="D110" s="1344"/>
      <c r="E110" s="1344"/>
      <c r="F110" s="1344"/>
      <c r="G110" s="1344"/>
      <c r="H110" s="1344"/>
      <c r="I110" s="1344"/>
      <c r="J110" s="1344"/>
      <c r="K110" s="1395"/>
      <c r="L110" s="1396"/>
      <c r="M110" s="1397"/>
      <c r="N110" s="1365"/>
      <c r="O110" s="1365"/>
      <c r="P110" s="1366"/>
      <c r="Q110" s="1292"/>
      <c r="R110" s="1187"/>
      <c r="S110" s="1187"/>
      <c r="T110" s="1187"/>
      <c r="U110" s="1187"/>
      <c r="V110" s="1187"/>
      <c r="W110" s="1187"/>
      <c r="X110" s="1187"/>
      <c r="Y110" s="1187"/>
      <c r="Z110" s="1187"/>
      <c r="AA110" s="1187"/>
      <c r="AB110" s="1187"/>
      <c r="AC110" s="1187"/>
      <c r="AD110" s="1187"/>
      <c r="AE110" s="1187"/>
    </row>
    <row r="111" spans="1:31" ht="15">
      <c r="A111" s="1318"/>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2">
        <f t="shared" si="26"/>
        <v>100</v>
      </c>
      <c r="N111" s="1368"/>
      <c r="O111" s="1368"/>
      <c r="P111" s="1366"/>
      <c r="Q111" s="1292"/>
      <c r="R111" s="1187"/>
      <c r="S111" s="1187"/>
      <c r="T111" s="1187"/>
      <c r="U111" s="1187"/>
      <c r="V111" s="1187"/>
      <c r="W111" s="1187"/>
      <c r="X111" s="1187"/>
      <c r="Y111" s="1187"/>
      <c r="Z111" s="1187"/>
      <c r="AA111" s="1187"/>
      <c r="AB111" s="1187"/>
      <c r="AC111" s="1187"/>
      <c r="AD111" s="1187"/>
      <c r="AE111" s="1187"/>
    </row>
    <row r="112" spans="1:31" s="1073" customFormat="1">
      <c r="A112" s="1347"/>
      <c r="B112" s="1320" t="s">
        <v>1621</v>
      </c>
      <c r="C112" s="1328"/>
      <c r="D112" s="1328"/>
      <c r="E112" s="1328"/>
      <c r="F112" s="1328"/>
      <c r="G112" s="1328"/>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3"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20" t="s">
        <v>1622</v>
      </c>
      <c r="C114" s="1328"/>
      <c r="D114" s="1328"/>
      <c r="E114" s="1344"/>
      <c r="F114" s="1344"/>
      <c r="G114" s="1344"/>
      <c r="H114" s="1344"/>
      <c r="I114" s="1344"/>
      <c r="J114" s="1344"/>
      <c r="K114" s="1395"/>
      <c r="L114" s="1396"/>
      <c r="M114" s="1397"/>
      <c r="N114" s="1365"/>
      <c r="O114" s="1365"/>
      <c r="P114" s="1366"/>
      <c r="Q114" s="1292"/>
      <c r="R114" s="1187"/>
      <c r="S114" s="1187"/>
      <c r="T114" s="1187"/>
      <c r="U114" s="1187"/>
      <c r="V114" s="1187"/>
      <c r="W114" s="1187"/>
      <c r="X114" s="1187"/>
      <c r="Y114" s="1187"/>
      <c r="Z114" s="1187"/>
      <c r="AA114" s="1187"/>
      <c r="AB114" s="1187"/>
      <c r="AC114" s="1187"/>
      <c r="AD114" s="1187"/>
      <c r="AE114" s="1187"/>
    </row>
    <row r="115" spans="1:31" ht="15">
      <c r="A115" s="1318"/>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366"/>
      <c r="Q115" s="1292"/>
      <c r="R115" s="1187"/>
      <c r="S115" s="1187"/>
      <c r="T115" s="1187"/>
      <c r="U115" s="1187"/>
      <c r="V115" s="1187"/>
      <c r="W115" s="1187"/>
      <c r="X115" s="1187"/>
      <c r="Y115" s="1187"/>
      <c r="Z115" s="1187"/>
      <c r="AA115" s="1187"/>
      <c r="AB115" s="1187"/>
      <c r="AC115" s="1187"/>
      <c r="AD115" s="1187"/>
      <c r="AE115" s="1187"/>
    </row>
    <row r="116" spans="1:31">
      <c r="A116" s="1350"/>
      <c r="B116" s="1320">
        <f>B38</f>
        <v>111</v>
      </c>
      <c r="C116" s="1328"/>
      <c r="D116" s="1328"/>
      <c r="E116" s="1328"/>
      <c r="F116" s="1328"/>
      <c r="G116" s="1328"/>
      <c r="H116" s="1344"/>
      <c r="I116" s="1344"/>
      <c r="J116" s="1344"/>
      <c r="K116" s="1395"/>
      <c r="L116" s="1396"/>
      <c r="M116" s="1397"/>
      <c r="N116" s="1365"/>
      <c r="O116" s="1365"/>
      <c r="P116" s="1366"/>
      <c r="Q116" s="1292"/>
      <c r="R116" s="1187"/>
      <c r="S116" s="1187"/>
      <c r="T116" s="1187"/>
      <c r="U116" s="1187"/>
      <c r="V116" s="1187"/>
      <c r="W116" s="1187"/>
      <c r="X116" s="1187"/>
      <c r="Y116" s="1187"/>
      <c r="Z116" s="1187"/>
      <c r="AA116" s="1187"/>
      <c r="AB116" s="1187"/>
      <c r="AC116" s="1187"/>
      <c r="AD116" s="1187"/>
      <c r="AE116" s="1187"/>
    </row>
    <row r="117" spans="1:31" ht="15">
      <c r="A117" s="1318"/>
      <c r="B117" s="1322"/>
      <c r="C117" s="963"/>
      <c r="D117" s="964"/>
      <c r="E117" s="964"/>
      <c r="F117" s="964"/>
      <c r="G117" s="964"/>
      <c r="H117" s="964"/>
      <c r="I117" s="964"/>
      <c r="J117" s="964"/>
      <c r="K117" s="964"/>
      <c r="L117" s="964"/>
      <c r="M117" s="1367"/>
      <c r="N117" s="1368"/>
      <c r="O117" s="1368"/>
      <c r="P117" s="1366"/>
      <c r="Q117" s="1292"/>
      <c r="R117" s="1187"/>
      <c r="S117" s="1187"/>
      <c r="T117" s="1187"/>
      <c r="U117" s="1187"/>
      <c r="V117" s="1187"/>
      <c r="W117" s="1187"/>
      <c r="X117" s="1187"/>
      <c r="Y117" s="1187"/>
      <c r="Z117" s="1187"/>
      <c r="AA117" s="1187"/>
      <c r="AB117" s="1187"/>
      <c r="AC117" s="1187"/>
      <c r="AD117" s="1187"/>
      <c r="AE117" s="1187"/>
    </row>
    <row r="118" spans="1:31">
      <c r="A118" s="1350"/>
      <c r="B118" s="1320">
        <f>B39</f>
        <v>111</v>
      </c>
      <c r="C118" s="1328"/>
      <c r="D118" s="1328"/>
      <c r="E118" s="1328"/>
      <c r="F118" s="1328"/>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c r="AD118" s="1187"/>
      <c r="AE118" s="1187"/>
    </row>
    <row r="119" spans="1:31" ht="15">
      <c r="A119" s="1318"/>
      <c r="B119" s="1322"/>
      <c r="C119" s="963"/>
      <c r="D119" s="963"/>
      <c r="E119" s="963"/>
      <c r="F119" s="963"/>
      <c r="G119" s="964"/>
      <c r="H119" s="964"/>
      <c r="I119" s="964"/>
      <c r="J119" s="964"/>
      <c r="K119" s="964"/>
      <c r="L119" s="964"/>
      <c r="M119" s="1367"/>
      <c r="N119" s="1368"/>
      <c r="O119" s="1368"/>
      <c r="P119" s="1366"/>
      <c r="Q119" s="1292"/>
      <c r="R119" s="1187"/>
      <c r="S119" s="1187"/>
      <c r="T119" s="1187"/>
      <c r="U119" s="1187"/>
      <c r="V119" s="1187"/>
      <c r="W119" s="1187"/>
      <c r="X119" s="1187"/>
      <c r="Y119" s="1187"/>
      <c r="Z119" s="1187"/>
      <c r="AA119" s="1187"/>
      <c r="AB119" s="1187"/>
      <c r="AC119" s="1187"/>
      <c r="AD119" s="1187"/>
      <c r="AE119" s="1187"/>
    </row>
    <row r="120" spans="1:31" s="1073" customFormat="1">
      <c r="A120" s="1347"/>
      <c r="B120" s="1320">
        <f>B40</f>
        <v>111</v>
      </c>
      <c r="C120" s="1313"/>
      <c r="D120" s="1313"/>
      <c r="E120" s="1313"/>
      <c r="F120" s="1313"/>
      <c r="G120" s="1329"/>
      <c r="H120" s="1329"/>
      <c r="I120" s="1329"/>
      <c r="J120" s="1329"/>
      <c r="K120" s="1329"/>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3"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20" width="12.875" style="950"/>
    <col min="21" max="45" width="9" style="950"/>
    <col min="46" max="16384" width="9" style="947"/>
  </cols>
  <sheetData>
    <row r="1" spans="1:45" ht="14.25" customHeight="1">
      <c r="A1" s="951"/>
      <c r="B1" s="952" t="s">
        <v>1660</v>
      </c>
      <c r="C1" s="3719" t="s">
        <v>1661</v>
      </c>
      <c r="D1" s="3720"/>
      <c r="E1" s="3720"/>
      <c r="F1" s="3720"/>
      <c r="G1" s="3720"/>
      <c r="H1" s="3720"/>
      <c r="I1" s="3720"/>
      <c r="J1" s="3720"/>
      <c r="K1" s="3720"/>
      <c r="L1" s="3720"/>
      <c r="M1" s="3720"/>
      <c r="N1" s="3720"/>
      <c r="O1" s="3720"/>
      <c r="P1" s="3720"/>
      <c r="Q1" s="3720"/>
      <c r="R1" s="3720"/>
      <c r="S1" s="3721"/>
      <c r="T1" s="952" t="s">
        <v>1662</v>
      </c>
    </row>
    <row r="2" spans="1:45" s="942" customFormat="1" ht="38.25">
      <c r="A2" s="953"/>
      <c r="B2" s="954" t="s">
        <v>455</v>
      </c>
      <c r="C2" s="955" t="str">
        <f t="shared" ref="C2:L2" si="0">C3&amp;"(含)"&amp;"-"&amp;D3</f>
        <v>0(含)-300</v>
      </c>
      <c r="D2" s="956" t="str">
        <f t="shared" si="0"/>
        <v>300(含)-500</v>
      </c>
      <c r="E2" s="956" t="str">
        <f t="shared" si="0"/>
        <v>500(含)-800</v>
      </c>
      <c r="F2" s="956" t="str">
        <f t="shared" si="0"/>
        <v>800(含)-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3" customFormat="1" ht="14.25">
      <c r="A3" s="957"/>
      <c r="B3" s="958"/>
      <c r="C3" s="959">
        <v>0</v>
      </c>
      <c r="D3" s="959">
        <v>300</v>
      </c>
      <c r="E3" s="959">
        <v>500</v>
      </c>
      <c r="F3" s="959">
        <v>800</v>
      </c>
      <c r="G3" s="960"/>
      <c r="H3" s="960"/>
      <c r="I3" s="960"/>
      <c r="J3" s="960"/>
      <c r="K3" s="960"/>
      <c r="L3" s="889"/>
      <c r="M3" s="1015"/>
      <c r="N3" s="1015"/>
      <c r="O3" s="960"/>
      <c r="P3" s="960"/>
      <c r="Q3" s="960"/>
      <c r="R3" s="960"/>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3" customFormat="1" ht="14.25">
      <c r="A4" s="961"/>
      <c r="B4" s="962"/>
      <c r="C4" s="963">
        <v>98</v>
      </c>
      <c r="D4" s="964">
        <v>100</v>
      </c>
      <c r="E4" s="964">
        <v>98</v>
      </c>
      <c r="F4" s="964"/>
      <c r="G4" s="965"/>
      <c r="H4" s="965"/>
      <c r="I4" s="965"/>
      <c r="J4" s="965"/>
      <c r="K4" s="965"/>
      <c r="L4" s="965"/>
      <c r="M4" s="1016"/>
      <c r="N4" s="1016"/>
      <c r="O4" s="965"/>
      <c r="P4" s="965"/>
      <c r="Q4" s="965"/>
      <c r="R4" s="965"/>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4" customFormat="1">
      <c r="A5" s="966"/>
      <c r="B5" s="967" t="s">
        <v>1663</v>
      </c>
      <c r="C5" s="968"/>
      <c r="D5" s="969"/>
      <c r="E5" s="969"/>
      <c r="F5" s="970"/>
      <c r="G5" s="970"/>
      <c r="H5" s="970"/>
      <c r="I5" s="970"/>
      <c r="J5" s="970"/>
      <c r="K5" s="970"/>
      <c r="L5" s="1017"/>
      <c r="M5" s="1018"/>
      <c r="N5" s="1018"/>
      <c r="O5" s="970"/>
      <c r="P5" s="970"/>
      <c r="Q5" s="970"/>
      <c r="R5" s="970"/>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4"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4" customFormat="1">
      <c r="A7" s="966"/>
      <c r="B7" s="975" t="s">
        <v>1664</v>
      </c>
      <c r="C7" s="976"/>
      <c r="D7" s="977"/>
      <c r="E7" s="977"/>
      <c r="F7" s="978"/>
      <c r="G7" s="978"/>
      <c r="H7" s="978"/>
      <c r="I7" s="978"/>
      <c r="J7" s="978"/>
      <c r="K7" s="978"/>
      <c r="L7" s="978"/>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4"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4" customFormat="1">
      <c r="A9" s="966"/>
      <c r="B9" s="975" t="s">
        <v>1665</v>
      </c>
      <c r="C9" s="976"/>
      <c r="D9" s="977"/>
      <c r="E9" s="977"/>
      <c r="F9" s="978"/>
      <c r="G9" s="978"/>
      <c r="H9" s="978"/>
      <c r="I9" s="978"/>
      <c r="J9" s="978"/>
      <c r="K9" s="978"/>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4"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4" customFormat="1">
      <c r="A11" s="966"/>
      <c r="B11" s="967" t="s">
        <v>1666</v>
      </c>
      <c r="C11" s="968"/>
      <c r="D11" s="969"/>
      <c r="E11" s="969"/>
      <c r="F11" s="969"/>
      <c r="G11" s="969"/>
      <c r="H11" s="969"/>
      <c r="I11" s="969"/>
      <c r="J11" s="969"/>
      <c r="K11" s="969"/>
      <c r="L11" s="969"/>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4"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4" customFormat="1">
      <c r="A13" s="966"/>
      <c r="B13" s="967" t="s">
        <v>1667</v>
      </c>
      <c r="C13" s="968"/>
      <c r="D13" s="969"/>
      <c r="E13" s="969"/>
      <c r="F13" s="969"/>
      <c r="G13" s="969"/>
      <c r="H13" s="969"/>
      <c r="I13" s="969"/>
      <c r="J13" s="969"/>
      <c r="K13" s="969"/>
      <c r="L13" s="969"/>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4" customFormat="1">
      <c r="A14" s="966"/>
      <c r="B14" s="971"/>
      <c r="C14" s="981"/>
      <c r="D14" s="982"/>
      <c r="E14" s="982"/>
      <c r="F14" s="982"/>
      <c r="G14" s="982"/>
      <c r="H14" s="982"/>
      <c r="I14" s="982"/>
      <c r="J14" s="982"/>
      <c r="K14" s="982"/>
      <c r="L14" s="982"/>
      <c r="M14" s="1028"/>
      <c r="N14" s="1028"/>
      <c r="O14" s="982"/>
      <c r="P14" s="982"/>
      <c r="Q14" s="982"/>
      <c r="R14" s="982"/>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4" customFormat="1">
      <c r="A15" s="966"/>
      <c r="B15" s="967" t="s">
        <v>1668</v>
      </c>
      <c r="C15" s="968"/>
      <c r="D15" s="969"/>
      <c r="E15" s="969"/>
      <c r="F15" s="969"/>
      <c r="G15" s="969"/>
      <c r="H15" s="969"/>
      <c r="I15" s="969"/>
      <c r="J15" s="969"/>
      <c r="K15" s="969"/>
      <c r="L15" s="969"/>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4" customFormat="1">
      <c r="A16" s="966"/>
      <c r="B16" s="962"/>
      <c r="C16" s="983"/>
      <c r="D16" s="984"/>
      <c r="E16" s="984"/>
      <c r="F16" s="984"/>
      <c r="G16" s="984"/>
      <c r="H16" s="984"/>
      <c r="I16" s="984"/>
      <c r="J16" s="984"/>
      <c r="K16" s="984"/>
      <c r="L16" s="984"/>
      <c r="M16" s="1029"/>
      <c r="N16" s="1029"/>
      <c r="O16" s="984"/>
      <c r="P16" s="984"/>
      <c r="Q16" s="984"/>
      <c r="R16" s="984"/>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2" customFormat="1">
      <c r="A17" s="985" t="s">
        <v>1669</v>
      </c>
      <c r="B17" s="986" t="s">
        <v>1670</v>
      </c>
      <c r="C17" s="987" t="s">
        <v>1411</v>
      </c>
      <c r="D17" s="988" t="s">
        <v>1364</v>
      </c>
      <c r="E17" s="988" t="s">
        <v>1365</v>
      </c>
      <c r="F17" s="988"/>
      <c r="G17" s="988"/>
      <c r="H17" s="988"/>
      <c r="I17" s="988"/>
      <c r="J17" s="988"/>
      <c r="K17" s="988"/>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2" customFormat="1">
      <c r="A18" s="989"/>
      <c r="B18" s="990"/>
      <c r="C18" s="991">
        <v>100</v>
      </c>
      <c r="D18" s="992">
        <v>98</v>
      </c>
      <c r="E18" s="992">
        <v>96</v>
      </c>
      <c r="F18" s="992"/>
      <c r="G18" s="992"/>
      <c r="H18" s="992"/>
      <c r="I18" s="992"/>
      <c r="J18" s="992"/>
      <c r="K18" s="992"/>
      <c r="L18" s="992"/>
      <c r="M18" s="1035"/>
      <c r="N18" s="1035"/>
      <c r="O18" s="992"/>
      <c r="P18" s="992"/>
      <c r="Q18" s="992"/>
      <c r="R18" s="992"/>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3"/>
      <c r="B19" s="994"/>
      <c r="C19" s="994"/>
      <c r="D19" s="995" t="s">
        <v>1671</v>
      </c>
      <c r="E19" s="996"/>
      <c r="F19" s="996"/>
      <c r="G19" s="996"/>
      <c r="H19" s="997"/>
      <c r="I19" s="994"/>
      <c r="J19" s="994"/>
      <c r="K19" s="994"/>
      <c r="L19" s="994"/>
      <c r="M19" s="994"/>
      <c r="N19" s="994"/>
      <c r="O19" s="994"/>
      <c r="P19" s="994"/>
      <c r="Q19" s="994"/>
      <c r="R19" s="1062"/>
      <c r="S19" s="993"/>
    </row>
    <row r="20" spans="1:45" ht="15.75">
      <c r="A20" s="998" t="s">
        <v>1672</v>
      </c>
      <c r="B20" s="999">
        <f ca="1">IF(D20="——",S22,S22-F20)</f>
        <v>318</v>
      </c>
      <c r="C20" s="994"/>
      <c r="D20" s="1000" t="s">
        <v>124</v>
      </c>
      <c r="E20" s="1001"/>
      <c r="F20" s="952" t="e">
        <f ca="1">SUMIF(INDIRECT("'"&amp;H20&amp;"'"&amp;"!A:A"),"承租人权益价值",INDIRECT("'"&amp;H20&amp;"'"&amp;"!c:c"))</f>
        <v>#REF!</v>
      </c>
      <c r="G20" s="952" t="s">
        <v>800</v>
      </c>
      <c r="H20" s="1002"/>
      <c r="I20" s="994"/>
      <c r="J20" s="994"/>
      <c r="K20" s="994"/>
      <c r="L20" s="994"/>
      <c r="M20" s="994"/>
      <c r="N20" s="994"/>
      <c r="O20" s="994"/>
      <c r="P20" s="994"/>
      <c r="Q20" s="994"/>
      <c r="R20" s="1062"/>
      <c r="S20" s="993"/>
    </row>
    <row r="21" spans="1:45" ht="15.75">
      <c r="A21" s="998" t="s">
        <v>1673</v>
      </c>
      <c r="B21" s="999">
        <f ca="1">ROUND(B20*10000/B22,0)</f>
        <v>22781</v>
      </c>
      <c r="C21" s="994"/>
      <c r="D21" s="994"/>
      <c r="E21" s="994"/>
      <c r="F21" s="994"/>
      <c r="G21" s="994"/>
      <c r="H21" s="994"/>
      <c r="I21" s="994"/>
      <c r="J21" s="994"/>
      <c r="K21" s="994"/>
      <c r="L21" s="994"/>
      <c r="M21" s="994"/>
      <c r="N21" s="994"/>
      <c r="O21" s="994"/>
      <c r="P21" s="994"/>
      <c r="Q21" s="994"/>
      <c r="R21" s="1062"/>
      <c r="S21" s="993"/>
    </row>
    <row r="22" spans="1:45">
      <c r="A22" s="1003" t="s">
        <v>1674</v>
      </c>
      <c r="B22" s="1004">
        <f>SUM(B24:B10000)</f>
        <v>139.59</v>
      </c>
      <c r="C22" s="3722" t="s">
        <v>124</v>
      </c>
      <c r="D22" s="3723"/>
      <c r="E22" s="3723"/>
      <c r="F22" s="3723"/>
      <c r="G22" s="3723"/>
      <c r="H22" s="3723"/>
      <c r="I22" s="3723"/>
      <c r="J22" s="3723"/>
      <c r="K22" s="3723"/>
      <c r="L22" s="3723"/>
      <c r="M22" s="3723"/>
      <c r="N22" s="3723"/>
      <c r="O22" s="3723"/>
      <c r="P22" s="3723"/>
      <c r="Q22" s="3724"/>
      <c r="R22" s="1064">
        <f ca="1">ROUND(S22*10000/B22,0)</f>
        <v>22781</v>
      </c>
      <c r="S22" s="1004">
        <f ca="1">SUM(S24:S10000)</f>
        <v>318</v>
      </c>
      <c r="T22" s="950">
        <f ca="1">T24+T25</f>
        <v>212.73516000000001</v>
      </c>
    </row>
    <row r="23" spans="1:45" s="945" customFormat="1" ht="24">
      <c r="A23" s="1007" t="s">
        <v>1675</v>
      </c>
      <c r="B23" s="1007" t="s">
        <v>455</v>
      </c>
      <c r="C23" s="1007" t="s">
        <v>1662</v>
      </c>
      <c r="D23" s="1007" t="str">
        <f>B5</f>
        <v>修正项2</v>
      </c>
      <c r="E23" s="1007" t="s">
        <v>1662</v>
      </c>
      <c r="F23" s="1007" t="str">
        <f>B7</f>
        <v>修正项3</v>
      </c>
      <c r="G23" s="1007" t="s">
        <v>1662</v>
      </c>
      <c r="H23" s="1007" t="str">
        <f>B9</f>
        <v>修正项4</v>
      </c>
      <c r="I23" s="1007" t="s">
        <v>1662</v>
      </c>
      <c r="J23" s="1007" t="str">
        <f>B11</f>
        <v>修正项5</v>
      </c>
      <c r="K23" s="1007" t="s">
        <v>1662</v>
      </c>
      <c r="L23" s="1007" t="str">
        <f>B13</f>
        <v>修正项6</v>
      </c>
      <c r="M23" s="1007" t="s">
        <v>1662</v>
      </c>
      <c r="N23" s="1007" t="str">
        <f>B15</f>
        <v>修正项7</v>
      </c>
      <c r="O23" s="1007" t="s">
        <v>1662</v>
      </c>
      <c r="P23" s="1007" t="str">
        <f>B17</f>
        <v>楼层</v>
      </c>
      <c r="Q23" s="1007" t="s">
        <v>1662</v>
      </c>
      <c r="R23" s="1065" t="s">
        <v>1676</v>
      </c>
      <c r="S23" s="1007" t="s">
        <v>1677</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6" customFormat="1">
      <c r="A24" s="1008">
        <v>1919</v>
      </c>
      <c r="B24" s="1009">
        <v>46.53</v>
      </c>
      <c r="C24" s="1010">
        <v>1</v>
      </c>
      <c r="D24" s="1011"/>
      <c r="E24" s="1010">
        <v>1</v>
      </c>
      <c r="F24" s="1011"/>
      <c r="G24" s="1010">
        <v>1</v>
      </c>
      <c r="H24" s="1011"/>
      <c r="I24" s="1010">
        <v>1</v>
      </c>
      <c r="J24" s="1011"/>
      <c r="K24" s="1010">
        <v>1</v>
      </c>
      <c r="L24" s="1011"/>
      <c r="M24" s="1010">
        <v>1</v>
      </c>
      <c r="N24" s="1011"/>
      <c r="O24" s="1010">
        <v>1</v>
      </c>
      <c r="P24" s="1011" t="s">
        <v>1411</v>
      </c>
      <c r="Q24" s="1010">
        <v>1</v>
      </c>
      <c r="R24" s="1067">
        <f ca="1">结果表!G20</f>
        <v>22860</v>
      </c>
      <c r="S24" s="1068">
        <f t="shared" ref="S24:S54" ca="1" si="11">ROUND(R24*B24/10000,0)</f>
        <v>106</v>
      </c>
      <c r="T24" s="1069">
        <f ca="1">R24*B24/10000</f>
        <v>106.36758</v>
      </c>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v>1921</v>
      </c>
      <c r="B25" s="1013">
        <v>46.53</v>
      </c>
      <c r="C25" s="1004">
        <f>IF(B25="",1,(LOOKUP(B25,$3:$3,$4:$4)-LOOKUP($B$24,$3:$3,$4:$4)+100)/100)</f>
        <v>1</v>
      </c>
      <c r="D25" s="1014"/>
      <c r="E25" s="1004">
        <f>(SUMIF($5:$5,D25,$6:$6)-SUMIF($5:$5,$D$24,$6:$6)+100)/100</f>
        <v>1</v>
      </c>
      <c r="F25" s="1014"/>
      <c r="G25" s="1004">
        <f>(SUMIF($7:$7,F25,$8:$8)-SUMIF($7:$7,$F$24,$8:$8)+100)/100</f>
        <v>1</v>
      </c>
      <c r="H25" s="1014"/>
      <c r="I25" s="1004">
        <f>(SUMIF($9:$9,H25,$10:$10)-SUMIF($9:$9,$H$24,$10:$10)+100)/100</f>
        <v>1</v>
      </c>
      <c r="J25" s="1014"/>
      <c r="K25" s="1004">
        <f>(SUMIF($11:$11,J25,$12:$12)-SUMIF($11:$11,$J$24,$12:$12)+100)/100</f>
        <v>1</v>
      </c>
      <c r="L25" s="1014"/>
      <c r="M25" s="1004">
        <f>(SUMIF($13:$13,L25,$14:$14)-SUMIF($13:$13,$L$24,$14:$14)+100)/100</f>
        <v>1</v>
      </c>
      <c r="N25" s="1014"/>
      <c r="O25" s="1004">
        <f>(SUMIF($15:$15,N25,$16:$16)-SUMIF($15:$15,$N$24,$16:$16)+100)/100</f>
        <v>1</v>
      </c>
      <c r="P25" s="1014" t="s">
        <v>1411</v>
      </c>
      <c r="Q25" s="1004">
        <f>(SUMIF($17:$17,P25,$18:$18)-SUMIF($17:$17,$P$24,$18:$18)+100)/100</f>
        <v>1</v>
      </c>
      <c r="R25" s="1064">
        <f ca="1">IF(B25="",0,ROUND($R$24*C25*E25*G25*I25*K25*M25*O25*Q25,0))</f>
        <v>22860</v>
      </c>
      <c r="S25" s="1003">
        <f t="shared" ca="1" si="11"/>
        <v>106</v>
      </c>
      <c r="T25" s="1069">
        <f t="shared" ref="T25:T26" ca="1" si="12">R25*B25/10000</f>
        <v>106.36758</v>
      </c>
    </row>
    <row r="26" spans="1:45">
      <c r="A26" s="1012">
        <v>1923</v>
      </c>
      <c r="B26" s="1013">
        <v>46.53</v>
      </c>
      <c r="C26" s="1004">
        <f t="shared" ref="C26:C89" si="13">IF(B26="",1,(LOOKUP(B26,$3:$3,$4:$4)-LOOKUP($B$24,$3:$3,$4:$4)+100)/100)</f>
        <v>1</v>
      </c>
      <c r="D26" s="1014"/>
      <c r="E26" s="1004">
        <f t="shared" ref="E26:E89" si="14">(SUMIF($5:$5,D26,$6:$6)-SUMIF($5:$5,$D$24,$6:$6)+100)/100</f>
        <v>1</v>
      </c>
      <c r="F26" s="1014"/>
      <c r="G26" s="1004">
        <f t="shared" ref="G26:G89" si="15">(SUMIF($7:$7,F26,$8:$8)-SUMIF($7:$7,$F$24,$8:$8)+100)/100</f>
        <v>1</v>
      </c>
      <c r="H26" s="1014"/>
      <c r="I26" s="1004">
        <f t="shared" ref="I26:I89" si="16">(SUMIF($9:$9,H26,$10:$10)-SUMIF($9:$9,$H$24,$10:$10)+100)/100</f>
        <v>1</v>
      </c>
      <c r="J26" s="1014"/>
      <c r="K26" s="1004">
        <f t="shared" ref="K26:K89" si="17">(SUMIF($11:$11,J26,$12:$12)-SUMIF($11:$11,$J$24,$12:$12)+100)/100</f>
        <v>1</v>
      </c>
      <c r="L26" s="1014"/>
      <c r="M26" s="1004">
        <f t="shared" ref="M26:M89" si="18">(SUMIF($13:$13,L26,$14:$14)-SUMIF($13:$13,$L$24,$14:$14)+100)/100</f>
        <v>1</v>
      </c>
      <c r="N26" s="1014"/>
      <c r="O26" s="1004">
        <f t="shared" ref="O26:O89" si="19">(SUMIF($15:$15,N26,$16:$16)-SUMIF($15:$15,$N$24,$16:$16)+100)/100</f>
        <v>1</v>
      </c>
      <c r="P26" s="1014" t="s">
        <v>1411</v>
      </c>
      <c r="Q26" s="1004">
        <f t="shared" ref="Q26:Q89" si="20">(SUMIF($17:$17,P26,$18:$18)-SUMIF($17:$17,$P$24,$18:$18)+100)/100</f>
        <v>1</v>
      </c>
      <c r="R26" s="1064">
        <f t="shared" ref="R26:R89" ca="1" si="21">IF(B26="",0,ROUND($R$24*C26*E26*G26*I26*K26*M26*O26*Q26,0))</f>
        <v>22860</v>
      </c>
      <c r="S26" s="1003">
        <f t="shared" ca="1" si="11"/>
        <v>106</v>
      </c>
      <c r="T26" s="1069">
        <f t="shared" ca="1" si="12"/>
        <v>106.36758</v>
      </c>
    </row>
    <row r="27" spans="1:45">
      <c r="A27" s="1012"/>
      <c r="B27" s="1013"/>
      <c r="C27" s="1004">
        <f t="shared" si="13"/>
        <v>1</v>
      </c>
      <c r="D27" s="1014"/>
      <c r="E27" s="1004">
        <f t="shared" si="14"/>
        <v>1</v>
      </c>
      <c r="F27" s="1014"/>
      <c r="G27" s="1004">
        <f t="shared" si="15"/>
        <v>1</v>
      </c>
      <c r="H27" s="1014"/>
      <c r="I27" s="1004">
        <f t="shared" si="16"/>
        <v>1</v>
      </c>
      <c r="J27" s="1014"/>
      <c r="K27" s="1004">
        <f t="shared" si="17"/>
        <v>1</v>
      </c>
      <c r="L27" s="1014"/>
      <c r="M27" s="1004">
        <f t="shared" si="18"/>
        <v>1</v>
      </c>
      <c r="N27" s="1014"/>
      <c r="O27" s="1004">
        <f t="shared" si="19"/>
        <v>1</v>
      </c>
      <c r="P27" s="1014"/>
      <c r="Q27" s="1004">
        <f t="shared" si="20"/>
        <v>0</v>
      </c>
      <c r="R27" s="1064">
        <f t="shared" si="21"/>
        <v>0</v>
      </c>
      <c r="S27" s="1003">
        <f t="shared" si="11"/>
        <v>0</v>
      </c>
    </row>
    <row r="28" spans="1:45">
      <c r="A28" s="1012"/>
      <c r="B28" s="1013"/>
      <c r="C28" s="1004">
        <f t="shared" si="13"/>
        <v>1</v>
      </c>
      <c r="D28" s="1014"/>
      <c r="E28" s="1004">
        <f t="shared" si="14"/>
        <v>1</v>
      </c>
      <c r="F28" s="1014"/>
      <c r="G28" s="1004">
        <f t="shared" si="15"/>
        <v>1</v>
      </c>
      <c r="H28" s="1014"/>
      <c r="I28" s="1004">
        <f t="shared" si="16"/>
        <v>1</v>
      </c>
      <c r="J28" s="1014"/>
      <c r="K28" s="1004">
        <f t="shared" si="17"/>
        <v>1</v>
      </c>
      <c r="L28" s="1014"/>
      <c r="M28" s="1004">
        <f t="shared" si="18"/>
        <v>1</v>
      </c>
      <c r="N28" s="1014"/>
      <c r="O28" s="1004">
        <f t="shared" si="19"/>
        <v>1</v>
      </c>
      <c r="P28" s="1014"/>
      <c r="Q28" s="1004">
        <f t="shared" si="20"/>
        <v>0</v>
      </c>
      <c r="R28" s="1064">
        <f t="shared" si="21"/>
        <v>0</v>
      </c>
      <c r="S28" s="1003">
        <f t="shared" si="11"/>
        <v>0</v>
      </c>
    </row>
    <row r="29" spans="1:45">
      <c r="A29" s="1012"/>
      <c r="B29" s="1013"/>
      <c r="C29" s="1004">
        <f t="shared" si="13"/>
        <v>1</v>
      </c>
      <c r="D29" s="1014"/>
      <c r="E29" s="1004">
        <f t="shared" si="14"/>
        <v>1</v>
      </c>
      <c r="F29" s="1014"/>
      <c r="G29" s="1004">
        <f t="shared" si="15"/>
        <v>1</v>
      </c>
      <c r="H29" s="1014"/>
      <c r="I29" s="1004">
        <f t="shared" si="16"/>
        <v>1</v>
      </c>
      <c r="J29" s="1014"/>
      <c r="K29" s="1004">
        <f t="shared" si="17"/>
        <v>1</v>
      </c>
      <c r="L29" s="1014"/>
      <c r="M29" s="1004">
        <f t="shared" si="18"/>
        <v>1</v>
      </c>
      <c r="N29" s="1014"/>
      <c r="O29" s="1004">
        <f t="shared" si="19"/>
        <v>1</v>
      </c>
      <c r="P29" s="1014"/>
      <c r="Q29" s="1004">
        <f t="shared" si="20"/>
        <v>0</v>
      </c>
      <c r="R29" s="1064">
        <f t="shared" si="21"/>
        <v>0</v>
      </c>
      <c r="S29" s="1003">
        <f t="shared" si="11"/>
        <v>0</v>
      </c>
    </row>
    <row r="30" spans="1:45">
      <c r="A30" s="1012"/>
      <c r="B30" s="1013"/>
      <c r="C30" s="1004">
        <f t="shared" si="13"/>
        <v>1</v>
      </c>
      <c r="D30" s="1014"/>
      <c r="E30" s="1004">
        <f t="shared" si="14"/>
        <v>1</v>
      </c>
      <c r="F30" s="1014"/>
      <c r="G30" s="1004">
        <f t="shared" si="15"/>
        <v>1</v>
      </c>
      <c r="H30" s="1014"/>
      <c r="I30" s="1004">
        <f t="shared" si="16"/>
        <v>1</v>
      </c>
      <c r="J30" s="1014"/>
      <c r="K30" s="1004">
        <f t="shared" si="17"/>
        <v>1</v>
      </c>
      <c r="L30" s="1014"/>
      <c r="M30" s="1004">
        <f t="shared" si="18"/>
        <v>1</v>
      </c>
      <c r="N30" s="1014"/>
      <c r="O30" s="1004">
        <f t="shared" si="19"/>
        <v>1</v>
      </c>
      <c r="P30" s="1014"/>
      <c r="Q30" s="1004">
        <f t="shared" si="20"/>
        <v>0</v>
      </c>
      <c r="R30" s="1064">
        <f t="shared" si="21"/>
        <v>0</v>
      </c>
      <c r="S30" s="1003">
        <f t="shared" si="11"/>
        <v>0</v>
      </c>
    </row>
    <row r="31" spans="1:45">
      <c r="A31" s="1012"/>
      <c r="B31" s="1013"/>
      <c r="C31" s="1004">
        <f t="shared" si="13"/>
        <v>1</v>
      </c>
      <c r="D31" s="1014"/>
      <c r="E31" s="1004">
        <f t="shared" si="14"/>
        <v>1</v>
      </c>
      <c r="F31" s="1014"/>
      <c r="G31" s="1004">
        <f t="shared" si="15"/>
        <v>1</v>
      </c>
      <c r="H31" s="1014"/>
      <c r="I31" s="1004">
        <f t="shared" si="16"/>
        <v>1</v>
      </c>
      <c r="J31" s="1014"/>
      <c r="K31" s="1004">
        <f t="shared" si="17"/>
        <v>1</v>
      </c>
      <c r="L31" s="1014"/>
      <c r="M31" s="1004">
        <f t="shared" si="18"/>
        <v>1</v>
      </c>
      <c r="N31" s="1014"/>
      <c r="O31" s="1004">
        <f t="shared" si="19"/>
        <v>1</v>
      </c>
      <c r="P31" s="1014"/>
      <c r="Q31" s="1004">
        <f t="shared" si="20"/>
        <v>0</v>
      </c>
      <c r="R31" s="1064">
        <f t="shared" si="21"/>
        <v>0</v>
      </c>
      <c r="S31" s="1003">
        <f t="shared" si="11"/>
        <v>0</v>
      </c>
    </row>
    <row r="32" spans="1:45">
      <c r="A32" s="1012"/>
      <c r="B32" s="1013"/>
      <c r="C32" s="1004">
        <f t="shared" si="13"/>
        <v>1</v>
      </c>
      <c r="D32" s="1014"/>
      <c r="E32" s="1004">
        <f t="shared" si="14"/>
        <v>1</v>
      </c>
      <c r="F32" s="1014"/>
      <c r="G32" s="1004">
        <f t="shared" si="15"/>
        <v>1</v>
      </c>
      <c r="H32" s="1014"/>
      <c r="I32" s="1004">
        <f t="shared" si="16"/>
        <v>1</v>
      </c>
      <c r="J32" s="1014"/>
      <c r="K32" s="1004">
        <f t="shared" si="17"/>
        <v>1</v>
      </c>
      <c r="L32" s="1014"/>
      <c r="M32" s="1004">
        <f t="shared" si="18"/>
        <v>1</v>
      </c>
      <c r="N32" s="1014"/>
      <c r="O32" s="1004">
        <f t="shared" si="19"/>
        <v>1</v>
      </c>
      <c r="P32" s="1014"/>
      <c r="Q32" s="1004">
        <f t="shared" si="20"/>
        <v>0</v>
      </c>
      <c r="R32" s="1064">
        <f t="shared" si="21"/>
        <v>0</v>
      </c>
      <c r="S32" s="1003">
        <f t="shared" si="11"/>
        <v>0</v>
      </c>
    </row>
    <row r="33" spans="1:19">
      <c r="A33" s="1012"/>
      <c r="B33" s="1013"/>
      <c r="C33" s="1004">
        <f t="shared" si="13"/>
        <v>1</v>
      </c>
      <c r="D33" s="1014"/>
      <c r="E33" s="1004">
        <f t="shared" si="14"/>
        <v>1</v>
      </c>
      <c r="F33" s="1014"/>
      <c r="G33" s="1004">
        <f t="shared" si="15"/>
        <v>1</v>
      </c>
      <c r="H33" s="1014"/>
      <c r="I33" s="1004">
        <f t="shared" si="16"/>
        <v>1</v>
      </c>
      <c r="J33" s="1014"/>
      <c r="K33" s="1004">
        <f t="shared" si="17"/>
        <v>1</v>
      </c>
      <c r="L33" s="1014"/>
      <c r="M33" s="1004">
        <f t="shared" si="18"/>
        <v>1</v>
      </c>
      <c r="N33" s="1014"/>
      <c r="O33" s="1004">
        <f t="shared" si="19"/>
        <v>1</v>
      </c>
      <c r="P33" s="1014"/>
      <c r="Q33" s="1004">
        <f t="shared" si="20"/>
        <v>0</v>
      </c>
      <c r="R33" s="1064">
        <f t="shared" si="21"/>
        <v>0</v>
      </c>
      <c r="S33" s="1003">
        <f t="shared" si="11"/>
        <v>0</v>
      </c>
    </row>
    <row r="34" spans="1:19">
      <c r="A34" s="1012"/>
      <c r="B34" s="1013"/>
      <c r="C34" s="1004">
        <f t="shared" si="13"/>
        <v>1</v>
      </c>
      <c r="D34" s="1014"/>
      <c r="E34" s="1004">
        <f t="shared" si="14"/>
        <v>1</v>
      </c>
      <c r="F34" s="1014"/>
      <c r="G34" s="1004">
        <f t="shared" si="15"/>
        <v>1</v>
      </c>
      <c r="H34" s="1014"/>
      <c r="I34" s="1004">
        <f t="shared" si="16"/>
        <v>1</v>
      </c>
      <c r="J34" s="1014"/>
      <c r="K34" s="1004">
        <f t="shared" si="17"/>
        <v>1</v>
      </c>
      <c r="L34" s="1014"/>
      <c r="M34" s="1004">
        <f t="shared" si="18"/>
        <v>1</v>
      </c>
      <c r="N34" s="1014"/>
      <c r="O34" s="1004">
        <f t="shared" si="19"/>
        <v>1</v>
      </c>
      <c r="P34" s="1014"/>
      <c r="Q34" s="1004">
        <f t="shared" si="20"/>
        <v>0</v>
      </c>
      <c r="R34" s="1064">
        <f t="shared" si="21"/>
        <v>0</v>
      </c>
      <c r="S34" s="1003">
        <f t="shared" si="11"/>
        <v>0</v>
      </c>
    </row>
    <row r="35" spans="1:19">
      <c r="A35" s="1012"/>
      <c r="B35" s="1013"/>
      <c r="C35" s="1004">
        <f t="shared" si="13"/>
        <v>1</v>
      </c>
      <c r="D35" s="1014"/>
      <c r="E35" s="1004">
        <f t="shared" si="14"/>
        <v>1</v>
      </c>
      <c r="F35" s="1014"/>
      <c r="G35" s="1004">
        <f t="shared" si="15"/>
        <v>1</v>
      </c>
      <c r="H35" s="1014"/>
      <c r="I35" s="1004">
        <f t="shared" si="16"/>
        <v>1</v>
      </c>
      <c r="J35" s="1014"/>
      <c r="K35" s="1004">
        <f t="shared" si="17"/>
        <v>1</v>
      </c>
      <c r="L35" s="1014"/>
      <c r="M35" s="1004">
        <f t="shared" si="18"/>
        <v>1</v>
      </c>
      <c r="N35" s="1014"/>
      <c r="O35" s="1004">
        <f t="shared" si="19"/>
        <v>1</v>
      </c>
      <c r="P35" s="1014"/>
      <c r="Q35" s="1004">
        <f t="shared" si="20"/>
        <v>0</v>
      </c>
      <c r="R35" s="1064">
        <f t="shared" si="21"/>
        <v>0</v>
      </c>
      <c r="S35" s="1003">
        <f t="shared" si="11"/>
        <v>0</v>
      </c>
    </row>
    <row r="36" spans="1:19">
      <c r="A36" s="1012"/>
      <c r="B36" s="1013"/>
      <c r="C36" s="1004">
        <f t="shared" si="13"/>
        <v>1</v>
      </c>
      <c r="D36" s="1014"/>
      <c r="E36" s="1004">
        <f t="shared" si="14"/>
        <v>1</v>
      </c>
      <c r="F36" s="1014"/>
      <c r="G36" s="1004">
        <f t="shared" si="15"/>
        <v>1</v>
      </c>
      <c r="H36" s="1014"/>
      <c r="I36" s="1004">
        <f t="shared" si="16"/>
        <v>1</v>
      </c>
      <c r="J36" s="1014"/>
      <c r="K36" s="1004">
        <f t="shared" si="17"/>
        <v>1</v>
      </c>
      <c r="L36" s="1014"/>
      <c r="M36" s="1004">
        <f t="shared" si="18"/>
        <v>1</v>
      </c>
      <c r="N36" s="1014"/>
      <c r="O36" s="1004">
        <f t="shared" si="19"/>
        <v>1</v>
      </c>
      <c r="P36" s="1014"/>
      <c r="Q36" s="1004">
        <f t="shared" si="20"/>
        <v>0</v>
      </c>
      <c r="R36" s="1064">
        <f t="shared" si="21"/>
        <v>0</v>
      </c>
      <c r="S36" s="1003">
        <f t="shared" si="11"/>
        <v>0</v>
      </c>
    </row>
    <row r="37" spans="1:19">
      <c r="A37" s="1012"/>
      <c r="B37" s="1013"/>
      <c r="C37" s="1004">
        <f t="shared" si="13"/>
        <v>1</v>
      </c>
      <c r="D37" s="1014"/>
      <c r="E37" s="1004">
        <f t="shared" si="14"/>
        <v>1</v>
      </c>
      <c r="F37" s="1014"/>
      <c r="G37" s="1004">
        <f t="shared" si="15"/>
        <v>1</v>
      </c>
      <c r="H37" s="1014"/>
      <c r="I37" s="1004">
        <f t="shared" si="16"/>
        <v>1</v>
      </c>
      <c r="J37" s="1014"/>
      <c r="K37" s="1004">
        <f t="shared" si="17"/>
        <v>1</v>
      </c>
      <c r="L37" s="1014"/>
      <c r="M37" s="1004">
        <f t="shared" si="18"/>
        <v>1</v>
      </c>
      <c r="N37" s="1014"/>
      <c r="O37" s="1004">
        <f t="shared" si="19"/>
        <v>1</v>
      </c>
      <c r="P37" s="1014"/>
      <c r="Q37" s="1004">
        <f t="shared" si="20"/>
        <v>0</v>
      </c>
      <c r="R37" s="1064">
        <f t="shared" si="21"/>
        <v>0</v>
      </c>
      <c r="S37" s="1003">
        <f t="shared" si="11"/>
        <v>0</v>
      </c>
    </row>
    <row r="38" spans="1:19">
      <c r="A38" s="1012"/>
      <c r="B38" s="1013"/>
      <c r="C38" s="1004">
        <f t="shared" si="13"/>
        <v>1</v>
      </c>
      <c r="D38" s="1014"/>
      <c r="E38" s="1004">
        <f t="shared" si="14"/>
        <v>1</v>
      </c>
      <c r="F38" s="1014"/>
      <c r="G38" s="1004">
        <f t="shared" si="15"/>
        <v>1</v>
      </c>
      <c r="H38" s="1014"/>
      <c r="I38" s="1004">
        <f t="shared" si="16"/>
        <v>1</v>
      </c>
      <c r="J38" s="1014"/>
      <c r="K38" s="1004">
        <f t="shared" si="17"/>
        <v>1</v>
      </c>
      <c r="L38" s="1014"/>
      <c r="M38" s="1004">
        <f t="shared" si="18"/>
        <v>1</v>
      </c>
      <c r="N38" s="1014"/>
      <c r="O38" s="1004">
        <f t="shared" si="19"/>
        <v>1</v>
      </c>
      <c r="P38" s="1014"/>
      <c r="Q38" s="1004">
        <f t="shared" si="20"/>
        <v>0</v>
      </c>
      <c r="R38" s="1064">
        <f t="shared" si="21"/>
        <v>0</v>
      </c>
      <c r="S38" s="1003">
        <f t="shared" si="11"/>
        <v>0</v>
      </c>
    </row>
    <row r="39" spans="1:19">
      <c r="A39" s="1012"/>
      <c r="B39" s="1013"/>
      <c r="C39" s="1004">
        <f t="shared" si="13"/>
        <v>1</v>
      </c>
      <c r="D39" s="1014"/>
      <c r="E39" s="1004">
        <f t="shared" si="14"/>
        <v>1</v>
      </c>
      <c r="F39" s="1014"/>
      <c r="G39" s="1004">
        <f t="shared" si="15"/>
        <v>1</v>
      </c>
      <c r="H39" s="1014"/>
      <c r="I39" s="1004">
        <f t="shared" si="16"/>
        <v>1</v>
      </c>
      <c r="J39" s="1014"/>
      <c r="K39" s="1004">
        <f t="shared" si="17"/>
        <v>1</v>
      </c>
      <c r="L39" s="1014"/>
      <c r="M39" s="1004">
        <f t="shared" si="18"/>
        <v>1</v>
      </c>
      <c r="N39" s="1014"/>
      <c r="O39" s="1004">
        <f t="shared" si="19"/>
        <v>1</v>
      </c>
      <c r="P39" s="1014"/>
      <c r="Q39" s="1004">
        <f t="shared" si="20"/>
        <v>0</v>
      </c>
      <c r="R39" s="1064">
        <f t="shared" si="21"/>
        <v>0</v>
      </c>
      <c r="S39" s="1003">
        <f t="shared" si="11"/>
        <v>0</v>
      </c>
    </row>
    <row r="40" spans="1:19">
      <c r="A40" s="1012"/>
      <c r="B40" s="1013"/>
      <c r="C40" s="1004">
        <f t="shared" si="13"/>
        <v>1</v>
      </c>
      <c r="D40" s="1014"/>
      <c r="E40" s="1004">
        <f t="shared" si="14"/>
        <v>1</v>
      </c>
      <c r="F40" s="1014"/>
      <c r="G40" s="1004">
        <f t="shared" si="15"/>
        <v>1</v>
      </c>
      <c r="H40" s="1014"/>
      <c r="I40" s="1004">
        <f t="shared" si="16"/>
        <v>1</v>
      </c>
      <c r="J40" s="1014"/>
      <c r="K40" s="1004">
        <f t="shared" si="17"/>
        <v>1</v>
      </c>
      <c r="L40" s="1014"/>
      <c r="M40" s="1004">
        <f t="shared" si="18"/>
        <v>1</v>
      </c>
      <c r="N40" s="1014"/>
      <c r="O40" s="1004">
        <f t="shared" si="19"/>
        <v>1</v>
      </c>
      <c r="P40" s="1014"/>
      <c r="Q40" s="1004">
        <f t="shared" si="20"/>
        <v>0</v>
      </c>
      <c r="R40" s="1064">
        <f t="shared" si="21"/>
        <v>0</v>
      </c>
      <c r="S40" s="1003">
        <f t="shared" si="11"/>
        <v>0</v>
      </c>
    </row>
    <row r="41" spans="1:19">
      <c r="A41" s="1012"/>
      <c r="B41" s="1013"/>
      <c r="C41" s="1004">
        <f t="shared" si="13"/>
        <v>1</v>
      </c>
      <c r="D41" s="1014"/>
      <c r="E41" s="1004">
        <f t="shared" si="14"/>
        <v>1</v>
      </c>
      <c r="F41" s="1014"/>
      <c r="G41" s="1004">
        <f t="shared" si="15"/>
        <v>1</v>
      </c>
      <c r="H41" s="1014"/>
      <c r="I41" s="1004">
        <f t="shared" si="16"/>
        <v>1</v>
      </c>
      <c r="J41" s="1014"/>
      <c r="K41" s="1004">
        <f t="shared" si="17"/>
        <v>1</v>
      </c>
      <c r="L41" s="1014"/>
      <c r="M41" s="1004">
        <f t="shared" si="18"/>
        <v>1</v>
      </c>
      <c r="N41" s="1014"/>
      <c r="O41" s="1004">
        <f t="shared" si="19"/>
        <v>1</v>
      </c>
      <c r="P41" s="1014"/>
      <c r="Q41" s="1004">
        <f t="shared" si="20"/>
        <v>0</v>
      </c>
      <c r="R41" s="1064">
        <f t="shared" si="21"/>
        <v>0</v>
      </c>
      <c r="S41" s="1003">
        <f t="shared" si="11"/>
        <v>0</v>
      </c>
    </row>
    <row r="42" spans="1:19">
      <c r="A42" s="1012"/>
      <c r="B42" s="1013"/>
      <c r="C42" s="1004">
        <f t="shared" si="13"/>
        <v>1</v>
      </c>
      <c r="D42" s="1014"/>
      <c r="E42" s="1004">
        <f t="shared" si="14"/>
        <v>1</v>
      </c>
      <c r="F42" s="1014"/>
      <c r="G42" s="1004">
        <f t="shared" si="15"/>
        <v>1</v>
      </c>
      <c r="H42" s="1014"/>
      <c r="I42" s="1004">
        <f t="shared" si="16"/>
        <v>1</v>
      </c>
      <c r="J42" s="1014"/>
      <c r="K42" s="1004">
        <f t="shared" si="17"/>
        <v>1</v>
      </c>
      <c r="L42" s="1014"/>
      <c r="M42" s="1004">
        <f t="shared" si="18"/>
        <v>1</v>
      </c>
      <c r="N42" s="1014"/>
      <c r="O42" s="1004">
        <f t="shared" si="19"/>
        <v>1</v>
      </c>
      <c r="P42" s="1014"/>
      <c r="Q42" s="1004">
        <f t="shared" si="20"/>
        <v>0</v>
      </c>
      <c r="R42" s="1064">
        <f t="shared" si="21"/>
        <v>0</v>
      </c>
      <c r="S42" s="1003">
        <f t="shared" si="11"/>
        <v>0</v>
      </c>
    </row>
    <row r="43" spans="1:19">
      <c r="A43" s="1012"/>
      <c r="B43" s="1013"/>
      <c r="C43" s="1004">
        <f t="shared" si="13"/>
        <v>1</v>
      </c>
      <c r="D43" s="1014"/>
      <c r="E43" s="1004">
        <f t="shared" si="14"/>
        <v>1</v>
      </c>
      <c r="F43" s="1014"/>
      <c r="G43" s="1004">
        <f t="shared" si="15"/>
        <v>1</v>
      </c>
      <c r="H43" s="1014"/>
      <c r="I43" s="1004">
        <f t="shared" si="16"/>
        <v>1</v>
      </c>
      <c r="J43" s="1014"/>
      <c r="K43" s="1004">
        <f t="shared" si="17"/>
        <v>1</v>
      </c>
      <c r="L43" s="1014"/>
      <c r="M43" s="1004">
        <f t="shared" si="18"/>
        <v>1</v>
      </c>
      <c r="N43" s="1014"/>
      <c r="O43" s="1004">
        <f t="shared" si="19"/>
        <v>1</v>
      </c>
      <c r="P43" s="1014"/>
      <c r="Q43" s="1004">
        <f t="shared" si="20"/>
        <v>0</v>
      </c>
      <c r="R43" s="1064">
        <f t="shared" si="21"/>
        <v>0</v>
      </c>
      <c r="S43" s="1003">
        <f t="shared" si="11"/>
        <v>0</v>
      </c>
    </row>
    <row r="44" spans="1:19">
      <c r="A44" s="1012"/>
      <c r="B44" s="1013"/>
      <c r="C44" s="1004">
        <f t="shared" si="13"/>
        <v>1</v>
      </c>
      <c r="D44" s="1014"/>
      <c r="E44" s="1004">
        <f t="shared" si="14"/>
        <v>1</v>
      </c>
      <c r="F44" s="1014"/>
      <c r="G44" s="1004">
        <f t="shared" si="15"/>
        <v>1</v>
      </c>
      <c r="H44" s="1014"/>
      <c r="I44" s="1004">
        <f t="shared" si="16"/>
        <v>1</v>
      </c>
      <c r="J44" s="1014"/>
      <c r="K44" s="1004">
        <f t="shared" si="17"/>
        <v>1</v>
      </c>
      <c r="L44" s="1014"/>
      <c r="M44" s="1004">
        <f t="shared" si="18"/>
        <v>1</v>
      </c>
      <c r="N44" s="1014"/>
      <c r="O44" s="1004">
        <f t="shared" si="19"/>
        <v>1</v>
      </c>
      <c r="P44" s="1014"/>
      <c r="Q44" s="1004">
        <f t="shared" si="20"/>
        <v>0</v>
      </c>
      <c r="R44" s="1064">
        <f t="shared" si="21"/>
        <v>0</v>
      </c>
      <c r="S44" s="1003">
        <f t="shared" si="11"/>
        <v>0</v>
      </c>
    </row>
    <row r="45" spans="1:19">
      <c r="A45" s="1012"/>
      <c r="B45" s="1013"/>
      <c r="C45" s="1004">
        <f t="shared" si="13"/>
        <v>1</v>
      </c>
      <c r="D45" s="1014"/>
      <c r="E45" s="1004">
        <f t="shared" si="14"/>
        <v>1</v>
      </c>
      <c r="F45" s="1014"/>
      <c r="G45" s="1004">
        <f t="shared" si="15"/>
        <v>1</v>
      </c>
      <c r="H45" s="1014"/>
      <c r="I45" s="1004">
        <f t="shared" si="16"/>
        <v>1</v>
      </c>
      <c r="J45" s="1014"/>
      <c r="K45" s="1004">
        <f t="shared" si="17"/>
        <v>1</v>
      </c>
      <c r="L45" s="1014"/>
      <c r="M45" s="1004">
        <f t="shared" si="18"/>
        <v>1</v>
      </c>
      <c r="N45" s="1014"/>
      <c r="O45" s="1004">
        <f t="shared" si="19"/>
        <v>1</v>
      </c>
      <c r="P45" s="1014"/>
      <c r="Q45" s="1004">
        <f t="shared" si="20"/>
        <v>0</v>
      </c>
      <c r="R45" s="1064">
        <f t="shared" si="21"/>
        <v>0</v>
      </c>
      <c r="S45" s="1003">
        <f t="shared" si="11"/>
        <v>0</v>
      </c>
    </row>
    <row r="46" spans="1:19">
      <c r="A46" s="1012"/>
      <c r="B46" s="1013"/>
      <c r="C46" s="1004">
        <f t="shared" si="13"/>
        <v>1</v>
      </c>
      <c r="D46" s="1014"/>
      <c r="E46" s="1004">
        <f t="shared" si="14"/>
        <v>1</v>
      </c>
      <c r="F46" s="1014"/>
      <c r="G46" s="1004">
        <f t="shared" si="15"/>
        <v>1</v>
      </c>
      <c r="H46" s="1014"/>
      <c r="I46" s="1004">
        <f t="shared" si="16"/>
        <v>1</v>
      </c>
      <c r="J46" s="1014"/>
      <c r="K46" s="1004">
        <f t="shared" si="17"/>
        <v>1</v>
      </c>
      <c r="L46" s="1014"/>
      <c r="M46" s="1004">
        <f t="shared" si="18"/>
        <v>1</v>
      </c>
      <c r="N46" s="1014"/>
      <c r="O46" s="1004">
        <f t="shared" si="19"/>
        <v>1</v>
      </c>
      <c r="P46" s="1014"/>
      <c r="Q46" s="1004">
        <f t="shared" si="20"/>
        <v>0</v>
      </c>
      <c r="R46" s="1064">
        <f t="shared" si="21"/>
        <v>0</v>
      </c>
      <c r="S46" s="1003">
        <f t="shared" si="11"/>
        <v>0</v>
      </c>
    </row>
    <row r="47" spans="1:19">
      <c r="A47" s="1012"/>
      <c r="B47" s="1013"/>
      <c r="C47" s="1004">
        <f t="shared" si="13"/>
        <v>1</v>
      </c>
      <c r="D47" s="1014"/>
      <c r="E47" s="1004">
        <f t="shared" si="14"/>
        <v>1</v>
      </c>
      <c r="F47" s="1014"/>
      <c r="G47" s="1004">
        <f t="shared" si="15"/>
        <v>1</v>
      </c>
      <c r="H47" s="1014"/>
      <c r="I47" s="1004">
        <f t="shared" si="16"/>
        <v>1</v>
      </c>
      <c r="J47" s="1014"/>
      <c r="K47" s="1004">
        <f t="shared" si="17"/>
        <v>1</v>
      </c>
      <c r="L47" s="1014"/>
      <c r="M47" s="1004">
        <f t="shared" si="18"/>
        <v>1</v>
      </c>
      <c r="N47" s="1014"/>
      <c r="O47" s="1004">
        <f t="shared" si="19"/>
        <v>1</v>
      </c>
      <c r="P47" s="1014"/>
      <c r="Q47" s="1004">
        <f t="shared" si="20"/>
        <v>0</v>
      </c>
      <c r="R47" s="1064">
        <f t="shared" si="21"/>
        <v>0</v>
      </c>
      <c r="S47" s="1003">
        <f t="shared" si="11"/>
        <v>0</v>
      </c>
    </row>
    <row r="48" spans="1:19">
      <c r="A48" s="1012"/>
      <c r="B48" s="1013"/>
      <c r="C48" s="1004">
        <f t="shared" si="13"/>
        <v>1</v>
      </c>
      <c r="D48" s="1014"/>
      <c r="E48" s="1004">
        <f t="shared" si="14"/>
        <v>1</v>
      </c>
      <c r="F48" s="1014"/>
      <c r="G48" s="1004">
        <f t="shared" si="15"/>
        <v>1</v>
      </c>
      <c r="H48" s="1014"/>
      <c r="I48" s="1004">
        <f t="shared" si="16"/>
        <v>1</v>
      </c>
      <c r="J48" s="1014"/>
      <c r="K48" s="1004">
        <f t="shared" si="17"/>
        <v>1</v>
      </c>
      <c r="L48" s="1014"/>
      <c r="M48" s="1004">
        <f t="shared" si="18"/>
        <v>1</v>
      </c>
      <c r="N48" s="1014"/>
      <c r="O48" s="1004">
        <f t="shared" si="19"/>
        <v>1</v>
      </c>
      <c r="P48" s="1014"/>
      <c r="Q48" s="1004">
        <f t="shared" si="20"/>
        <v>0</v>
      </c>
      <c r="R48" s="1064">
        <f t="shared" si="21"/>
        <v>0</v>
      </c>
      <c r="S48" s="1003">
        <f t="shared" si="11"/>
        <v>0</v>
      </c>
    </row>
    <row r="49" spans="1:19">
      <c r="A49" s="1012"/>
      <c r="B49" s="1013"/>
      <c r="C49" s="1004">
        <f t="shared" si="13"/>
        <v>1</v>
      </c>
      <c r="D49" s="1014"/>
      <c r="E49" s="1004">
        <f t="shared" si="14"/>
        <v>1</v>
      </c>
      <c r="F49" s="1014"/>
      <c r="G49" s="1004">
        <f t="shared" si="15"/>
        <v>1</v>
      </c>
      <c r="H49" s="1014"/>
      <c r="I49" s="1004">
        <f t="shared" si="16"/>
        <v>1</v>
      </c>
      <c r="J49" s="1014"/>
      <c r="K49" s="1004">
        <f t="shared" si="17"/>
        <v>1</v>
      </c>
      <c r="L49" s="1014"/>
      <c r="M49" s="1004">
        <f t="shared" si="18"/>
        <v>1</v>
      </c>
      <c r="N49" s="1014"/>
      <c r="O49" s="1004">
        <f t="shared" si="19"/>
        <v>1</v>
      </c>
      <c r="P49" s="1014"/>
      <c r="Q49" s="1004">
        <f t="shared" si="20"/>
        <v>0</v>
      </c>
      <c r="R49" s="1064">
        <f t="shared" si="21"/>
        <v>0</v>
      </c>
      <c r="S49" s="1003">
        <f t="shared" si="11"/>
        <v>0</v>
      </c>
    </row>
    <row r="50" spans="1:19">
      <c r="A50" s="1012"/>
      <c r="B50" s="1013"/>
      <c r="C50" s="1004">
        <f t="shared" si="13"/>
        <v>1</v>
      </c>
      <c r="D50" s="1014"/>
      <c r="E50" s="1004">
        <f t="shared" si="14"/>
        <v>1</v>
      </c>
      <c r="F50" s="1014"/>
      <c r="G50" s="1004">
        <f t="shared" si="15"/>
        <v>1</v>
      </c>
      <c r="H50" s="1014"/>
      <c r="I50" s="1004">
        <f t="shared" si="16"/>
        <v>1</v>
      </c>
      <c r="J50" s="1014"/>
      <c r="K50" s="1004">
        <f t="shared" si="17"/>
        <v>1</v>
      </c>
      <c r="L50" s="1014"/>
      <c r="M50" s="1004">
        <f t="shared" si="18"/>
        <v>1</v>
      </c>
      <c r="N50" s="1014"/>
      <c r="O50" s="1004">
        <f t="shared" si="19"/>
        <v>1</v>
      </c>
      <c r="P50" s="1014"/>
      <c r="Q50" s="1004">
        <f t="shared" si="20"/>
        <v>0</v>
      </c>
      <c r="R50" s="1064">
        <f t="shared" si="21"/>
        <v>0</v>
      </c>
      <c r="S50" s="1003">
        <f t="shared" si="11"/>
        <v>0</v>
      </c>
    </row>
    <row r="51" spans="1:19">
      <c r="A51" s="1012"/>
      <c r="B51" s="1013"/>
      <c r="C51" s="1004">
        <f t="shared" si="13"/>
        <v>1</v>
      </c>
      <c r="D51" s="1014"/>
      <c r="E51" s="1004">
        <f t="shared" si="14"/>
        <v>1</v>
      </c>
      <c r="F51" s="1014"/>
      <c r="G51" s="1004">
        <f t="shared" si="15"/>
        <v>1</v>
      </c>
      <c r="H51" s="1014"/>
      <c r="I51" s="1004">
        <f t="shared" si="16"/>
        <v>1</v>
      </c>
      <c r="J51" s="1014"/>
      <c r="K51" s="1004">
        <f t="shared" si="17"/>
        <v>1</v>
      </c>
      <c r="L51" s="1014"/>
      <c r="M51" s="1004">
        <f t="shared" si="18"/>
        <v>1</v>
      </c>
      <c r="N51" s="1014"/>
      <c r="O51" s="1004">
        <f t="shared" si="19"/>
        <v>1</v>
      </c>
      <c r="P51" s="1014"/>
      <c r="Q51" s="1004">
        <f t="shared" si="20"/>
        <v>0</v>
      </c>
      <c r="R51" s="1064">
        <f t="shared" si="21"/>
        <v>0</v>
      </c>
      <c r="S51" s="1003">
        <f t="shared" si="11"/>
        <v>0</v>
      </c>
    </row>
    <row r="52" spans="1:19">
      <c r="A52" s="1012"/>
      <c r="B52" s="1013"/>
      <c r="C52" s="1004">
        <f t="shared" si="13"/>
        <v>1</v>
      </c>
      <c r="D52" s="1014"/>
      <c r="E52" s="1004">
        <f t="shared" si="14"/>
        <v>1</v>
      </c>
      <c r="F52" s="1014"/>
      <c r="G52" s="1004">
        <f t="shared" si="15"/>
        <v>1</v>
      </c>
      <c r="H52" s="1014"/>
      <c r="I52" s="1004">
        <f t="shared" si="16"/>
        <v>1</v>
      </c>
      <c r="J52" s="1014"/>
      <c r="K52" s="1004">
        <f t="shared" si="17"/>
        <v>1</v>
      </c>
      <c r="L52" s="1014"/>
      <c r="M52" s="1004">
        <f t="shared" si="18"/>
        <v>1</v>
      </c>
      <c r="N52" s="1014"/>
      <c r="O52" s="1004">
        <f t="shared" si="19"/>
        <v>1</v>
      </c>
      <c r="P52" s="1014"/>
      <c r="Q52" s="1004">
        <f t="shared" si="20"/>
        <v>0</v>
      </c>
      <c r="R52" s="1064">
        <f t="shared" si="21"/>
        <v>0</v>
      </c>
      <c r="S52" s="1003">
        <f t="shared" si="11"/>
        <v>0</v>
      </c>
    </row>
    <row r="53" spans="1:19">
      <c r="A53" s="1012"/>
      <c r="B53" s="1013"/>
      <c r="C53" s="1004">
        <f t="shared" si="13"/>
        <v>1</v>
      </c>
      <c r="D53" s="1014"/>
      <c r="E53" s="1004">
        <f t="shared" si="14"/>
        <v>1</v>
      </c>
      <c r="F53" s="1014"/>
      <c r="G53" s="1004">
        <f t="shared" si="15"/>
        <v>1</v>
      </c>
      <c r="H53" s="1014"/>
      <c r="I53" s="1004">
        <f t="shared" si="16"/>
        <v>1</v>
      </c>
      <c r="J53" s="1014"/>
      <c r="K53" s="1004">
        <f t="shared" si="17"/>
        <v>1</v>
      </c>
      <c r="L53" s="1014"/>
      <c r="M53" s="1004">
        <f t="shared" si="18"/>
        <v>1</v>
      </c>
      <c r="N53" s="1014"/>
      <c r="O53" s="1004">
        <f t="shared" si="19"/>
        <v>1</v>
      </c>
      <c r="P53" s="1014"/>
      <c r="Q53" s="1004">
        <f t="shared" si="20"/>
        <v>0</v>
      </c>
      <c r="R53" s="1064">
        <f t="shared" si="21"/>
        <v>0</v>
      </c>
      <c r="S53" s="1003">
        <f t="shared" si="11"/>
        <v>0</v>
      </c>
    </row>
    <row r="54" spans="1:19">
      <c r="A54" s="1012"/>
      <c r="B54" s="1013"/>
      <c r="C54" s="1004">
        <f t="shared" si="13"/>
        <v>1</v>
      </c>
      <c r="D54" s="1014"/>
      <c r="E54" s="1004">
        <f t="shared" si="14"/>
        <v>1</v>
      </c>
      <c r="F54" s="1014"/>
      <c r="G54" s="1004">
        <f t="shared" si="15"/>
        <v>1</v>
      </c>
      <c r="H54" s="1014"/>
      <c r="I54" s="1004">
        <f t="shared" si="16"/>
        <v>1</v>
      </c>
      <c r="J54" s="1014"/>
      <c r="K54" s="1004">
        <f t="shared" si="17"/>
        <v>1</v>
      </c>
      <c r="L54" s="1014"/>
      <c r="M54" s="1004">
        <f t="shared" si="18"/>
        <v>1</v>
      </c>
      <c r="N54" s="1014"/>
      <c r="O54" s="1004">
        <f t="shared" si="19"/>
        <v>1</v>
      </c>
      <c r="P54" s="1014"/>
      <c r="Q54" s="1004">
        <f t="shared" si="20"/>
        <v>0</v>
      </c>
      <c r="R54" s="1064">
        <f t="shared" si="21"/>
        <v>0</v>
      </c>
      <c r="S54" s="1003">
        <f t="shared" si="11"/>
        <v>0</v>
      </c>
    </row>
    <row r="55" spans="1:19">
      <c r="A55" s="1012"/>
      <c r="B55" s="1013"/>
      <c r="C55" s="1004">
        <f t="shared" si="13"/>
        <v>1</v>
      </c>
      <c r="D55" s="1014"/>
      <c r="E55" s="1004">
        <f t="shared" si="14"/>
        <v>1</v>
      </c>
      <c r="F55" s="1014"/>
      <c r="G55" s="1004">
        <f t="shared" si="15"/>
        <v>1</v>
      </c>
      <c r="H55" s="1014"/>
      <c r="I55" s="1004">
        <f t="shared" si="16"/>
        <v>1</v>
      </c>
      <c r="J55" s="1014"/>
      <c r="K55" s="1004">
        <f t="shared" si="17"/>
        <v>1</v>
      </c>
      <c r="L55" s="1014"/>
      <c r="M55" s="1004">
        <f t="shared" si="18"/>
        <v>1</v>
      </c>
      <c r="N55" s="1014"/>
      <c r="O55" s="1004">
        <f t="shared" si="19"/>
        <v>1</v>
      </c>
      <c r="P55" s="1014"/>
      <c r="Q55" s="1004">
        <f t="shared" si="20"/>
        <v>0</v>
      </c>
      <c r="R55" s="1064">
        <f t="shared" si="21"/>
        <v>0</v>
      </c>
      <c r="S55" s="1003">
        <f t="shared" ref="S55:S77" si="22">ROUND(R55*B55/10000,0)</f>
        <v>0</v>
      </c>
    </row>
    <row r="56" spans="1:19">
      <c r="A56" s="1012"/>
      <c r="B56" s="1013"/>
      <c r="C56" s="1004">
        <f t="shared" si="13"/>
        <v>1</v>
      </c>
      <c r="D56" s="1014"/>
      <c r="E56" s="1004">
        <f t="shared" si="14"/>
        <v>1</v>
      </c>
      <c r="F56" s="1014"/>
      <c r="G56" s="1004">
        <f t="shared" si="15"/>
        <v>1</v>
      </c>
      <c r="H56" s="1014"/>
      <c r="I56" s="1004">
        <f t="shared" si="16"/>
        <v>1</v>
      </c>
      <c r="J56" s="1014"/>
      <c r="K56" s="1004">
        <f t="shared" si="17"/>
        <v>1</v>
      </c>
      <c r="L56" s="1014"/>
      <c r="M56" s="1004">
        <f t="shared" si="18"/>
        <v>1</v>
      </c>
      <c r="N56" s="1014"/>
      <c r="O56" s="1004">
        <f t="shared" si="19"/>
        <v>1</v>
      </c>
      <c r="P56" s="1014"/>
      <c r="Q56" s="1004">
        <f t="shared" si="20"/>
        <v>0</v>
      </c>
      <c r="R56" s="1064">
        <f t="shared" si="21"/>
        <v>0</v>
      </c>
      <c r="S56" s="1003">
        <f t="shared" si="22"/>
        <v>0</v>
      </c>
    </row>
    <row r="57" spans="1:19">
      <c r="A57" s="1012"/>
      <c r="B57" s="1013"/>
      <c r="C57" s="1004">
        <f t="shared" si="13"/>
        <v>1</v>
      </c>
      <c r="D57" s="1014"/>
      <c r="E57" s="1004">
        <f t="shared" si="14"/>
        <v>1</v>
      </c>
      <c r="F57" s="1014"/>
      <c r="G57" s="1004">
        <f t="shared" si="15"/>
        <v>1</v>
      </c>
      <c r="H57" s="1014"/>
      <c r="I57" s="1004">
        <f t="shared" si="16"/>
        <v>1</v>
      </c>
      <c r="J57" s="1014"/>
      <c r="K57" s="1004">
        <f t="shared" si="17"/>
        <v>1</v>
      </c>
      <c r="L57" s="1014"/>
      <c r="M57" s="1004">
        <f t="shared" si="18"/>
        <v>1</v>
      </c>
      <c r="N57" s="1014"/>
      <c r="O57" s="1004">
        <f t="shared" si="19"/>
        <v>1</v>
      </c>
      <c r="P57" s="1014"/>
      <c r="Q57" s="1004">
        <f t="shared" si="20"/>
        <v>0</v>
      </c>
      <c r="R57" s="1064">
        <f t="shared" si="21"/>
        <v>0</v>
      </c>
      <c r="S57" s="1003">
        <f t="shared" si="22"/>
        <v>0</v>
      </c>
    </row>
    <row r="58" spans="1:19">
      <c r="A58" s="1012"/>
      <c r="B58" s="1013"/>
      <c r="C58" s="1004">
        <f t="shared" si="13"/>
        <v>1</v>
      </c>
      <c r="D58" s="1014"/>
      <c r="E58" s="1004">
        <f t="shared" si="14"/>
        <v>1</v>
      </c>
      <c r="F58" s="1014"/>
      <c r="G58" s="1004">
        <f t="shared" si="15"/>
        <v>1</v>
      </c>
      <c r="H58" s="1014"/>
      <c r="I58" s="1004">
        <f t="shared" si="16"/>
        <v>1</v>
      </c>
      <c r="J58" s="1014"/>
      <c r="K58" s="1004">
        <f t="shared" si="17"/>
        <v>1</v>
      </c>
      <c r="L58" s="1014"/>
      <c r="M58" s="1004">
        <f t="shared" si="18"/>
        <v>1</v>
      </c>
      <c r="N58" s="1014"/>
      <c r="O58" s="1004">
        <f t="shared" si="19"/>
        <v>1</v>
      </c>
      <c r="P58" s="1014"/>
      <c r="Q58" s="1004">
        <f t="shared" si="20"/>
        <v>0</v>
      </c>
      <c r="R58" s="1064">
        <f t="shared" si="21"/>
        <v>0</v>
      </c>
      <c r="S58" s="1003">
        <f t="shared" si="22"/>
        <v>0</v>
      </c>
    </row>
    <row r="59" spans="1:19">
      <c r="A59" s="1012"/>
      <c r="B59" s="1013"/>
      <c r="C59" s="1004">
        <f t="shared" si="13"/>
        <v>1</v>
      </c>
      <c r="D59" s="1014"/>
      <c r="E59" s="1004">
        <f t="shared" si="14"/>
        <v>1</v>
      </c>
      <c r="F59" s="1014"/>
      <c r="G59" s="1004">
        <f t="shared" si="15"/>
        <v>1</v>
      </c>
      <c r="H59" s="1014"/>
      <c r="I59" s="1004">
        <f t="shared" si="16"/>
        <v>1</v>
      </c>
      <c r="J59" s="1014"/>
      <c r="K59" s="1004">
        <f t="shared" si="17"/>
        <v>1</v>
      </c>
      <c r="L59" s="1014"/>
      <c r="M59" s="1004">
        <f t="shared" si="18"/>
        <v>1</v>
      </c>
      <c r="N59" s="1014"/>
      <c r="O59" s="1004">
        <f t="shared" si="19"/>
        <v>1</v>
      </c>
      <c r="P59" s="1014"/>
      <c r="Q59" s="1004">
        <f t="shared" si="20"/>
        <v>0</v>
      </c>
      <c r="R59" s="1064">
        <f t="shared" si="21"/>
        <v>0</v>
      </c>
      <c r="S59" s="1003">
        <f t="shared" si="22"/>
        <v>0</v>
      </c>
    </row>
    <row r="60" spans="1:19">
      <c r="A60" s="1012"/>
      <c r="B60" s="1013"/>
      <c r="C60" s="1004">
        <f t="shared" si="13"/>
        <v>1</v>
      </c>
      <c r="D60" s="1014"/>
      <c r="E60" s="1004">
        <f t="shared" si="14"/>
        <v>1</v>
      </c>
      <c r="F60" s="1014"/>
      <c r="G60" s="1004">
        <f t="shared" si="15"/>
        <v>1</v>
      </c>
      <c r="H60" s="1014"/>
      <c r="I60" s="1004">
        <f t="shared" si="16"/>
        <v>1</v>
      </c>
      <c r="J60" s="1014"/>
      <c r="K60" s="1004">
        <f t="shared" si="17"/>
        <v>1</v>
      </c>
      <c r="L60" s="1014"/>
      <c r="M60" s="1004">
        <f t="shared" si="18"/>
        <v>1</v>
      </c>
      <c r="N60" s="1014"/>
      <c r="O60" s="1004">
        <f t="shared" si="19"/>
        <v>1</v>
      </c>
      <c r="P60" s="1014"/>
      <c r="Q60" s="1004">
        <f t="shared" si="20"/>
        <v>0</v>
      </c>
      <c r="R60" s="1064">
        <f t="shared" si="21"/>
        <v>0</v>
      </c>
      <c r="S60" s="1003">
        <f t="shared" si="22"/>
        <v>0</v>
      </c>
    </row>
    <row r="61" spans="1:19">
      <c r="A61" s="1012"/>
      <c r="B61" s="1013"/>
      <c r="C61" s="1004">
        <f t="shared" si="13"/>
        <v>1</v>
      </c>
      <c r="D61" s="1014"/>
      <c r="E61" s="1004">
        <f t="shared" si="14"/>
        <v>1</v>
      </c>
      <c r="F61" s="1014"/>
      <c r="G61" s="1004">
        <f t="shared" si="15"/>
        <v>1</v>
      </c>
      <c r="H61" s="1014"/>
      <c r="I61" s="1004">
        <f t="shared" si="16"/>
        <v>1</v>
      </c>
      <c r="J61" s="1014"/>
      <c r="K61" s="1004">
        <f t="shared" si="17"/>
        <v>1</v>
      </c>
      <c r="L61" s="1014"/>
      <c r="M61" s="1004">
        <f t="shared" si="18"/>
        <v>1</v>
      </c>
      <c r="N61" s="1014"/>
      <c r="O61" s="1004">
        <f t="shared" si="19"/>
        <v>1</v>
      </c>
      <c r="P61" s="1014"/>
      <c r="Q61" s="1004">
        <f t="shared" si="20"/>
        <v>0</v>
      </c>
      <c r="R61" s="1064">
        <f t="shared" si="21"/>
        <v>0</v>
      </c>
      <c r="S61" s="1003">
        <f t="shared" si="22"/>
        <v>0</v>
      </c>
    </row>
    <row r="62" spans="1:19">
      <c r="A62" s="1012"/>
      <c r="B62" s="1013"/>
      <c r="C62" s="1004">
        <f t="shared" si="13"/>
        <v>1</v>
      </c>
      <c r="D62" s="1014"/>
      <c r="E62" s="1004">
        <f t="shared" si="14"/>
        <v>1</v>
      </c>
      <c r="F62" s="1014"/>
      <c r="G62" s="1004">
        <f t="shared" si="15"/>
        <v>1</v>
      </c>
      <c r="H62" s="1014"/>
      <c r="I62" s="1004">
        <f t="shared" si="16"/>
        <v>1</v>
      </c>
      <c r="J62" s="1014"/>
      <c r="K62" s="1004">
        <f t="shared" si="17"/>
        <v>1</v>
      </c>
      <c r="L62" s="1014"/>
      <c r="M62" s="1004">
        <f t="shared" si="18"/>
        <v>1</v>
      </c>
      <c r="N62" s="1014"/>
      <c r="O62" s="1004">
        <f t="shared" si="19"/>
        <v>1</v>
      </c>
      <c r="P62" s="1014"/>
      <c r="Q62" s="1004">
        <f t="shared" si="20"/>
        <v>0</v>
      </c>
      <c r="R62" s="1064">
        <f t="shared" si="21"/>
        <v>0</v>
      </c>
      <c r="S62" s="1003">
        <f t="shared" si="22"/>
        <v>0</v>
      </c>
    </row>
    <row r="63" spans="1:19">
      <c r="A63" s="1012"/>
      <c r="B63" s="1013"/>
      <c r="C63" s="1004">
        <f t="shared" si="13"/>
        <v>1</v>
      </c>
      <c r="D63" s="1014"/>
      <c r="E63" s="1004">
        <f t="shared" si="14"/>
        <v>1</v>
      </c>
      <c r="F63" s="1014"/>
      <c r="G63" s="1004">
        <f t="shared" si="15"/>
        <v>1</v>
      </c>
      <c r="H63" s="1014"/>
      <c r="I63" s="1004">
        <f t="shared" si="16"/>
        <v>1</v>
      </c>
      <c r="J63" s="1014"/>
      <c r="K63" s="1004">
        <f t="shared" si="17"/>
        <v>1</v>
      </c>
      <c r="L63" s="1014"/>
      <c r="M63" s="1004">
        <f t="shared" si="18"/>
        <v>1</v>
      </c>
      <c r="N63" s="1014"/>
      <c r="O63" s="1004">
        <f t="shared" si="19"/>
        <v>1</v>
      </c>
      <c r="P63" s="1014"/>
      <c r="Q63" s="1004">
        <f t="shared" si="20"/>
        <v>0</v>
      </c>
      <c r="R63" s="1064">
        <f t="shared" si="21"/>
        <v>0</v>
      </c>
      <c r="S63" s="1003">
        <f t="shared" si="22"/>
        <v>0</v>
      </c>
    </row>
    <row r="64" spans="1:19">
      <c r="A64" s="1012"/>
      <c r="B64" s="1013"/>
      <c r="C64" s="1004">
        <f t="shared" si="13"/>
        <v>1</v>
      </c>
      <c r="D64" s="1014"/>
      <c r="E64" s="1004">
        <f t="shared" si="14"/>
        <v>1</v>
      </c>
      <c r="F64" s="1014"/>
      <c r="G64" s="1004">
        <f t="shared" si="15"/>
        <v>1</v>
      </c>
      <c r="H64" s="1014"/>
      <c r="I64" s="1004">
        <f t="shared" si="16"/>
        <v>1</v>
      </c>
      <c r="J64" s="1014"/>
      <c r="K64" s="1004">
        <f t="shared" si="17"/>
        <v>1</v>
      </c>
      <c r="L64" s="1014"/>
      <c r="M64" s="1004">
        <f t="shared" si="18"/>
        <v>1</v>
      </c>
      <c r="N64" s="1014"/>
      <c r="O64" s="1004">
        <f t="shared" si="19"/>
        <v>1</v>
      </c>
      <c r="P64" s="1014"/>
      <c r="Q64" s="1004">
        <f t="shared" si="20"/>
        <v>0</v>
      </c>
      <c r="R64" s="1064">
        <f t="shared" si="21"/>
        <v>0</v>
      </c>
      <c r="S64" s="1003">
        <f t="shared" si="22"/>
        <v>0</v>
      </c>
    </row>
    <row r="65" spans="1:19">
      <c r="A65" s="1012"/>
      <c r="B65" s="1013"/>
      <c r="C65" s="1004">
        <f t="shared" si="13"/>
        <v>1</v>
      </c>
      <c r="D65" s="1014"/>
      <c r="E65" s="1004">
        <f t="shared" si="14"/>
        <v>1</v>
      </c>
      <c r="F65" s="1014"/>
      <c r="G65" s="1004">
        <f t="shared" si="15"/>
        <v>1</v>
      </c>
      <c r="H65" s="1014"/>
      <c r="I65" s="1004">
        <f t="shared" si="16"/>
        <v>1</v>
      </c>
      <c r="J65" s="1014"/>
      <c r="K65" s="1004">
        <f t="shared" si="17"/>
        <v>1</v>
      </c>
      <c r="L65" s="1014"/>
      <c r="M65" s="1004">
        <f t="shared" si="18"/>
        <v>1</v>
      </c>
      <c r="N65" s="1014"/>
      <c r="O65" s="1004">
        <f t="shared" si="19"/>
        <v>1</v>
      </c>
      <c r="P65" s="1014"/>
      <c r="Q65" s="1004">
        <f t="shared" si="20"/>
        <v>0</v>
      </c>
      <c r="R65" s="1064">
        <f t="shared" si="21"/>
        <v>0</v>
      </c>
      <c r="S65" s="1003">
        <f t="shared" si="22"/>
        <v>0</v>
      </c>
    </row>
    <row r="66" spans="1:19">
      <c r="A66" s="1012"/>
      <c r="B66" s="1013"/>
      <c r="C66" s="1004">
        <f t="shared" si="13"/>
        <v>1</v>
      </c>
      <c r="D66" s="1014"/>
      <c r="E66" s="1004">
        <f t="shared" si="14"/>
        <v>1</v>
      </c>
      <c r="F66" s="1014"/>
      <c r="G66" s="1004">
        <f t="shared" si="15"/>
        <v>1</v>
      </c>
      <c r="H66" s="1014"/>
      <c r="I66" s="1004">
        <f t="shared" si="16"/>
        <v>1</v>
      </c>
      <c r="J66" s="1014"/>
      <c r="K66" s="1004">
        <f t="shared" si="17"/>
        <v>1</v>
      </c>
      <c r="L66" s="1014"/>
      <c r="M66" s="1004">
        <f t="shared" si="18"/>
        <v>1</v>
      </c>
      <c r="N66" s="1014"/>
      <c r="O66" s="1004">
        <f t="shared" si="19"/>
        <v>1</v>
      </c>
      <c r="P66" s="1014"/>
      <c r="Q66" s="1004">
        <f t="shared" si="20"/>
        <v>0</v>
      </c>
      <c r="R66" s="1064">
        <f t="shared" si="21"/>
        <v>0</v>
      </c>
      <c r="S66" s="1003">
        <f t="shared" si="22"/>
        <v>0</v>
      </c>
    </row>
    <row r="67" spans="1:19">
      <c r="A67" s="1012"/>
      <c r="B67" s="1013"/>
      <c r="C67" s="1004">
        <f t="shared" si="13"/>
        <v>1</v>
      </c>
      <c r="D67" s="1014"/>
      <c r="E67" s="1004">
        <f t="shared" si="14"/>
        <v>1</v>
      </c>
      <c r="F67" s="1014"/>
      <c r="G67" s="1004">
        <f t="shared" si="15"/>
        <v>1</v>
      </c>
      <c r="H67" s="1014"/>
      <c r="I67" s="1004">
        <f t="shared" si="16"/>
        <v>1</v>
      </c>
      <c r="J67" s="1014"/>
      <c r="K67" s="1004">
        <f t="shared" si="17"/>
        <v>1</v>
      </c>
      <c r="L67" s="1014"/>
      <c r="M67" s="1004">
        <f t="shared" si="18"/>
        <v>1</v>
      </c>
      <c r="N67" s="1014"/>
      <c r="O67" s="1004">
        <f t="shared" si="19"/>
        <v>1</v>
      </c>
      <c r="P67" s="1014"/>
      <c r="Q67" s="1004">
        <f t="shared" si="20"/>
        <v>0</v>
      </c>
      <c r="R67" s="1064">
        <f t="shared" si="21"/>
        <v>0</v>
      </c>
      <c r="S67" s="1003">
        <f t="shared" si="22"/>
        <v>0</v>
      </c>
    </row>
    <row r="68" spans="1:19">
      <c r="A68" s="1012"/>
      <c r="B68" s="1013"/>
      <c r="C68" s="1004">
        <f t="shared" si="13"/>
        <v>1</v>
      </c>
      <c r="D68" s="1014"/>
      <c r="E68" s="1004">
        <f t="shared" si="14"/>
        <v>1</v>
      </c>
      <c r="F68" s="1014"/>
      <c r="G68" s="1004">
        <f t="shared" si="15"/>
        <v>1</v>
      </c>
      <c r="H68" s="1014"/>
      <c r="I68" s="1004">
        <f t="shared" si="16"/>
        <v>1</v>
      </c>
      <c r="J68" s="1014"/>
      <c r="K68" s="1004">
        <f t="shared" si="17"/>
        <v>1</v>
      </c>
      <c r="L68" s="1014"/>
      <c r="M68" s="1004">
        <f t="shared" si="18"/>
        <v>1</v>
      </c>
      <c r="N68" s="1014"/>
      <c r="O68" s="1004">
        <f t="shared" si="19"/>
        <v>1</v>
      </c>
      <c r="P68" s="1014"/>
      <c r="Q68" s="1004">
        <f t="shared" si="20"/>
        <v>0</v>
      </c>
      <c r="R68" s="1064">
        <f t="shared" si="21"/>
        <v>0</v>
      </c>
      <c r="S68" s="1003">
        <f t="shared" si="22"/>
        <v>0</v>
      </c>
    </row>
    <row r="69" spans="1:19">
      <c r="A69" s="1012"/>
      <c r="B69" s="1013"/>
      <c r="C69" s="1004">
        <f t="shared" si="13"/>
        <v>1</v>
      </c>
      <c r="D69" s="1014"/>
      <c r="E69" s="1004">
        <f t="shared" si="14"/>
        <v>1</v>
      </c>
      <c r="F69" s="1014"/>
      <c r="G69" s="1004">
        <f t="shared" si="15"/>
        <v>1</v>
      </c>
      <c r="H69" s="1014"/>
      <c r="I69" s="1004">
        <f t="shared" si="16"/>
        <v>1</v>
      </c>
      <c r="J69" s="1014"/>
      <c r="K69" s="1004">
        <f t="shared" si="17"/>
        <v>1</v>
      </c>
      <c r="L69" s="1014"/>
      <c r="M69" s="1004">
        <f t="shared" si="18"/>
        <v>1</v>
      </c>
      <c r="N69" s="1014"/>
      <c r="O69" s="1004">
        <f t="shared" si="19"/>
        <v>1</v>
      </c>
      <c r="P69" s="1014"/>
      <c r="Q69" s="1004">
        <f t="shared" si="20"/>
        <v>0</v>
      </c>
      <c r="R69" s="1064">
        <f t="shared" si="21"/>
        <v>0</v>
      </c>
      <c r="S69" s="1003">
        <f t="shared" si="22"/>
        <v>0</v>
      </c>
    </row>
    <row r="70" spans="1:19">
      <c r="A70" s="1012"/>
      <c r="B70" s="1013"/>
      <c r="C70" s="1004">
        <f t="shared" si="13"/>
        <v>1</v>
      </c>
      <c r="D70" s="1014"/>
      <c r="E70" s="1004">
        <f t="shared" si="14"/>
        <v>1</v>
      </c>
      <c r="F70" s="1014"/>
      <c r="G70" s="1004">
        <f t="shared" si="15"/>
        <v>1</v>
      </c>
      <c r="H70" s="1014"/>
      <c r="I70" s="1004">
        <f t="shared" si="16"/>
        <v>1</v>
      </c>
      <c r="J70" s="1014"/>
      <c r="K70" s="1004">
        <f t="shared" si="17"/>
        <v>1</v>
      </c>
      <c r="L70" s="1014"/>
      <c r="M70" s="1004">
        <f t="shared" si="18"/>
        <v>1</v>
      </c>
      <c r="N70" s="1014"/>
      <c r="O70" s="1004">
        <f t="shared" si="19"/>
        <v>1</v>
      </c>
      <c r="P70" s="1014"/>
      <c r="Q70" s="1004">
        <f t="shared" si="20"/>
        <v>0</v>
      </c>
      <c r="R70" s="1064">
        <f t="shared" si="21"/>
        <v>0</v>
      </c>
      <c r="S70" s="1003">
        <f t="shared" si="22"/>
        <v>0</v>
      </c>
    </row>
    <row r="71" spans="1:19">
      <c r="A71" s="1012"/>
      <c r="B71" s="1013"/>
      <c r="C71" s="1004">
        <f t="shared" si="13"/>
        <v>1</v>
      </c>
      <c r="D71" s="1014"/>
      <c r="E71" s="1004">
        <f t="shared" si="14"/>
        <v>1</v>
      </c>
      <c r="F71" s="1014"/>
      <c r="G71" s="1004">
        <f t="shared" si="15"/>
        <v>1</v>
      </c>
      <c r="H71" s="1014"/>
      <c r="I71" s="1004">
        <f t="shared" si="16"/>
        <v>1</v>
      </c>
      <c r="J71" s="1014"/>
      <c r="K71" s="1004">
        <f t="shared" si="17"/>
        <v>1</v>
      </c>
      <c r="L71" s="1014"/>
      <c r="M71" s="1004">
        <f t="shared" si="18"/>
        <v>1</v>
      </c>
      <c r="N71" s="1014"/>
      <c r="O71" s="1004">
        <f t="shared" si="19"/>
        <v>1</v>
      </c>
      <c r="P71" s="1014"/>
      <c r="Q71" s="1004">
        <f t="shared" si="20"/>
        <v>0</v>
      </c>
      <c r="R71" s="1064">
        <f t="shared" si="21"/>
        <v>0</v>
      </c>
      <c r="S71" s="1003">
        <f t="shared" si="22"/>
        <v>0</v>
      </c>
    </row>
    <row r="72" spans="1:19">
      <c r="A72" s="1012"/>
      <c r="B72" s="1013"/>
      <c r="C72" s="1004">
        <f t="shared" si="13"/>
        <v>1</v>
      </c>
      <c r="D72" s="1014"/>
      <c r="E72" s="1004">
        <f t="shared" si="14"/>
        <v>1</v>
      </c>
      <c r="F72" s="1014"/>
      <c r="G72" s="1004">
        <f t="shared" si="15"/>
        <v>1</v>
      </c>
      <c r="H72" s="1014"/>
      <c r="I72" s="1004">
        <f t="shared" si="16"/>
        <v>1</v>
      </c>
      <c r="J72" s="1014"/>
      <c r="K72" s="1004">
        <f t="shared" si="17"/>
        <v>1</v>
      </c>
      <c r="L72" s="1014"/>
      <c r="M72" s="1004">
        <f t="shared" si="18"/>
        <v>1</v>
      </c>
      <c r="N72" s="1014"/>
      <c r="O72" s="1004">
        <f t="shared" si="19"/>
        <v>1</v>
      </c>
      <c r="P72" s="1014"/>
      <c r="Q72" s="1004">
        <f t="shared" si="20"/>
        <v>0</v>
      </c>
      <c r="R72" s="1064">
        <f t="shared" si="21"/>
        <v>0</v>
      </c>
      <c r="S72" s="1003">
        <f t="shared" si="22"/>
        <v>0</v>
      </c>
    </row>
    <row r="73" spans="1:19">
      <c r="A73" s="1012"/>
      <c r="B73" s="1013"/>
      <c r="C73" s="1004">
        <f t="shared" si="13"/>
        <v>1</v>
      </c>
      <c r="D73" s="1014"/>
      <c r="E73" s="1004">
        <f t="shared" si="14"/>
        <v>1</v>
      </c>
      <c r="F73" s="1014"/>
      <c r="G73" s="1004">
        <f t="shared" si="15"/>
        <v>1</v>
      </c>
      <c r="H73" s="1014"/>
      <c r="I73" s="1004">
        <f t="shared" si="16"/>
        <v>1</v>
      </c>
      <c r="J73" s="1014"/>
      <c r="K73" s="1004">
        <f t="shared" si="17"/>
        <v>1</v>
      </c>
      <c r="L73" s="1014"/>
      <c r="M73" s="1004">
        <f t="shared" si="18"/>
        <v>1</v>
      </c>
      <c r="N73" s="1014"/>
      <c r="O73" s="1004">
        <f t="shared" si="19"/>
        <v>1</v>
      </c>
      <c r="P73" s="1014"/>
      <c r="Q73" s="1004">
        <f t="shared" si="20"/>
        <v>0</v>
      </c>
      <c r="R73" s="1064">
        <f t="shared" si="21"/>
        <v>0</v>
      </c>
      <c r="S73" s="1003">
        <f t="shared" si="22"/>
        <v>0</v>
      </c>
    </row>
    <row r="74" spans="1:19">
      <c r="A74" s="1012"/>
      <c r="B74" s="1013"/>
      <c r="C74" s="1004">
        <f t="shared" si="13"/>
        <v>1</v>
      </c>
      <c r="D74" s="1014"/>
      <c r="E74" s="1004">
        <f t="shared" si="14"/>
        <v>1</v>
      </c>
      <c r="F74" s="1014"/>
      <c r="G74" s="1004">
        <f t="shared" si="15"/>
        <v>1</v>
      </c>
      <c r="H74" s="1014"/>
      <c r="I74" s="1004">
        <f t="shared" si="16"/>
        <v>1</v>
      </c>
      <c r="J74" s="1014"/>
      <c r="K74" s="1004">
        <f t="shared" si="17"/>
        <v>1</v>
      </c>
      <c r="L74" s="1014"/>
      <c r="M74" s="1004">
        <f t="shared" si="18"/>
        <v>1</v>
      </c>
      <c r="N74" s="1014"/>
      <c r="O74" s="1004">
        <f t="shared" si="19"/>
        <v>1</v>
      </c>
      <c r="P74" s="1014"/>
      <c r="Q74" s="1004">
        <f t="shared" si="20"/>
        <v>0</v>
      </c>
      <c r="R74" s="1064">
        <f t="shared" si="21"/>
        <v>0</v>
      </c>
      <c r="S74" s="1003">
        <f t="shared" si="22"/>
        <v>0</v>
      </c>
    </row>
    <row r="75" spans="1:19">
      <c r="A75" s="1012"/>
      <c r="B75" s="1013"/>
      <c r="C75" s="1004">
        <f t="shared" si="13"/>
        <v>1</v>
      </c>
      <c r="D75" s="1014"/>
      <c r="E75" s="1004">
        <f t="shared" si="14"/>
        <v>1</v>
      </c>
      <c r="F75" s="1014"/>
      <c r="G75" s="1004">
        <f t="shared" si="15"/>
        <v>1</v>
      </c>
      <c r="H75" s="1014"/>
      <c r="I75" s="1004">
        <f t="shared" si="16"/>
        <v>1</v>
      </c>
      <c r="J75" s="1014"/>
      <c r="K75" s="1004">
        <f t="shared" si="17"/>
        <v>1</v>
      </c>
      <c r="L75" s="1014"/>
      <c r="M75" s="1004">
        <f t="shared" si="18"/>
        <v>1</v>
      </c>
      <c r="N75" s="1014"/>
      <c r="O75" s="1004">
        <f t="shared" si="19"/>
        <v>1</v>
      </c>
      <c r="P75" s="1014"/>
      <c r="Q75" s="1004">
        <f t="shared" si="20"/>
        <v>0</v>
      </c>
      <c r="R75" s="1064">
        <f t="shared" si="21"/>
        <v>0</v>
      </c>
      <c r="S75" s="1003">
        <f t="shared" si="22"/>
        <v>0</v>
      </c>
    </row>
    <row r="76" spans="1:19">
      <c r="A76" s="1012"/>
      <c r="B76" s="1013"/>
      <c r="C76" s="1004">
        <f t="shared" si="13"/>
        <v>1</v>
      </c>
      <c r="D76" s="1014"/>
      <c r="E76" s="1004">
        <f t="shared" si="14"/>
        <v>1</v>
      </c>
      <c r="F76" s="1014"/>
      <c r="G76" s="1004">
        <f t="shared" si="15"/>
        <v>1</v>
      </c>
      <c r="H76" s="1014"/>
      <c r="I76" s="1004">
        <f t="shared" si="16"/>
        <v>1</v>
      </c>
      <c r="J76" s="1014"/>
      <c r="K76" s="1004">
        <f t="shared" si="17"/>
        <v>1</v>
      </c>
      <c r="L76" s="1014"/>
      <c r="M76" s="1004">
        <f t="shared" si="18"/>
        <v>1</v>
      </c>
      <c r="N76" s="1014"/>
      <c r="O76" s="1004">
        <f t="shared" si="19"/>
        <v>1</v>
      </c>
      <c r="P76" s="1014"/>
      <c r="Q76" s="1004">
        <f t="shared" si="20"/>
        <v>0</v>
      </c>
      <c r="R76" s="1064">
        <f t="shared" si="21"/>
        <v>0</v>
      </c>
      <c r="S76" s="1003">
        <f t="shared" si="22"/>
        <v>0</v>
      </c>
    </row>
    <row r="77" spans="1:19">
      <c r="A77" s="1012"/>
      <c r="B77" s="1013"/>
      <c r="C77" s="1004">
        <f t="shared" si="13"/>
        <v>1</v>
      </c>
      <c r="D77" s="1014"/>
      <c r="E77" s="1004">
        <f t="shared" si="14"/>
        <v>1</v>
      </c>
      <c r="F77" s="1014"/>
      <c r="G77" s="1004">
        <f t="shared" si="15"/>
        <v>1</v>
      </c>
      <c r="H77" s="1014"/>
      <c r="I77" s="1004">
        <f t="shared" si="16"/>
        <v>1</v>
      </c>
      <c r="J77" s="1014"/>
      <c r="K77" s="1004">
        <f t="shared" si="17"/>
        <v>1</v>
      </c>
      <c r="L77" s="1014"/>
      <c r="M77" s="1004">
        <f t="shared" si="18"/>
        <v>1</v>
      </c>
      <c r="N77" s="1014"/>
      <c r="O77" s="1004">
        <f t="shared" si="19"/>
        <v>1</v>
      </c>
      <c r="P77" s="1014"/>
      <c r="Q77" s="1004">
        <f t="shared" si="20"/>
        <v>0</v>
      </c>
      <c r="R77" s="1064">
        <f t="shared" si="21"/>
        <v>0</v>
      </c>
      <c r="S77" s="1003">
        <f t="shared" si="22"/>
        <v>0</v>
      </c>
    </row>
    <row r="78" spans="1:19">
      <c r="A78" s="1012"/>
      <c r="B78" s="1013"/>
      <c r="C78" s="1004">
        <f t="shared" si="13"/>
        <v>1</v>
      </c>
      <c r="D78" s="1014"/>
      <c r="E78" s="1004">
        <f t="shared" si="14"/>
        <v>1</v>
      </c>
      <c r="F78" s="1014"/>
      <c r="G78" s="1004">
        <f t="shared" si="15"/>
        <v>1</v>
      </c>
      <c r="H78" s="1014"/>
      <c r="I78" s="1004">
        <f t="shared" si="16"/>
        <v>1</v>
      </c>
      <c r="J78" s="1014"/>
      <c r="K78" s="1004">
        <f t="shared" si="17"/>
        <v>1</v>
      </c>
      <c r="L78" s="1014"/>
      <c r="M78" s="1004">
        <f t="shared" si="18"/>
        <v>1</v>
      </c>
      <c r="N78" s="1014"/>
      <c r="O78" s="1004">
        <f t="shared" si="19"/>
        <v>1</v>
      </c>
      <c r="P78" s="1014"/>
      <c r="Q78" s="1004">
        <f t="shared" si="20"/>
        <v>0</v>
      </c>
      <c r="R78" s="1064">
        <f t="shared" si="21"/>
        <v>0</v>
      </c>
      <c r="S78" s="1003">
        <f t="shared" ref="S78:S122" si="23">ROUND(R78*B78/10000,0)</f>
        <v>0</v>
      </c>
    </row>
    <row r="79" spans="1:19">
      <c r="A79" s="1012"/>
      <c r="B79" s="1013"/>
      <c r="C79" s="1004">
        <f t="shared" si="13"/>
        <v>1</v>
      </c>
      <c r="D79" s="1014"/>
      <c r="E79" s="1004">
        <f t="shared" si="14"/>
        <v>1</v>
      </c>
      <c r="F79" s="1014"/>
      <c r="G79" s="1004">
        <f t="shared" si="15"/>
        <v>1</v>
      </c>
      <c r="H79" s="1014"/>
      <c r="I79" s="1004">
        <f t="shared" si="16"/>
        <v>1</v>
      </c>
      <c r="J79" s="1014"/>
      <c r="K79" s="1004">
        <f t="shared" si="17"/>
        <v>1</v>
      </c>
      <c r="L79" s="1014"/>
      <c r="M79" s="1004">
        <f t="shared" si="18"/>
        <v>1</v>
      </c>
      <c r="N79" s="1014"/>
      <c r="O79" s="1004">
        <f t="shared" si="19"/>
        <v>1</v>
      </c>
      <c r="P79" s="1014"/>
      <c r="Q79" s="1004">
        <f t="shared" si="20"/>
        <v>0</v>
      </c>
      <c r="R79" s="1064">
        <f t="shared" si="21"/>
        <v>0</v>
      </c>
      <c r="S79" s="1003">
        <f t="shared" si="23"/>
        <v>0</v>
      </c>
    </row>
    <row r="80" spans="1:19">
      <c r="A80" s="1012"/>
      <c r="B80" s="1013"/>
      <c r="C80" s="1004">
        <f t="shared" si="13"/>
        <v>1</v>
      </c>
      <c r="D80" s="1014"/>
      <c r="E80" s="1004">
        <f t="shared" si="14"/>
        <v>1</v>
      </c>
      <c r="F80" s="1014"/>
      <c r="G80" s="1004">
        <f t="shared" si="15"/>
        <v>1</v>
      </c>
      <c r="H80" s="1014"/>
      <c r="I80" s="1004">
        <f t="shared" si="16"/>
        <v>1</v>
      </c>
      <c r="J80" s="1014"/>
      <c r="K80" s="1004">
        <f t="shared" si="17"/>
        <v>1</v>
      </c>
      <c r="L80" s="1014"/>
      <c r="M80" s="1004">
        <f t="shared" si="18"/>
        <v>1</v>
      </c>
      <c r="N80" s="1014"/>
      <c r="O80" s="1004">
        <f t="shared" si="19"/>
        <v>1</v>
      </c>
      <c r="P80" s="1014"/>
      <c r="Q80" s="1004">
        <f t="shared" si="20"/>
        <v>0</v>
      </c>
      <c r="R80" s="1064">
        <f t="shared" si="21"/>
        <v>0</v>
      </c>
      <c r="S80" s="1003">
        <f t="shared" si="23"/>
        <v>0</v>
      </c>
    </row>
    <row r="81" spans="1:19">
      <c r="A81" s="1012"/>
      <c r="B81" s="1013"/>
      <c r="C81" s="1004">
        <f t="shared" si="13"/>
        <v>1</v>
      </c>
      <c r="D81" s="1014"/>
      <c r="E81" s="1004">
        <f t="shared" si="14"/>
        <v>1</v>
      </c>
      <c r="F81" s="1014"/>
      <c r="G81" s="1004">
        <f t="shared" si="15"/>
        <v>1</v>
      </c>
      <c r="H81" s="1014"/>
      <c r="I81" s="1004">
        <f t="shared" si="16"/>
        <v>1</v>
      </c>
      <c r="J81" s="1014"/>
      <c r="K81" s="1004">
        <f t="shared" si="17"/>
        <v>1</v>
      </c>
      <c r="L81" s="1014"/>
      <c r="M81" s="1004">
        <f t="shared" si="18"/>
        <v>1</v>
      </c>
      <c r="N81" s="1014"/>
      <c r="O81" s="1004">
        <f t="shared" si="19"/>
        <v>1</v>
      </c>
      <c r="P81" s="1014"/>
      <c r="Q81" s="1004">
        <f t="shared" si="20"/>
        <v>0</v>
      </c>
      <c r="R81" s="1064">
        <f t="shared" si="21"/>
        <v>0</v>
      </c>
      <c r="S81" s="1003">
        <f t="shared" si="23"/>
        <v>0</v>
      </c>
    </row>
    <row r="82" spans="1:19">
      <c r="A82" s="1012"/>
      <c r="B82" s="1013"/>
      <c r="C82" s="1004">
        <f t="shared" si="13"/>
        <v>1</v>
      </c>
      <c r="D82" s="1014"/>
      <c r="E82" s="1004">
        <f t="shared" si="14"/>
        <v>1</v>
      </c>
      <c r="F82" s="1014"/>
      <c r="G82" s="1004">
        <f t="shared" si="15"/>
        <v>1</v>
      </c>
      <c r="H82" s="1014"/>
      <c r="I82" s="1004">
        <f t="shared" si="16"/>
        <v>1</v>
      </c>
      <c r="J82" s="1014"/>
      <c r="K82" s="1004">
        <f t="shared" si="17"/>
        <v>1</v>
      </c>
      <c r="L82" s="1014"/>
      <c r="M82" s="1004">
        <f t="shared" si="18"/>
        <v>1</v>
      </c>
      <c r="N82" s="1014"/>
      <c r="O82" s="1004">
        <f t="shared" si="19"/>
        <v>1</v>
      </c>
      <c r="P82" s="1014"/>
      <c r="Q82" s="1004">
        <f t="shared" si="20"/>
        <v>0</v>
      </c>
      <c r="R82" s="1064">
        <f t="shared" si="21"/>
        <v>0</v>
      </c>
      <c r="S82" s="1003">
        <f t="shared" si="23"/>
        <v>0</v>
      </c>
    </row>
    <row r="83" spans="1:19">
      <c r="A83" s="1012"/>
      <c r="B83" s="1013"/>
      <c r="C83" s="1004">
        <f t="shared" si="13"/>
        <v>1</v>
      </c>
      <c r="D83" s="1014"/>
      <c r="E83" s="1004">
        <f t="shared" si="14"/>
        <v>1</v>
      </c>
      <c r="F83" s="1014"/>
      <c r="G83" s="1004">
        <f t="shared" si="15"/>
        <v>1</v>
      </c>
      <c r="H83" s="1014"/>
      <c r="I83" s="1004">
        <f t="shared" si="16"/>
        <v>1</v>
      </c>
      <c r="J83" s="1014"/>
      <c r="K83" s="1004">
        <f t="shared" si="17"/>
        <v>1</v>
      </c>
      <c r="L83" s="1014"/>
      <c r="M83" s="1004">
        <f t="shared" si="18"/>
        <v>1</v>
      </c>
      <c r="N83" s="1014"/>
      <c r="O83" s="1004">
        <f t="shared" si="19"/>
        <v>1</v>
      </c>
      <c r="P83" s="1014"/>
      <c r="Q83" s="1004">
        <f t="shared" si="20"/>
        <v>0</v>
      </c>
      <c r="R83" s="1064">
        <f t="shared" si="21"/>
        <v>0</v>
      </c>
      <c r="S83" s="1003">
        <f t="shared" si="23"/>
        <v>0</v>
      </c>
    </row>
    <row r="84" spans="1:19">
      <c r="A84" s="1012"/>
      <c r="B84" s="1013"/>
      <c r="C84" s="1004">
        <f t="shared" si="13"/>
        <v>1</v>
      </c>
      <c r="D84" s="1014"/>
      <c r="E84" s="1004">
        <f t="shared" si="14"/>
        <v>1</v>
      </c>
      <c r="F84" s="1014"/>
      <c r="G84" s="1004">
        <f t="shared" si="15"/>
        <v>1</v>
      </c>
      <c r="H84" s="1014"/>
      <c r="I84" s="1004">
        <f t="shared" si="16"/>
        <v>1</v>
      </c>
      <c r="J84" s="1014"/>
      <c r="K84" s="1004">
        <f t="shared" si="17"/>
        <v>1</v>
      </c>
      <c r="L84" s="1014"/>
      <c r="M84" s="1004">
        <f t="shared" si="18"/>
        <v>1</v>
      </c>
      <c r="N84" s="1014"/>
      <c r="O84" s="1004">
        <f t="shared" si="19"/>
        <v>1</v>
      </c>
      <c r="P84" s="1014"/>
      <c r="Q84" s="1004">
        <f t="shared" si="20"/>
        <v>0</v>
      </c>
      <c r="R84" s="1064">
        <f t="shared" si="21"/>
        <v>0</v>
      </c>
      <c r="S84" s="1003">
        <f t="shared" si="23"/>
        <v>0</v>
      </c>
    </row>
    <row r="85" spans="1:19">
      <c r="A85" s="1012"/>
      <c r="B85" s="1013"/>
      <c r="C85" s="1004">
        <f t="shared" si="13"/>
        <v>1</v>
      </c>
      <c r="D85" s="1014"/>
      <c r="E85" s="1004">
        <f t="shared" si="14"/>
        <v>1</v>
      </c>
      <c r="F85" s="1014"/>
      <c r="G85" s="1004">
        <f t="shared" si="15"/>
        <v>1</v>
      </c>
      <c r="H85" s="1014"/>
      <c r="I85" s="1004">
        <f t="shared" si="16"/>
        <v>1</v>
      </c>
      <c r="J85" s="1014"/>
      <c r="K85" s="1004">
        <f t="shared" si="17"/>
        <v>1</v>
      </c>
      <c r="L85" s="1014"/>
      <c r="M85" s="1004">
        <f t="shared" si="18"/>
        <v>1</v>
      </c>
      <c r="N85" s="1014"/>
      <c r="O85" s="1004">
        <f t="shared" si="19"/>
        <v>1</v>
      </c>
      <c r="P85" s="1014"/>
      <c r="Q85" s="1004">
        <f t="shared" si="20"/>
        <v>0</v>
      </c>
      <c r="R85" s="1064">
        <f t="shared" si="21"/>
        <v>0</v>
      </c>
      <c r="S85" s="1003">
        <f t="shared" si="23"/>
        <v>0</v>
      </c>
    </row>
    <row r="86" spans="1:19">
      <c r="A86" s="1012"/>
      <c r="B86" s="1013"/>
      <c r="C86" s="1004">
        <f t="shared" si="13"/>
        <v>1</v>
      </c>
      <c r="D86" s="1014"/>
      <c r="E86" s="1004">
        <f t="shared" si="14"/>
        <v>1</v>
      </c>
      <c r="F86" s="1014"/>
      <c r="G86" s="1004">
        <f t="shared" si="15"/>
        <v>1</v>
      </c>
      <c r="H86" s="1014"/>
      <c r="I86" s="1004">
        <f t="shared" si="16"/>
        <v>1</v>
      </c>
      <c r="J86" s="1014"/>
      <c r="K86" s="1004">
        <f t="shared" si="17"/>
        <v>1</v>
      </c>
      <c r="L86" s="1014"/>
      <c r="M86" s="1004">
        <f t="shared" si="18"/>
        <v>1</v>
      </c>
      <c r="N86" s="1014"/>
      <c r="O86" s="1004">
        <f t="shared" si="19"/>
        <v>1</v>
      </c>
      <c r="P86" s="1014"/>
      <c r="Q86" s="1004">
        <f t="shared" si="20"/>
        <v>0</v>
      </c>
      <c r="R86" s="1064">
        <f t="shared" si="21"/>
        <v>0</v>
      </c>
      <c r="S86" s="1003">
        <f t="shared" si="23"/>
        <v>0</v>
      </c>
    </row>
    <row r="87" spans="1:19">
      <c r="A87" s="1012"/>
      <c r="B87" s="1013"/>
      <c r="C87" s="1004">
        <f t="shared" si="13"/>
        <v>1</v>
      </c>
      <c r="D87" s="1014"/>
      <c r="E87" s="1004">
        <f t="shared" si="14"/>
        <v>1</v>
      </c>
      <c r="F87" s="1014"/>
      <c r="G87" s="1004">
        <f t="shared" si="15"/>
        <v>1</v>
      </c>
      <c r="H87" s="1014"/>
      <c r="I87" s="1004">
        <f t="shared" si="16"/>
        <v>1</v>
      </c>
      <c r="J87" s="1014"/>
      <c r="K87" s="1004">
        <f t="shared" si="17"/>
        <v>1</v>
      </c>
      <c r="L87" s="1014"/>
      <c r="M87" s="1004">
        <f t="shared" si="18"/>
        <v>1</v>
      </c>
      <c r="N87" s="1014"/>
      <c r="O87" s="1004">
        <f t="shared" si="19"/>
        <v>1</v>
      </c>
      <c r="P87" s="1014"/>
      <c r="Q87" s="1004">
        <f t="shared" si="20"/>
        <v>0</v>
      </c>
      <c r="R87" s="1064">
        <f t="shared" si="21"/>
        <v>0</v>
      </c>
      <c r="S87" s="1003">
        <f t="shared" si="23"/>
        <v>0</v>
      </c>
    </row>
    <row r="88" spans="1:19">
      <c r="A88" s="1012"/>
      <c r="B88" s="1013"/>
      <c r="C88" s="1004">
        <f t="shared" si="13"/>
        <v>1</v>
      </c>
      <c r="D88" s="1014"/>
      <c r="E88" s="1004">
        <f t="shared" si="14"/>
        <v>1</v>
      </c>
      <c r="F88" s="1014"/>
      <c r="G88" s="1004">
        <f t="shared" si="15"/>
        <v>1</v>
      </c>
      <c r="H88" s="1014"/>
      <c r="I88" s="1004">
        <f t="shared" si="16"/>
        <v>1</v>
      </c>
      <c r="J88" s="1014"/>
      <c r="K88" s="1004">
        <f t="shared" si="17"/>
        <v>1</v>
      </c>
      <c r="L88" s="1014"/>
      <c r="M88" s="1004">
        <f t="shared" si="18"/>
        <v>1</v>
      </c>
      <c r="N88" s="1014"/>
      <c r="O88" s="1004">
        <f t="shared" si="19"/>
        <v>1</v>
      </c>
      <c r="P88" s="1014"/>
      <c r="Q88" s="1004">
        <f t="shared" si="20"/>
        <v>0</v>
      </c>
      <c r="R88" s="1064">
        <f t="shared" si="21"/>
        <v>0</v>
      </c>
      <c r="S88" s="1003">
        <f t="shared" si="23"/>
        <v>0</v>
      </c>
    </row>
    <row r="89" spans="1:19">
      <c r="A89" s="1012"/>
      <c r="B89" s="1013"/>
      <c r="C89" s="1004">
        <f t="shared" si="13"/>
        <v>1</v>
      </c>
      <c r="D89" s="1014"/>
      <c r="E89" s="1004">
        <f t="shared" si="14"/>
        <v>1</v>
      </c>
      <c r="F89" s="1014"/>
      <c r="G89" s="1004">
        <f t="shared" si="15"/>
        <v>1</v>
      </c>
      <c r="H89" s="1014"/>
      <c r="I89" s="1004">
        <f t="shared" si="16"/>
        <v>1</v>
      </c>
      <c r="J89" s="1014"/>
      <c r="K89" s="1004">
        <f t="shared" si="17"/>
        <v>1</v>
      </c>
      <c r="L89" s="1014"/>
      <c r="M89" s="1004">
        <f t="shared" si="18"/>
        <v>1</v>
      </c>
      <c r="N89" s="1014"/>
      <c r="O89" s="1004">
        <f t="shared" si="19"/>
        <v>1</v>
      </c>
      <c r="P89" s="1014"/>
      <c r="Q89" s="1004">
        <f t="shared" si="20"/>
        <v>0</v>
      </c>
      <c r="R89" s="1064">
        <f t="shared" si="21"/>
        <v>0</v>
      </c>
      <c r="S89" s="1003">
        <f t="shared" si="23"/>
        <v>0</v>
      </c>
    </row>
    <row r="90" spans="1:19">
      <c r="A90" s="1012"/>
      <c r="B90" s="1013"/>
      <c r="C90" s="1004">
        <f t="shared" ref="C90:C153" si="24">IF(B90="",1,(LOOKUP(B90,$3:$3,$4:$4)-LOOKUP($B$24,$3:$3,$4:$4)+100)/100)</f>
        <v>1</v>
      </c>
      <c r="D90" s="1014"/>
      <c r="E90" s="1004">
        <f t="shared" ref="E90:E153" si="25">(SUMIF($5:$5,D90,$6:$6)-SUMIF($5:$5,$D$24,$6:$6)+100)/100</f>
        <v>1</v>
      </c>
      <c r="F90" s="1014"/>
      <c r="G90" s="1004">
        <f t="shared" ref="G90:G153" si="26">(SUMIF($7:$7,F90,$8:$8)-SUMIF($7:$7,$F$24,$8:$8)+100)/100</f>
        <v>1</v>
      </c>
      <c r="H90" s="1014"/>
      <c r="I90" s="1004">
        <f t="shared" ref="I90:I153" si="27">(SUMIF($9:$9,H90,$10:$10)-SUMIF($9:$9,$H$24,$10:$10)+100)/100</f>
        <v>1</v>
      </c>
      <c r="J90" s="1014"/>
      <c r="K90" s="1004">
        <f t="shared" ref="K90:K153" si="28">(SUMIF($11:$11,J90,$12:$12)-SUMIF($11:$11,$J$24,$12:$12)+100)/100</f>
        <v>1</v>
      </c>
      <c r="L90" s="1014"/>
      <c r="M90" s="1004">
        <f t="shared" ref="M90:M153" si="29">(SUMIF($13:$13,L90,$14:$14)-SUMIF($13:$13,$L$24,$14:$14)+100)/100</f>
        <v>1</v>
      </c>
      <c r="N90" s="1014"/>
      <c r="O90" s="1004">
        <f t="shared" ref="O90:O153" si="30">(SUMIF($15:$15,N90,$16:$16)-SUMIF($15:$15,$N$24,$16:$16)+100)/100</f>
        <v>1</v>
      </c>
      <c r="P90" s="1014"/>
      <c r="Q90" s="1004">
        <f t="shared" ref="Q90:Q153" si="31">(SUMIF($17:$17,P90,$18:$18)-SUMIF($17:$17,$P$24,$18:$18)+100)/100</f>
        <v>0</v>
      </c>
      <c r="R90" s="1064">
        <f t="shared" ref="R90:R153" si="32">IF(B90="",0,ROUND($R$24*C90*E90*G90*I90*K90*M90*O90*Q90,0))</f>
        <v>0</v>
      </c>
      <c r="S90" s="1003">
        <f t="shared" si="23"/>
        <v>0</v>
      </c>
    </row>
    <row r="91" spans="1:19">
      <c r="A91" s="1012"/>
      <c r="B91" s="1013"/>
      <c r="C91" s="1004">
        <f t="shared" si="24"/>
        <v>1</v>
      </c>
      <c r="D91" s="1014"/>
      <c r="E91" s="1004">
        <f t="shared" si="25"/>
        <v>1</v>
      </c>
      <c r="F91" s="1014"/>
      <c r="G91" s="1004">
        <f t="shared" si="26"/>
        <v>1</v>
      </c>
      <c r="H91" s="1014"/>
      <c r="I91" s="1004">
        <f t="shared" si="27"/>
        <v>1</v>
      </c>
      <c r="J91" s="1014"/>
      <c r="K91" s="1004">
        <f t="shared" si="28"/>
        <v>1</v>
      </c>
      <c r="L91" s="1014"/>
      <c r="M91" s="1004">
        <f t="shared" si="29"/>
        <v>1</v>
      </c>
      <c r="N91" s="1014"/>
      <c r="O91" s="1004">
        <f t="shared" si="30"/>
        <v>1</v>
      </c>
      <c r="P91" s="1014"/>
      <c r="Q91" s="1004">
        <f t="shared" si="31"/>
        <v>0</v>
      </c>
      <c r="R91" s="1064">
        <f t="shared" si="32"/>
        <v>0</v>
      </c>
      <c r="S91" s="1003">
        <f t="shared" si="23"/>
        <v>0</v>
      </c>
    </row>
    <row r="92" spans="1:19">
      <c r="A92" s="1012"/>
      <c r="B92" s="1013"/>
      <c r="C92" s="1004">
        <f t="shared" si="24"/>
        <v>1</v>
      </c>
      <c r="D92" s="1014"/>
      <c r="E92" s="1004">
        <f t="shared" si="25"/>
        <v>1</v>
      </c>
      <c r="F92" s="1014"/>
      <c r="G92" s="1004">
        <f t="shared" si="26"/>
        <v>1</v>
      </c>
      <c r="H92" s="1014"/>
      <c r="I92" s="1004">
        <f t="shared" si="27"/>
        <v>1</v>
      </c>
      <c r="J92" s="1014"/>
      <c r="K92" s="1004">
        <f t="shared" si="28"/>
        <v>1</v>
      </c>
      <c r="L92" s="1014"/>
      <c r="M92" s="1004">
        <f t="shared" si="29"/>
        <v>1</v>
      </c>
      <c r="N92" s="1014"/>
      <c r="O92" s="1004">
        <f t="shared" si="30"/>
        <v>1</v>
      </c>
      <c r="P92" s="1014"/>
      <c r="Q92" s="1004">
        <f t="shared" si="31"/>
        <v>0</v>
      </c>
      <c r="R92" s="1064">
        <f t="shared" si="32"/>
        <v>0</v>
      </c>
      <c r="S92" s="1003">
        <f t="shared" si="23"/>
        <v>0</v>
      </c>
    </row>
    <row r="93" spans="1:19">
      <c r="A93" s="1012"/>
      <c r="B93" s="1013"/>
      <c r="C93" s="1004">
        <f t="shared" si="24"/>
        <v>1</v>
      </c>
      <c r="D93" s="1014"/>
      <c r="E93" s="1004">
        <f t="shared" si="25"/>
        <v>1</v>
      </c>
      <c r="F93" s="1014"/>
      <c r="G93" s="1004">
        <f t="shared" si="26"/>
        <v>1</v>
      </c>
      <c r="H93" s="1014"/>
      <c r="I93" s="1004">
        <f t="shared" si="27"/>
        <v>1</v>
      </c>
      <c r="J93" s="1014"/>
      <c r="K93" s="1004">
        <f t="shared" si="28"/>
        <v>1</v>
      </c>
      <c r="L93" s="1014"/>
      <c r="M93" s="1004">
        <f t="shared" si="29"/>
        <v>1</v>
      </c>
      <c r="N93" s="1014"/>
      <c r="O93" s="1004">
        <f t="shared" si="30"/>
        <v>1</v>
      </c>
      <c r="P93" s="1014"/>
      <c r="Q93" s="1004">
        <f t="shared" si="31"/>
        <v>0</v>
      </c>
      <c r="R93" s="1064">
        <f t="shared" si="32"/>
        <v>0</v>
      </c>
      <c r="S93" s="1003">
        <f t="shared" si="23"/>
        <v>0</v>
      </c>
    </row>
    <row r="94" spans="1:19">
      <c r="A94" s="1012"/>
      <c r="B94" s="1013"/>
      <c r="C94" s="1004">
        <f t="shared" si="24"/>
        <v>1</v>
      </c>
      <c r="D94" s="1014"/>
      <c r="E94" s="1004">
        <f t="shared" si="25"/>
        <v>1</v>
      </c>
      <c r="F94" s="1014"/>
      <c r="G94" s="1004">
        <f t="shared" si="26"/>
        <v>1</v>
      </c>
      <c r="H94" s="1014"/>
      <c r="I94" s="1004">
        <f t="shared" si="27"/>
        <v>1</v>
      </c>
      <c r="J94" s="1014"/>
      <c r="K94" s="1004">
        <f t="shared" si="28"/>
        <v>1</v>
      </c>
      <c r="L94" s="1014"/>
      <c r="M94" s="1004">
        <f t="shared" si="29"/>
        <v>1</v>
      </c>
      <c r="N94" s="1014"/>
      <c r="O94" s="1004">
        <f t="shared" si="30"/>
        <v>1</v>
      </c>
      <c r="P94" s="1014"/>
      <c r="Q94" s="1004">
        <f t="shared" si="31"/>
        <v>0</v>
      </c>
      <c r="R94" s="1064">
        <f t="shared" si="32"/>
        <v>0</v>
      </c>
      <c r="S94" s="1003">
        <f t="shared" si="23"/>
        <v>0</v>
      </c>
    </row>
    <row r="95" spans="1:19">
      <c r="A95" s="1012"/>
      <c r="B95" s="1013"/>
      <c r="C95" s="1004">
        <f t="shared" si="24"/>
        <v>1</v>
      </c>
      <c r="D95" s="1014"/>
      <c r="E95" s="1004">
        <f t="shared" si="25"/>
        <v>1</v>
      </c>
      <c r="F95" s="1014"/>
      <c r="G95" s="1004">
        <f t="shared" si="26"/>
        <v>1</v>
      </c>
      <c r="H95" s="1014"/>
      <c r="I95" s="1004">
        <f t="shared" si="27"/>
        <v>1</v>
      </c>
      <c r="J95" s="1014"/>
      <c r="K95" s="1004">
        <f t="shared" si="28"/>
        <v>1</v>
      </c>
      <c r="L95" s="1014"/>
      <c r="M95" s="1004">
        <f t="shared" si="29"/>
        <v>1</v>
      </c>
      <c r="N95" s="1014"/>
      <c r="O95" s="1004">
        <f t="shared" si="30"/>
        <v>1</v>
      </c>
      <c r="P95" s="1014"/>
      <c r="Q95" s="1004">
        <f t="shared" si="31"/>
        <v>0</v>
      </c>
      <c r="R95" s="1064">
        <f t="shared" si="32"/>
        <v>0</v>
      </c>
      <c r="S95" s="1003">
        <f t="shared" si="23"/>
        <v>0</v>
      </c>
    </row>
    <row r="96" spans="1:19">
      <c r="A96" s="1012"/>
      <c r="B96" s="1013"/>
      <c r="C96" s="1004">
        <f t="shared" si="24"/>
        <v>1</v>
      </c>
      <c r="D96" s="1014"/>
      <c r="E96" s="1004">
        <f t="shared" si="25"/>
        <v>1</v>
      </c>
      <c r="F96" s="1014"/>
      <c r="G96" s="1004">
        <f t="shared" si="26"/>
        <v>1</v>
      </c>
      <c r="H96" s="1014"/>
      <c r="I96" s="1004">
        <f t="shared" si="27"/>
        <v>1</v>
      </c>
      <c r="J96" s="1014"/>
      <c r="K96" s="1004">
        <f t="shared" si="28"/>
        <v>1</v>
      </c>
      <c r="L96" s="1014"/>
      <c r="M96" s="1004">
        <f t="shared" si="29"/>
        <v>1</v>
      </c>
      <c r="N96" s="1014"/>
      <c r="O96" s="1004">
        <f t="shared" si="30"/>
        <v>1</v>
      </c>
      <c r="P96" s="1014"/>
      <c r="Q96" s="1004">
        <f t="shared" si="31"/>
        <v>0</v>
      </c>
      <c r="R96" s="1064">
        <f t="shared" si="32"/>
        <v>0</v>
      </c>
      <c r="S96" s="1003">
        <f t="shared" si="23"/>
        <v>0</v>
      </c>
    </row>
    <row r="97" spans="1:19">
      <c r="A97" s="1012"/>
      <c r="B97" s="1013"/>
      <c r="C97" s="1004">
        <f t="shared" si="24"/>
        <v>1</v>
      </c>
      <c r="D97" s="1014"/>
      <c r="E97" s="1004">
        <f t="shared" si="25"/>
        <v>1</v>
      </c>
      <c r="F97" s="1014"/>
      <c r="G97" s="1004">
        <f t="shared" si="26"/>
        <v>1</v>
      </c>
      <c r="H97" s="1014"/>
      <c r="I97" s="1004">
        <f t="shared" si="27"/>
        <v>1</v>
      </c>
      <c r="J97" s="1014"/>
      <c r="K97" s="1004">
        <f t="shared" si="28"/>
        <v>1</v>
      </c>
      <c r="L97" s="1014"/>
      <c r="M97" s="1004">
        <f t="shared" si="29"/>
        <v>1</v>
      </c>
      <c r="N97" s="1014"/>
      <c r="O97" s="1004">
        <f t="shared" si="30"/>
        <v>1</v>
      </c>
      <c r="P97" s="1014"/>
      <c r="Q97" s="1004">
        <f t="shared" si="31"/>
        <v>0</v>
      </c>
      <c r="R97" s="1064">
        <f t="shared" si="32"/>
        <v>0</v>
      </c>
      <c r="S97" s="1003">
        <f t="shared" si="23"/>
        <v>0</v>
      </c>
    </row>
    <row r="98" spans="1:19">
      <c r="A98" s="1012"/>
      <c r="B98" s="1013"/>
      <c r="C98" s="1004">
        <f t="shared" si="24"/>
        <v>1</v>
      </c>
      <c r="D98" s="1014"/>
      <c r="E98" s="1004">
        <f t="shared" si="25"/>
        <v>1</v>
      </c>
      <c r="F98" s="1014"/>
      <c r="G98" s="1004">
        <f t="shared" si="26"/>
        <v>1</v>
      </c>
      <c r="H98" s="1014"/>
      <c r="I98" s="1004">
        <f t="shared" si="27"/>
        <v>1</v>
      </c>
      <c r="J98" s="1014"/>
      <c r="K98" s="1004">
        <f t="shared" si="28"/>
        <v>1</v>
      </c>
      <c r="L98" s="1014"/>
      <c r="M98" s="1004">
        <f t="shared" si="29"/>
        <v>1</v>
      </c>
      <c r="N98" s="1014"/>
      <c r="O98" s="1004">
        <f t="shared" si="30"/>
        <v>1</v>
      </c>
      <c r="P98" s="1014"/>
      <c r="Q98" s="1004">
        <f t="shared" si="31"/>
        <v>0</v>
      </c>
      <c r="R98" s="1064">
        <f t="shared" si="32"/>
        <v>0</v>
      </c>
      <c r="S98" s="1003">
        <f t="shared" si="23"/>
        <v>0</v>
      </c>
    </row>
    <row r="99" spans="1:19">
      <c r="A99" s="1012"/>
      <c r="B99" s="1013"/>
      <c r="C99" s="1004">
        <f t="shared" si="24"/>
        <v>1</v>
      </c>
      <c r="D99" s="1014"/>
      <c r="E99" s="1004">
        <f t="shared" si="25"/>
        <v>1</v>
      </c>
      <c r="F99" s="1014"/>
      <c r="G99" s="1004">
        <f t="shared" si="26"/>
        <v>1</v>
      </c>
      <c r="H99" s="1014"/>
      <c r="I99" s="1004">
        <f t="shared" si="27"/>
        <v>1</v>
      </c>
      <c r="J99" s="1014"/>
      <c r="K99" s="1004">
        <f t="shared" si="28"/>
        <v>1</v>
      </c>
      <c r="L99" s="1014"/>
      <c r="M99" s="1004">
        <f t="shared" si="29"/>
        <v>1</v>
      </c>
      <c r="N99" s="1014"/>
      <c r="O99" s="1004">
        <f t="shared" si="30"/>
        <v>1</v>
      </c>
      <c r="P99" s="1014"/>
      <c r="Q99" s="1004">
        <f t="shared" si="31"/>
        <v>0</v>
      </c>
      <c r="R99" s="1064">
        <f t="shared" si="32"/>
        <v>0</v>
      </c>
      <c r="S99" s="1003">
        <f t="shared" si="23"/>
        <v>0</v>
      </c>
    </row>
    <row r="100" spans="1:19">
      <c r="A100" s="1012"/>
      <c r="B100" s="1013"/>
      <c r="C100" s="1004">
        <f t="shared" si="24"/>
        <v>1</v>
      </c>
      <c r="D100" s="1014"/>
      <c r="E100" s="1004">
        <f t="shared" si="25"/>
        <v>1</v>
      </c>
      <c r="F100" s="1014"/>
      <c r="G100" s="1004">
        <f t="shared" si="26"/>
        <v>1</v>
      </c>
      <c r="H100" s="1014"/>
      <c r="I100" s="1004">
        <f t="shared" si="27"/>
        <v>1</v>
      </c>
      <c r="J100" s="1014"/>
      <c r="K100" s="1004">
        <f t="shared" si="28"/>
        <v>1</v>
      </c>
      <c r="L100" s="1014"/>
      <c r="M100" s="1004">
        <f t="shared" si="29"/>
        <v>1</v>
      </c>
      <c r="N100" s="1014"/>
      <c r="O100" s="1004">
        <f t="shared" si="30"/>
        <v>1</v>
      </c>
      <c r="P100" s="1014"/>
      <c r="Q100" s="1004">
        <f t="shared" si="31"/>
        <v>0</v>
      </c>
      <c r="R100" s="1064">
        <f t="shared" si="32"/>
        <v>0</v>
      </c>
      <c r="S100" s="1003">
        <f t="shared" si="23"/>
        <v>0</v>
      </c>
    </row>
    <row r="101" spans="1:19">
      <c r="A101" s="1012"/>
      <c r="B101" s="1013"/>
      <c r="C101" s="1004">
        <f t="shared" si="24"/>
        <v>1</v>
      </c>
      <c r="D101" s="1014"/>
      <c r="E101" s="1004">
        <f t="shared" si="25"/>
        <v>1</v>
      </c>
      <c r="F101" s="1014"/>
      <c r="G101" s="1004">
        <f t="shared" si="26"/>
        <v>1</v>
      </c>
      <c r="H101" s="1014"/>
      <c r="I101" s="1004">
        <f t="shared" si="27"/>
        <v>1</v>
      </c>
      <c r="J101" s="1014"/>
      <c r="K101" s="1004">
        <f t="shared" si="28"/>
        <v>1</v>
      </c>
      <c r="L101" s="1014"/>
      <c r="M101" s="1004">
        <f t="shared" si="29"/>
        <v>1</v>
      </c>
      <c r="N101" s="1014"/>
      <c r="O101" s="1004">
        <f t="shared" si="30"/>
        <v>1</v>
      </c>
      <c r="P101" s="1014"/>
      <c r="Q101" s="1004">
        <f t="shared" si="31"/>
        <v>0</v>
      </c>
      <c r="R101" s="1064">
        <f t="shared" si="32"/>
        <v>0</v>
      </c>
      <c r="S101" s="1003">
        <f t="shared" si="23"/>
        <v>0</v>
      </c>
    </row>
    <row r="102" spans="1:19">
      <c r="A102" s="1012"/>
      <c r="B102" s="1013"/>
      <c r="C102" s="1004">
        <f t="shared" si="24"/>
        <v>1</v>
      </c>
      <c r="D102" s="1014"/>
      <c r="E102" s="1004">
        <f t="shared" si="25"/>
        <v>1</v>
      </c>
      <c r="F102" s="1014"/>
      <c r="G102" s="1004">
        <f t="shared" si="26"/>
        <v>1</v>
      </c>
      <c r="H102" s="1014"/>
      <c r="I102" s="1004">
        <f t="shared" si="27"/>
        <v>1</v>
      </c>
      <c r="J102" s="1014"/>
      <c r="K102" s="1004">
        <f t="shared" si="28"/>
        <v>1</v>
      </c>
      <c r="L102" s="1014"/>
      <c r="M102" s="1004">
        <f t="shared" si="29"/>
        <v>1</v>
      </c>
      <c r="N102" s="1014"/>
      <c r="O102" s="1004">
        <f t="shared" si="30"/>
        <v>1</v>
      </c>
      <c r="P102" s="1014"/>
      <c r="Q102" s="1004">
        <f t="shared" si="31"/>
        <v>0</v>
      </c>
      <c r="R102" s="1064">
        <f t="shared" si="32"/>
        <v>0</v>
      </c>
      <c r="S102" s="1003">
        <f t="shared" si="23"/>
        <v>0</v>
      </c>
    </row>
    <row r="103" spans="1:19">
      <c r="A103" s="1012"/>
      <c r="B103" s="1013"/>
      <c r="C103" s="1004">
        <f t="shared" si="24"/>
        <v>1</v>
      </c>
      <c r="D103" s="1014"/>
      <c r="E103" s="1004">
        <f t="shared" si="25"/>
        <v>1</v>
      </c>
      <c r="F103" s="1014"/>
      <c r="G103" s="1004">
        <f t="shared" si="26"/>
        <v>1</v>
      </c>
      <c r="H103" s="1014"/>
      <c r="I103" s="1004">
        <f t="shared" si="27"/>
        <v>1</v>
      </c>
      <c r="J103" s="1014"/>
      <c r="K103" s="1004">
        <f t="shared" si="28"/>
        <v>1</v>
      </c>
      <c r="L103" s="1014"/>
      <c r="M103" s="1004">
        <f t="shared" si="29"/>
        <v>1</v>
      </c>
      <c r="N103" s="1014"/>
      <c r="O103" s="1004">
        <f t="shared" si="30"/>
        <v>1</v>
      </c>
      <c r="P103" s="1014"/>
      <c r="Q103" s="1004">
        <f t="shared" si="31"/>
        <v>0</v>
      </c>
      <c r="R103" s="1064">
        <f t="shared" si="32"/>
        <v>0</v>
      </c>
      <c r="S103" s="1003">
        <f t="shared" si="23"/>
        <v>0</v>
      </c>
    </row>
    <row r="104" spans="1:19">
      <c r="A104" s="1012"/>
      <c r="B104" s="1013"/>
      <c r="C104" s="1004">
        <f t="shared" si="24"/>
        <v>1</v>
      </c>
      <c r="D104" s="1014"/>
      <c r="E104" s="1004">
        <f t="shared" si="25"/>
        <v>1</v>
      </c>
      <c r="F104" s="1014"/>
      <c r="G104" s="1004">
        <f t="shared" si="26"/>
        <v>1</v>
      </c>
      <c r="H104" s="1014"/>
      <c r="I104" s="1004">
        <f t="shared" si="27"/>
        <v>1</v>
      </c>
      <c r="J104" s="1014"/>
      <c r="K104" s="1004">
        <f t="shared" si="28"/>
        <v>1</v>
      </c>
      <c r="L104" s="1014"/>
      <c r="M104" s="1004">
        <f t="shared" si="29"/>
        <v>1</v>
      </c>
      <c r="N104" s="1014"/>
      <c r="O104" s="1004">
        <f t="shared" si="30"/>
        <v>1</v>
      </c>
      <c r="P104" s="1014"/>
      <c r="Q104" s="1004">
        <f t="shared" si="31"/>
        <v>0</v>
      </c>
      <c r="R104" s="1064">
        <f t="shared" si="32"/>
        <v>0</v>
      </c>
      <c r="S104" s="1003">
        <f t="shared" si="23"/>
        <v>0</v>
      </c>
    </row>
    <row r="105" spans="1:19">
      <c r="A105" s="1012"/>
      <c r="B105" s="1013"/>
      <c r="C105" s="1004">
        <f t="shared" si="24"/>
        <v>1</v>
      </c>
      <c r="D105" s="1014"/>
      <c r="E105" s="1004">
        <f t="shared" si="25"/>
        <v>1</v>
      </c>
      <c r="F105" s="1014"/>
      <c r="G105" s="1004">
        <f t="shared" si="26"/>
        <v>1</v>
      </c>
      <c r="H105" s="1014"/>
      <c r="I105" s="1004">
        <f t="shared" si="27"/>
        <v>1</v>
      </c>
      <c r="J105" s="1014"/>
      <c r="K105" s="1004">
        <f t="shared" si="28"/>
        <v>1</v>
      </c>
      <c r="L105" s="1014"/>
      <c r="M105" s="1004">
        <f t="shared" si="29"/>
        <v>1</v>
      </c>
      <c r="N105" s="1014"/>
      <c r="O105" s="1004">
        <f t="shared" si="30"/>
        <v>1</v>
      </c>
      <c r="P105" s="1014"/>
      <c r="Q105" s="1004">
        <f t="shared" si="31"/>
        <v>0</v>
      </c>
      <c r="R105" s="1064">
        <f t="shared" si="32"/>
        <v>0</v>
      </c>
      <c r="S105" s="1003">
        <f t="shared" si="23"/>
        <v>0</v>
      </c>
    </row>
    <row r="106" spans="1:19">
      <c r="A106" s="1012"/>
      <c r="B106" s="1013"/>
      <c r="C106" s="1004">
        <f t="shared" si="24"/>
        <v>1</v>
      </c>
      <c r="D106" s="1014"/>
      <c r="E106" s="1004">
        <f t="shared" si="25"/>
        <v>1</v>
      </c>
      <c r="F106" s="1014"/>
      <c r="G106" s="1004">
        <f t="shared" si="26"/>
        <v>1</v>
      </c>
      <c r="H106" s="1014"/>
      <c r="I106" s="1004">
        <f t="shared" si="27"/>
        <v>1</v>
      </c>
      <c r="J106" s="1014"/>
      <c r="K106" s="1004">
        <f t="shared" si="28"/>
        <v>1</v>
      </c>
      <c r="L106" s="1014"/>
      <c r="M106" s="1004">
        <f t="shared" si="29"/>
        <v>1</v>
      </c>
      <c r="N106" s="1014"/>
      <c r="O106" s="1004">
        <f t="shared" si="30"/>
        <v>1</v>
      </c>
      <c r="P106" s="1014"/>
      <c r="Q106" s="1004">
        <f t="shared" si="31"/>
        <v>0</v>
      </c>
      <c r="R106" s="1064">
        <f t="shared" si="32"/>
        <v>0</v>
      </c>
      <c r="S106" s="1003">
        <f t="shared" si="23"/>
        <v>0</v>
      </c>
    </row>
    <row r="107" spans="1:19">
      <c r="A107" s="1012"/>
      <c r="B107" s="1013"/>
      <c r="C107" s="1004">
        <f t="shared" si="24"/>
        <v>1</v>
      </c>
      <c r="D107" s="1014"/>
      <c r="E107" s="1004">
        <f t="shared" si="25"/>
        <v>1</v>
      </c>
      <c r="F107" s="1014"/>
      <c r="G107" s="1004">
        <f t="shared" si="26"/>
        <v>1</v>
      </c>
      <c r="H107" s="1014"/>
      <c r="I107" s="1004">
        <f t="shared" si="27"/>
        <v>1</v>
      </c>
      <c r="J107" s="1014"/>
      <c r="K107" s="1004">
        <f t="shared" si="28"/>
        <v>1</v>
      </c>
      <c r="L107" s="1014"/>
      <c r="M107" s="1004">
        <f t="shared" si="29"/>
        <v>1</v>
      </c>
      <c r="N107" s="1014"/>
      <c r="O107" s="1004">
        <f t="shared" si="30"/>
        <v>1</v>
      </c>
      <c r="P107" s="1014"/>
      <c r="Q107" s="1004">
        <f t="shared" si="31"/>
        <v>0</v>
      </c>
      <c r="R107" s="1064">
        <f t="shared" si="32"/>
        <v>0</v>
      </c>
      <c r="S107" s="1003">
        <f t="shared" si="23"/>
        <v>0</v>
      </c>
    </row>
    <row r="108" spans="1:19">
      <c r="A108" s="1012"/>
      <c r="B108" s="1013"/>
      <c r="C108" s="1004">
        <f t="shared" si="24"/>
        <v>1</v>
      </c>
      <c r="D108" s="1014"/>
      <c r="E108" s="1004">
        <f t="shared" si="25"/>
        <v>1</v>
      </c>
      <c r="F108" s="1014"/>
      <c r="G108" s="1004">
        <f t="shared" si="26"/>
        <v>1</v>
      </c>
      <c r="H108" s="1014"/>
      <c r="I108" s="1004">
        <f t="shared" si="27"/>
        <v>1</v>
      </c>
      <c r="J108" s="1014"/>
      <c r="K108" s="1004">
        <f t="shared" si="28"/>
        <v>1</v>
      </c>
      <c r="L108" s="1014"/>
      <c r="M108" s="1004">
        <f t="shared" si="29"/>
        <v>1</v>
      </c>
      <c r="N108" s="1014"/>
      <c r="O108" s="1004">
        <f t="shared" si="30"/>
        <v>1</v>
      </c>
      <c r="P108" s="1014"/>
      <c r="Q108" s="1004">
        <f t="shared" si="31"/>
        <v>0</v>
      </c>
      <c r="R108" s="1064">
        <f t="shared" si="32"/>
        <v>0</v>
      </c>
      <c r="S108" s="1003">
        <f t="shared" si="23"/>
        <v>0</v>
      </c>
    </row>
    <row r="109" spans="1:19">
      <c r="A109" s="1012"/>
      <c r="B109" s="1013"/>
      <c r="C109" s="1004">
        <f t="shared" si="24"/>
        <v>1</v>
      </c>
      <c r="D109" s="1014"/>
      <c r="E109" s="1004">
        <f t="shared" si="25"/>
        <v>1</v>
      </c>
      <c r="F109" s="1014"/>
      <c r="G109" s="1004">
        <f t="shared" si="26"/>
        <v>1</v>
      </c>
      <c r="H109" s="1014"/>
      <c r="I109" s="1004">
        <f t="shared" si="27"/>
        <v>1</v>
      </c>
      <c r="J109" s="1014"/>
      <c r="K109" s="1004">
        <f t="shared" si="28"/>
        <v>1</v>
      </c>
      <c r="L109" s="1014"/>
      <c r="M109" s="1004">
        <f t="shared" si="29"/>
        <v>1</v>
      </c>
      <c r="N109" s="1014"/>
      <c r="O109" s="1004">
        <f t="shared" si="30"/>
        <v>1</v>
      </c>
      <c r="P109" s="1014"/>
      <c r="Q109" s="1004">
        <f t="shared" si="31"/>
        <v>0</v>
      </c>
      <c r="R109" s="1064">
        <f t="shared" si="32"/>
        <v>0</v>
      </c>
      <c r="S109" s="1003">
        <f t="shared" si="23"/>
        <v>0</v>
      </c>
    </row>
    <row r="110" spans="1:19">
      <c r="A110" s="1012"/>
      <c r="B110" s="1013"/>
      <c r="C110" s="1004">
        <f t="shared" si="24"/>
        <v>1</v>
      </c>
      <c r="D110" s="1014"/>
      <c r="E110" s="1004">
        <f t="shared" si="25"/>
        <v>1</v>
      </c>
      <c r="F110" s="1014"/>
      <c r="G110" s="1004">
        <f t="shared" si="26"/>
        <v>1</v>
      </c>
      <c r="H110" s="1014"/>
      <c r="I110" s="1004">
        <f t="shared" si="27"/>
        <v>1</v>
      </c>
      <c r="J110" s="1014"/>
      <c r="K110" s="1004">
        <f t="shared" si="28"/>
        <v>1</v>
      </c>
      <c r="L110" s="1014"/>
      <c r="M110" s="1004">
        <f t="shared" si="29"/>
        <v>1</v>
      </c>
      <c r="N110" s="1014"/>
      <c r="O110" s="1004">
        <f t="shared" si="30"/>
        <v>1</v>
      </c>
      <c r="P110" s="1014"/>
      <c r="Q110" s="1004">
        <f t="shared" si="31"/>
        <v>0</v>
      </c>
      <c r="R110" s="1064">
        <f t="shared" si="32"/>
        <v>0</v>
      </c>
      <c r="S110" s="1003">
        <f t="shared" si="23"/>
        <v>0</v>
      </c>
    </row>
    <row r="111" spans="1:19">
      <c r="A111" s="1012"/>
      <c r="B111" s="1013"/>
      <c r="C111" s="1004">
        <f t="shared" si="24"/>
        <v>1</v>
      </c>
      <c r="D111" s="1014"/>
      <c r="E111" s="1004">
        <f t="shared" si="25"/>
        <v>1</v>
      </c>
      <c r="F111" s="1014"/>
      <c r="G111" s="1004">
        <f t="shared" si="26"/>
        <v>1</v>
      </c>
      <c r="H111" s="1014"/>
      <c r="I111" s="1004">
        <f t="shared" si="27"/>
        <v>1</v>
      </c>
      <c r="J111" s="1014"/>
      <c r="K111" s="1004">
        <f t="shared" si="28"/>
        <v>1</v>
      </c>
      <c r="L111" s="1014"/>
      <c r="M111" s="1004">
        <f t="shared" si="29"/>
        <v>1</v>
      </c>
      <c r="N111" s="1014"/>
      <c r="O111" s="1004">
        <f t="shared" si="30"/>
        <v>1</v>
      </c>
      <c r="P111" s="1014"/>
      <c r="Q111" s="1004">
        <f t="shared" si="31"/>
        <v>0</v>
      </c>
      <c r="R111" s="1064">
        <f t="shared" si="32"/>
        <v>0</v>
      </c>
      <c r="S111" s="1003">
        <f t="shared" si="23"/>
        <v>0</v>
      </c>
    </row>
    <row r="112" spans="1:19">
      <c r="A112" s="1012"/>
      <c r="B112" s="1013"/>
      <c r="C112" s="1004">
        <f t="shared" si="24"/>
        <v>1</v>
      </c>
      <c r="D112" s="1014"/>
      <c r="E112" s="1004">
        <f t="shared" si="25"/>
        <v>1</v>
      </c>
      <c r="F112" s="1014"/>
      <c r="G112" s="1004">
        <f t="shared" si="26"/>
        <v>1</v>
      </c>
      <c r="H112" s="1014"/>
      <c r="I112" s="1004">
        <f t="shared" si="27"/>
        <v>1</v>
      </c>
      <c r="J112" s="1014"/>
      <c r="K112" s="1004">
        <f t="shared" si="28"/>
        <v>1</v>
      </c>
      <c r="L112" s="1014"/>
      <c r="M112" s="1004">
        <f t="shared" si="29"/>
        <v>1</v>
      </c>
      <c r="N112" s="1014"/>
      <c r="O112" s="1004">
        <f t="shared" si="30"/>
        <v>1</v>
      </c>
      <c r="P112" s="1014"/>
      <c r="Q112" s="1004">
        <f t="shared" si="31"/>
        <v>0</v>
      </c>
      <c r="R112" s="1064">
        <f t="shared" si="32"/>
        <v>0</v>
      </c>
      <c r="S112" s="1003">
        <f t="shared" si="23"/>
        <v>0</v>
      </c>
    </row>
    <row r="113" spans="1:19">
      <c r="A113" s="1012"/>
      <c r="B113" s="1013"/>
      <c r="C113" s="1004">
        <f t="shared" si="24"/>
        <v>1</v>
      </c>
      <c r="D113" s="1014"/>
      <c r="E113" s="1004">
        <f t="shared" si="25"/>
        <v>1</v>
      </c>
      <c r="F113" s="1014"/>
      <c r="G113" s="1004">
        <f t="shared" si="26"/>
        <v>1</v>
      </c>
      <c r="H113" s="1014"/>
      <c r="I113" s="1004">
        <f t="shared" si="27"/>
        <v>1</v>
      </c>
      <c r="J113" s="1014"/>
      <c r="K113" s="1004">
        <f t="shared" si="28"/>
        <v>1</v>
      </c>
      <c r="L113" s="1014"/>
      <c r="M113" s="1004">
        <f t="shared" si="29"/>
        <v>1</v>
      </c>
      <c r="N113" s="1014"/>
      <c r="O113" s="1004">
        <f t="shared" si="30"/>
        <v>1</v>
      </c>
      <c r="P113" s="1014"/>
      <c r="Q113" s="1004">
        <f t="shared" si="31"/>
        <v>0</v>
      </c>
      <c r="R113" s="1064">
        <f t="shared" si="32"/>
        <v>0</v>
      </c>
      <c r="S113" s="1003">
        <f t="shared" si="23"/>
        <v>0</v>
      </c>
    </row>
    <row r="114" spans="1:19">
      <c r="A114" s="1012"/>
      <c r="B114" s="1013"/>
      <c r="C114" s="1004">
        <f t="shared" si="24"/>
        <v>1</v>
      </c>
      <c r="D114" s="1014"/>
      <c r="E114" s="1004">
        <f t="shared" si="25"/>
        <v>1</v>
      </c>
      <c r="F114" s="1014"/>
      <c r="G114" s="1004">
        <f t="shared" si="26"/>
        <v>1</v>
      </c>
      <c r="H114" s="1014"/>
      <c r="I114" s="1004">
        <f t="shared" si="27"/>
        <v>1</v>
      </c>
      <c r="J114" s="1014"/>
      <c r="K114" s="1004">
        <f t="shared" si="28"/>
        <v>1</v>
      </c>
      <c r="L114" s="1014"/>
      <c r="M114" s="1004">
        <f t="shared" si="29"/>
        <v>1</v>
      </c>
      <c r="N114" s="1014"/>
      <c r="O114" s="1004">
        <f t="shared" si="30"/>
        <v>1</v>
      </c>
      <c r="P114" s="1014"/>
      <c r="Q114" s="1004">
        <f t="shared" si="31"/>
        <v>0</v>
      </c>
      <c r="R114" s="1064">
        <f t="shared" si="32"/>
        <v>0</v>
      </c>
      <c r="S114" s="1003">
        <f t="shared" si="23"/>
        <v>0</v>
      </c>
    </row>
    <row r="115" spans="1:19">
      <c r="A115" s="1012"/>
      <c r="B115" s="1013"/>
      <c r="C115" s="1004">
        <f t="shared" si="24"/>
        <v>1</v>
      </c>
      <c r="D115" s="1014"/>
      <c r="E115" s="1004">
        <f t="shared" si="25"/>
        <v>1</v>
      </c>
      <c r="F115" s="1014"/>
      <c r="G115" s="1004">
        <f t="shared" si="26"/>
        <v>1</v>
      </c>
      <c r="H115" s="1014"/>
      <c r="I115" s="1004">
        <f t="shared" si="27"/>
        <v>1</v>
      </c>
      <c r="J115" s="1014"/>
      <c r="K115" s="1004">
        <f t="shared" si="28"/>
        <v>1</v>
      </c>
      <c r="L115" s="1014"/>
      <c r="M115" s="1004">
        <f t="shared" si="29"/>
        <v>1</v>
      </c>
      <c r="N115" s="1014"/>
      <c r="O115" s="1004">
        <f t="shared" si="30"/>
        <v>1</v>
      </c>
      <c r="P115" s="1014"/>
      <c r="Q115" s="1004">
        <f t="shared" si="31"/>
        <v>0</v>
      </c>
      <c r="R115" s="1064">
        <f t="shared" si="32"/>
        <v>0</v>
      </c>
      <c r="S115" s="1003">
        <f t="shared" si="23"/>
        <v>0</v>
      </c>
    </row>
    <row r="116" spans="1:19">
      <c r="A116" s="1012"/>
      <c r="B116" s="1013"/>
      <c r="C116" s="1004">
        <f t="shared" si="24"/>
        <v>1</v>
      </c>
      <c r="D116" s="1014"/>
      <c r="E116" s="1004">
        <f t="shared" si="25"/>
        <v>1</v>
      </c>
      <c r="F116" s="1014"/>
      <c r="G116" s="1004">
        <f t="shared" si="26"/>
        <v>1</v>
      </c>
      <c r="H116" s="1014"/>
      <c r="I116" s="1004">
        <f t="shared" si="27"/>
        <v>1</v>
      </c>
      <c r="J116" s="1014"/>
      <c r="K116" s="1004">
        <f t="shared" si="28"/>
        <v>1</v>
      </c>
      <c r="L116" s="1014"/>
      <c r="M116" s="1004">
        <f t="shared" si="29"/>
        <v>1</v>
      </c>
      <c r="N116" s="1014"/>
      <c r="O116" s="1004">
        <f t="shared" si="30"/>
        <v>1</v>
      </c>
      <c r="P116" s="1014"/>
      <c r="Q116" s="1004">
        <f t="shared" si="31"/>
        <v>0</v>
      </c>
      <c r="R116" s="1064">
        <f t="shared" si="32"/>
        <v>0</v>
      </c>
      <c r="S116" s="1003">
        <f t="shared" si="23"/>
        <v>0</v>
      </c>
    </row>
    <row r="117" spans="1:19">
      <c r="A117" s="1012"/>
      <c r="B117" s="1013"/>
      <c r="C117" s="1004">
        <f t="shared" si="24"/>
        <v>1</v>
      </c>
      <c r="D117" s="1014"/>
      <c r="E117" s="1004">
        <f t="shared" si="25"/>
        <v>1</v>
      </c>
      <c r="F117" s="1014"/>
      <c r="G117" s="1004">
        <f t="shared" si="26"/>
        <v>1</v>
      </c>
      <c r="H117" s="1014"/>
      <c r="I117" s="1004">
        <f t="shared" si="27"/>
        <v>1</v>
      </c>
      <c r="J117" s="1014"/>
      <c r="K117" s="1004">
        <f t="shared" si="28"/>
        <v>1</v>
      </c>
      <c r="L117" s="1014"/>
      <c r="M117" s="1004">
        <f t="shared" si="29"/>
        <v>1</v>
      </c>
      <c r="N117" s="1014"/>
      <c r="O117" s="1004">
        <f t="shared" si="30"/>
        <v>1</v>
      </c>
      <c r="P117" s="1014"/>
      <c r="Q117" s="1004">
        <f t="shared" si="31"/>
        <v>0</v>
      </c>
      <c r="R117" s="1064">
        <f t="shared" si="32"/>
        <v>0</v>
      </c>
      <c r="S117" s="1003">
        <f t="shared" si="23"/>
        <v>0</v>
      </c>
    </row>
    <row r="118" spans="1:19">
      <c r="A118" s="1012"/>
      <c r="B118" s="1013"/>
      <c r="C118" s="1004">
        <f t="shared" si="24"/>
        <v>1</v>
      </c>
      <c r="D118" s="1014"/>
      <c r="E118" s="1004">
        <f t="shared" si="25"/>
        <v>1</v>
      </c>
      <c r="F118" s="1014"/>
      <c r="G118" s="1004">
        <f t="shared" si="26"/>
        <v>1</v>
      </c>
      <c r="H118" s="1014"/>
      <c r="I118" s="1004">
        <f t="shared" si="27"/>
        <v>1</v>
      </c>
      <c r="J118" s="1014"/>
      <c r="K118" s="1004">
        <f t="shared" si="28"/>
        <v>1</v>
      </c>
      <c r="L118" s="1014"/>
      <c r="M118" s="1004">
        <f t="shared" si="29"/>
        <v>1</v>
      </c>
      <c r="N118" s="1014"/>
      <c r="O118" s="1004">
        <f t="shared" si="30"/>
        <v>1</v>
      </c>
      <c r="P118" s="1014"/>
      <c r="Q118" s="1004">
        <f t="shared" si="31"/>
        <v>0</v>
      </c>
      <c r="R118" s="1064">
        <f t="shared" si="32"/>
        <v>0</v>
      </c>
      <c r="S118" s="1003">
        <f t="shared" si="23"/>
        <v>0</v>
      </c>
    </row>
    <row r="119" spans="1:19">
      <c r="A119" s="1012"/>
      <c r="B119" s="1013"/>
      <c r="C119" s="1004">
        <f t="shared" si="24"/>
        <v>1</v>
      </c>
      <c r="D119" s="1014"/>
      <c r="E119" s="1004">
        <f t="shared" si="25"/>
        <v>1</v>
      </c>
      <c r="F119" s="1014"/>
      <c r="G119" s="1004">
        <f t="shared" si="26"/>
        <v>1</v>
      </c>
      <c r="H119" s="1014"/>
      <c r="I119" s="1004">
        <f t="shared" si="27"/>
        <v>1</v>
      </c>
      <c r="J119" s="1014"/>
      <c r="K119" s="1004">
        <f t="shared" si="28"/>
        <v>1</v>
      </c>
      <c r="L119" s="1014"/>
      <c r="M119" s="1004">
        <f t="shared" si="29"/>
        <v>1</v>
      </c>
      <c r="N119" s="1014"/>
      <c r="O119" s="1004">
        <f t="shared" si="30"/>
        <v>1</v>
      </c>
      <c r="P119" s="1014"/>
      <c r="Q119" s="1004">
        <f t="shared" si="31"/>
        <v>0</v>
      </c>
      <c r="R119" s="1064">
        <f t="shared" si="32"/>
        <v>0</v>
      </c>
      <c r="S119" s="1003">
        <f t="shared" si="23"/>
        <v>0</v>
      </c>
    </row>
    <row r="120" spans="1:19">
      <c r="A120" s="1012"/>
      <c r="B120" s="1013"/>
      <c r="C120" s="1004">
        <f t="shared" si="24"/>
        <v>1</v>
      </c>
      <c r="D120" s="1014"/>
      <c r="E120" s="1004">
        <f t="shared" si="25"/>
        <v>1</v>
      </c>
      <c r="F120" s="1014"/>
      <c r="G120" s="1004">
        <f t="shared" si="26"/>
        <v>1</v>
      </c>
      <c r="H120" s="1014"/>
      <c r="I120" s="1004">
        <f t="shared" si="27"/>
        <v>1</v>
      </c>
      <c r="J120" s="1014"/>
      <c r="K120" s="1004">
        <f t="shared" si="28"/>
        <v>1</v>
      </c>
      <c r="L120" s="1014"/>
      <c r="M120" s="1004">
        <f t="shared" si="29"/>
        <v>1</v>
      </c>
      <c r="N120" s="1014"/>
      <c r="O120" s="1004">
        <f t="shared" si="30"/>
        <v>1</v>
      </c>
      <c r="P120" s="1014"/>
      <c r="Q120" s="1004">
        <f t="shared" si="31"/>
        <v>0</v>
      </c>
      <c r="R120" s="1064">
        <f t="shared" si="32"/>
        <v>0</v>
      </c>
      <c r="S120" s="1003">
        <f t="shared" si="23"/>
        <v>0</v>
      </c>
    </row>
    <row r="121" spans="1:19">
      <c r="A121" s="1012"/>
      <c r="B121" s="1013"/>
      <c r="C121" s="1004">
        <f t="shared" si="24"/>
        <v>1</v>
      </c>
      <c r="D121" s="1014"/>
      <c r="E121" s="1004">
        <f t="shared" si="25"/>
        <v>1</v>
      </c>
      <c r="F121" s="1014"/>
      <c r="G121" s="1004">
        <f t="shared" si="26"/>
        <v>1</v>
      </c>
      <c r="H121" s="1014"/>
      <c r="I121" s="1004">
        <f t="shared" si="27"/>
        <v>1</v>
      </c>
      <c r="J121" s="1014"/>
      <c r="K121" s="1004">
        <f t="shared" si="28"/>
        <v>1</v>
      </c>
      <c r="L121" s="1014"/>
      <c r="M121" s="1004">
        <f t="shared" si="29"/>
        <v>1</v>
      </c>
      <c r="N121" s="1014"/>
      <c r="O121" s="1004">
        <f t="shared" si="30"/>
        <v>1</v>
      </c>
      <c r="P121" s="1014"/>
      <c r="Q121" s="1004">
        <f t="shared" si="31"/>
        <v>0</v>
      </c>
      <c r="R121" s="1064">
        <f t="shared" si="32"/>
        <v>0</v>
      </c>
      <c r="S121" s="1003">
        <f t="shared" si="23"/>
        <v>0</v>
      </c>
    </row>
    <row r="122" spans="1:19">
      <c r="A122" s="1012"/>
      <c r="B122" s="1013"/>
      <c r="C122" s="1004">
        <f t="shared" si="24"/>
        <v>1</v>
      </c>
      <c r="D122" s="1014"/>
      <c r="E122" s="1004">
        <f t="shared" si="25"/>
        <v>1</v>
      </c>
      <c r="F122" s="1014"/>
      <c r="G122" s="1004">
        <f t="shared" si="26"/>
        <v>1</v>
      </c>
      <c r="H122" s="1014"/>
      <c r="I122" s="1004">
        <f t="shared" si="27"/>
        <v>1</v>
      </c>
      <c r="J122" s="1014"/>
      <c r="K122" s="1004">
        <f t="shared" si="28"/>
        <v>1</v>
      </c>
      <c r="L122" s="1014"/>
      <c r="M122" s="1004">
        <f t="shared" si="29"/>
        <v>1</v>
      </c>
      <c r="N122" s="1014"/>
      <c r="O122" s="1004">
        <f t="shared" si="30"/>
        <v>1</v>
      </c>
      <c r="P122" s="1014"/>
      <c r="Q122" s="1004">
        <f t="shared" si="31"/>
        <v>0</v>
      </c>
      <c r="R122" s="1064">
        <f t="shared" si="32"/>
        <v>0</v>
      </c>
      <c r="S122" s="1003">
        <f t="shared" si="23"/>
        <v>0</v>
      </c>
    </row>
    <row r="123" spans="1:19">
      <c r="A123" s="1012"/>
      <c r="B123" s="1013"/>
      <c r="C123" s="1004">
        <f t="shared" si="24"/>
        <v>1</v>
      </c>
      <c r="D123" s="1014"/>
      <c r="E123" s="1004">
        <f t="shared" si="25"/>
        <v>1</v>
      </c>
      <c r="F123" s="1014"/>
      <c r="G123" s="1004">
        <f t="shared" si="26"/>
        <v>1</v>
      </c>
      <c r="H123" s="1014"/>
      <c r="I123" s="1004">
        <f t="shared" si="27"/>
        <v>1</v>
      </c>
      <c r="J123" s="1014"/>
      <c r="K123" s="1004">
        <f t="shared" si="28"/>
        <v>1</v>
      </c>
      <c r="L123" s="1014"/>
      <c r="M123" s="1004">
        <f t="shared" si="29"/>
        <v>1</v>
      </c>
      <c r="N123" s="1014"/>
      <c r="O123" s="1004">
        <f t="shared" si="30"/>
        <v>1</v>
      </c>
      <c r="P123" s="1014"/>
      <c r="Q123" s="1004">
        <f t="shared" si="31"/>
        <v>0</v>
      </c>
      <c r="R123" s="1064">
        <f t="shared" si="32"/>
        <v>0</v>
      </c>
      <c r="S123" s="1003">
        <f t="shared" ref="S123:S186" si="33">ROUND(R123*B123/10000,0)</f>
        <v>0</v>
      </c>
    </row>
    <row r="124" spans="1:19">
      <c r="A124" s="1012"/>
      <c r="B124" s="1013"/>
      <c r="C124" s="1004">
        <f t="shared" si="24"/>
        <v>1</v>
      </c>
      <c r="D124" s="1014"/>
      <c r="E124" s="1004">
        <f t="shared" si="25"/>
        <v>1</v>
      </c>
      <c r="F124" s="1014"/>
      <c r="G124" s="1004">
        <f t="shared" si="26"/>
        <v>1</v>
      </c>
      <c r="H124" s="1014"/>
      <c r="I124" s="1004">
        <f t="shared" si="27"/>
        <v>1</v>
      </c>
      <c r="J124" s="1014"/>
      <c r="K124" s="1004">
        <f t="shared" si="28"/>
        <v>1</v>
      </c>
      <c r="L124" s="1014"/>
      <c r="M124" s="1004">
        <f t="shared" si="29"/>
        <v>1</v>
      </c>
      <c r="N124" s="1014"/>
      <c r="O124" s="1004">
        <f t="shared" si="30"/>
        <v>1</v>
      </c>
      <c r="P124" s="1014"/>
      <c r="Q124" s="1004">
        <f t="shared" si="31"/>
        <v>0</v>
      </c>
      <c r="R124" s="1064">
        <f t="shared" si="32"/>
        <v>0</v>
      </c>
      <c r="S124" s="1003">
        <f t="shared" si="33"/>
        <v>0</v>
      </c>
    </row>
    <row r="125" spans="1:19">
      <c r="A125" s="1012"/>
      <c r="B125" s="1013"/>
      <c r="C125" s="1004">
        <f t="shared" si="24"/>
        <v>1</v>
      </c>
      <c r="D125" s="1014"/>
      <c r="E125" s="1004">
        <f t="shared" si="25"/>
        <v>1</v>
      </c>
      <c r="F125" s="1014"/>
      <c r="G125" s="1004">
        <f t="shared" si="26"/>
        <v>1</v>
      </c>
      <c r="H125" s="1014"/>
      <c r="I125" s="1004">
        <f t="shared" si="27"/>
        <v>1</v>
      </c>
      <c r="J125" s="1014"/>
      <c r="K125" s="1004">
        <f t="shared" si="28"/>
        <v>1</v>
      </c>
      <c r="L125" s="1014"/>
      <c r="M125" s="1004">
        <f t="shared" si="29"/>
        <v>1</v>
      </c>
      <c r="N125" s="1014"/>
      <c r="O125" s="1004">
        <f t="shared" si="30"/>
        <v>1</v>
      </c>
      <c r="P125" s="1014"/>
      <c r="Q125" s="1004">
        <f t="shared" si="31"/>
        <v>0</v>
      </c>
      <c r="R125" s="1064">
        <f t="shared" si="32"/>
        <v>0</v>
      </c>
      <c r="S125" s="1003">
        <f t="shared" si="33"/>
        <v>0</v>
      </c>
    </row>
    <row r="126" spans="1:19">
      <c r="A126" s="1012"/>
      <c r="B126" s="1013"/>
      <c r="C126" s="1004">
        <f t="shared" si="24"/>
        <v>1</v>
      </c>
      <c r="D126" s="1014"/>
      <c r="E126" s="1004">
        <f t="shared" si="25"/>
        <v>1</v>
      </c>
      <c r="F126" s="1014"/>
      <c r="G126" s="1004">
        <f t="shared" si="26"/>
        <v>1</v>
      </c>
      <c r="H126" s="1014"/>
      <c r="I126" s="1004">
        <f t="shared" si="27"/>
        <v>1</v>
      </c>
      <c r="J126" s="1014"/>
      <c r="K126" s="1004">
        <f t="shared" si="28"/>
        <v>1</v>
      </c>
      <c r="L126" s="1014"/>
      <c r="M126" s="1004">
        <f t="shared" si="29"/>
        <v>1</v>
      </c>
      <c r="N126" s="1014"/>
      <c r="O126" s="1004">
        <f t="shared" si="30"/>
        <v>1</v>
      </c>
      <c r="P126" s="1014"/>
      <c r="Q126" s="1004">
        <f t="shared" si="31"/>
        <v>0</v>
      </c>
      <c r="R126" s="1064">
        <f t="shared" si="32"/>
        <v>0</v>
      </c>
      <c r="S126" s="1003">
        <f t="shared" si="33"/>
        <v>0</v>
      </c>
    </row>
    <row r="127" spans="1:19">
      <c r="A127" s="1012"/>
      <c r="B127" s="1013"/>
      <c r="C127" s="1004">
        <f t="shared" si="24"/>
        <v>1</v>
      </c>
      <c r="D127" s="1014"/>
      <c r="E127" s="1004">
        <f t="shared" si="25"/>
        <v>1</v>
      </c>
      <c r="F127" s="1014"/>
      <c r="G127" s="1004">
        <f t="shared" si="26"/>
        <v>1</v>
      </c>
      <c r="H127" s="1014"/>
      <c r="I127" s="1004">
        <f t="shared" si="27"/>
        <v>1</v>
      </c>
      <c r="J127" s="1014"/>
      <c r="K127" s="1004">
        <f t="shared" si="28"/>
        <v>1</v>
      </c>
      <c r="L127" s="1014"/>
      <c r="M127" s="1004">
        <f t="shared" si="29"/>
        <v>1</v>
      </c>
      <c r="N127" s="1014"/>
      <c r="O127" s="1004">
        <f t="shared" si="30"/>
        <v>1</v>
      </c>
      <c r="P127" s="1014"/>
      <c r="Q127" s="1004">
        <f t="shared" si="31"/>
        <v>0</v>
      </c>
      <c r="R127" s="1064">
        <f t="shared" si="32"/>
        <v>0</v>
      </c>
      <c r="S127" s="1003">
        <f t="shared" si="33"/>
        <v>0</v>
      </c>
    </row>
    <row r="128" spans="1:19">
      <c r="A128" s="1012"/>
      <c r="B128" s="1013"/>
      <c r="C128" s="1004">
        <f t="shared" si="24"/>
        <v>1</v>
      </c>
      <c r="D128" s="1014"/>
      <c r="E128" s="1004">
        <f t="shared" si="25"/>
        <v>1</v>
      </c>
      <c r="F128" s="1014"/>
      <c r="G128" s="1004">
        <f t="shared" si="26"/>
        <v>1</v>
      </c>
      <c r="H128" s="1014"/>
      <c r="I128" s="1004">
        <f t="shared" si="27"/>
        <v>1</v>
      </c>
      <c r="J128" s="1014"/>
      <c r="K128" s="1004">
        <f t="shared" si="28"/>
        <v>1</v>
      </c>
      <c r="L128" s="1014"/>
      <c r="M128" s="1004">
        <f t="shared" si="29"/>
        <v>1</v>
      </c>
      <c r="N128" s="1014"/>
      <c r="O128" s="1004">
        <f t="shared" si="30"/>
        <v>1</v>
      </c>
      <c r="P128" s="1014"/>
      <c r="Q128" s="1004">
        <f t="shared" si="31"/>
        <v>0</v>
      </c>
      <c r="R128" s="1064">
        <f t="shared" si="32"/>
        <v>0</v>
      </c>
      <c r="S128" s="1003">
        <f t="shared" si="33"/>
        <v>0</v>
      </c>
    </row>
    <row r="129" spans="1:19">
      <c r="A129" s="1012"/>
      <c r="B129" s="1013"/>
      <c r="C129" s="1004">
        <f t="shared" si="24"/>
        <v>1</v>
      </c>
      <c r="D129" s="1014"/>
      <c r="E129" s="1004">
        <f t="shared" si="25"/>
        <v>1</v>
      </c>
      <c r="F129" s="1014"/>
      <c r="G129" s="1004">
        <f t="shared" si="26"/>
        <v>1</v>
      </c>
      <c r="H129" s="1014"/>
      <c r="I129" s="1004">
        <f t="shared" si="27"/>
        <v>1</v>
      </c>
      <c r="J129" s="1014"/>
      <c r="K129" s="1004">
        <f t="shared" si="28"/>
        <v>1</v>
      </c>
      <c r="L129" s="1014"/>
      <c r="M129" s="1004">
        <f t="shared" si="29"/>
        <v>1</v>
      </c>
      <c r="N129" s="1014"/>
      <c r="O129" s="1004">
        <f t="shared" si="30"/>
        <v>1</v>
      </c>
      <c r="P129" s="1014"/>
      <c r="Q129" s="1004">
        <f t="shared" si="31"/>
        <v>0</v>
      </c>
      <c r="R129" s="1064">
        <f t="shared" si="32"/>
        <v>0</v>
      </c>
      <c r="S129" s="1003">
        <f t="shared" si="33"/>
        <v>0</v>
      </c>
    </row>
    <row r="130" spans="1:19">
      <c r="A130" s="1012"/>
      <c r="B130" s="1013"/>
      <c r="C130" s="1004">
        <f t="shared" si="24"/>
        <v>1</v>
      </c>
      <c r="D130" s="1014"/>
      <c r="E130" s="1004">
        <f t="shared" si="25"/>
        <v>1</v>
      </c>
      <c r="F130" s="1014"/>
      <c r="G130" s="1004">
        <f t="shared" si="26"/>
        <v>1</v>
      </c>
      <c r="H130" s="1014"/>
      <c r="I130" s="1004">
        <f t="shared" si="27"/>
        <v>1</v>
      </c>
      <c r="J130" s="1014"/>
      <c r="K130" s="1004">
        <f t="shared" si="28"/>
        <v>1</v>
      </c>
      <c r="L130" s="1014"/>
      <c r="M130" s="1004">
        <f t="shared" si="29"/>
        <v>1</v>
      </c>
      <c r="N130" s="1014"/>
      <c r="O130" s="1004">
        <f t="shared" si="30"/>
        <v>1</v>
      </c>
      <c r="P130" s="1014"/>
      <c r="Q130" s="1004">
        <f t="shared" si="31"/>
        <v>0</v>
      </c>
      <c r="R130" s="1064">
        <f t="shared" si="32"/>
        <v>0</v>
      </c>
      <c r="S130" s="1003">
        <f t="shared" si="33"/>
        <v>0</v>
      </c>
    </row>
    <row r="131" spans="1:19">
      <c r="A131" s="1012"/>
      <c r="B131" s="1013"/>
      <c r="C131" s="1004">
        <f t="shared" si="24"/>
        <v>1</v>
      </c>
      <c r="D131" s="1014"/>
      <c r="E131" s="1004">
        <f t="shared" si="25"/>
        <v>1</v>
      </c>
      <c r="F131" s="1014"/>
      <c r="G131" s="1004">
        <f t="shared" si="26"/>
        <v>1</v>
      </c>
      <c r="H131" s="1014"/>
      <c r="I131" s="1004">
        <f t="shared" si="27"/>
        <v>1</v>
      </c>
      <c r="J131" s="1014"/>
      <c r="K131" s="1004">
        <f t="shared" si="28"/>
        <v>1</v>
      </c>
      <c r="L131" s="1014"/>
      <c r="M131" s="1004">
        <f t="shared" si="29"/>
        <v>1</v>
      </c>
      <c r="N131" s="1014"/>
      <c r="O131" s="1004">
        <f t="shared" si="30"/>
        <v>1</v>
      </c>
      <c r="P131" s="1014"/>
      <c r="Q131" s="1004">
        <f t="shared" si="31"/>
        <v>0</v>
      </c>
      <c r="R131" s="1064">
        <f t="shared" si="32"/>
        <v>0</v>
      </c>
      <c r="S131" s="1003">
        <f t="shared" si="33"/>
        <v>0</v>
      </c>
    </row>
    <row r="132" spans="1:19">
      <c r="A132" s="1012"/>
      <c r="B132" s="1013"/>
      <c r="C132" s="1004">
        <f t="shared" si="24"/>
        <v>1</v>
      </c>
      <c r="D132" s="1014"/>
      <c r="E132" s="1004">
        <f t="shared" si="25"/>
        <v>1</v>
      </c>
      <c r="F132" s="1014"/>
      <c r="G132" s="1004">
        <f t="shared" si="26"/>
        <v>1</v>
      </c>
      <c r="H132" s="1014"/>
      <c r="I132" s="1004">
        <f t="shared" si="27"/>
        <v>1</v>
      </c>
      <c r="J132" s="1014"/>
      <c r="K132" s="1004">
        <f t="shared" si="28"/>
        <v>1</v>
      </c>
      <c r="L132" s="1014"/>
      <c r="M132" s="1004">
        <f t="shared" si="29"/>
        <v>1</v>
      </c>
      <c r="N132" s="1014"/>
      <c r="O132" s="1004">
        <f t="shared" si="30"/>
        <v>1</v>
      </c>
      <c r="P132" s="1014"/>
      <c r="Q132" s="1004">
        <f t="shared" si="31"/>
        <v>0</v>
      </c>
      <c r="R132" s="1064">
        <f t="shared" si="32"/>
        <v>0</v>
      </c>
      <c r="S132" s="1003">
        <f t="shared" si="33"/>
        <v>0</v>
      </c>
    </row>
    <row r="133" spans="1:19">
      <c r="A133" s="1012"/>
      <c r="B133" s="1013"/>
      <c r="C133" s="1004">
        <f t="shared" si="24"/>
        <v>1</v>
      </c>
      <c r="D133" s="1014"/>
      <c r="E133" s="1004">
        <f t="shared" si="25"/>
        <v>1</v>
      </c>
      <c r="F133" s="1014"/>
      <c r="G133" s="1004">
        <f t="shared" si="26"/>
        <v>1</v>
      </c>
      <c r="H133" s="1014"/>
      <c r="I133" s="1004">
        <f t="shared" si="27"/>
        <v>1</v>
      </c>
      <c r="J133" s="1014"/>
      <c r="K133" s="1004">
        <f t="shared" si="28"/>
        <v>1</v>
      </c>
      <c r="L133" s="1014"/>
      <c r="M133" s="1004">
        <f t="shared" si="29"/>
        <v>1</v>
      </c>
      <c r="N133" s="1014"/>
      <c r="O133" s="1004">
        <f t="shared" si="30"/>
        <v>1</v>
      </c>
      <c r="P133" s="1014"/>
      <c r="Q133" s="1004">
        <f t="shared" si="31"/>
        <v>0</v>
      </c>
      <c r="R133" s="1064">
        <f t="shared" si="32"/>
        <v>0</v>
      </c>
      <c r="S133" s="1003">
        <f t="shared" si="33"/>
        <v>0</v>
      </c>
    </row>
    <row r="134" spans="1:19">
      <c r="A134" s="1012"/>
      <c r="B134" s="1013"/>
      <c r="C134" s="1004">
        <f t="shared" si="24"/>
        <v>1</v>
      </c>
      <c r="D134" s="1014"/>
      <c r="E134" s="1004">
        <f t="shared" si="25"/>
        <v>1</v>
      </c>
      <c r="F134" s="1014"/>
      <c r="G134" s="1004">
        <f t="shared" si="26"/>
        <v>1</v>
      </c>
      <c r="H134" s="1014"/>
      <c r="I134" s="1004">
        <f t="shared" si="27"/>
        <v>1</v>
      </c>
      <c r="J134" s="1014"/>
      <c r="K134" s="1004">
        <f t="shared" si="28"/>
        <v>1</v>
      </c>
      <c r="L134" s="1014"/>
      <c r="M134" s="1004">
        <f t="shared" si="29"/>
        <v>1</v>
      </c>
      <c r="N134" s="1014"/>
      <c r="O134" s="1004">
        <f t="shared" si="30"/>
        <v>1</v>
      </c>
      <c r="P134" s="1014"/>
      <c r="Q134" s="1004">
        <f t="shared" si="31"/>
        <v>0</v>
      </c>
      <c r="R134" s="1064">
        <f t="shared" si="32"/>
        <v>0</v>
      </c>
      <c r="S134" s="1003">
        <f t="shared" si="33"/>
        <v>0</v>
      </c>
    </row>
    <row r="135" spans="1:19">
      <c r="A135" s="1012"/>
      <c r="B135" s="1013"/>
      <c r="C135" s="1004">
        <f t="shared" si="24"/>
        <v>1</v>
      </c>
      <c r="D135" s="1014"/>
      <c r="E135" s="1004">
        <f t="shared" si="25"/>
        <v>1</v>
      </c>
      <c r="F135" s="1014"/>
      <c r="G135" s="1004">
        <f t="shared" si="26"/>
        <v>1</v>
      </c>
      <c r="H135" s="1014"/>
      <c r="I135" s="1004">
        <f t="shared" si="27"/>
        <v>1</v>
      </c>
      <c r="J135" s="1014"/>
      <c r="K135" s="1004">
        <f t="shared" si="28"/>
        <v>1</v>
      </c>
      <c r="L135" s="1014"/>
      <c r="M135" s="1004">
        <f t="shared" si="29"/>
        <v>1</v>
      </c>
      <c r="N135" s="1014"/>
      <c r="O135" s="1004">
        <f t="shared" si="30"/>
        <v>1</v>
      </c>
      <c r="P135" s="1014"/>
      <c r="Q135" s="1004">
        <f t="shared" si="31"/>
        <v>0</v>
      </c>
      <c r="R135" s="1064">
        <f t="shared" si="32"/>
        <v>0</v>
      </c>
      <c r="S135" s="1003">
        <f t="shared" si="33"/>
        <v>0</v>
      </c>
    </row>
    <row r="136" spans="1:19">
      <c r="A136" s="1012"/>
      <c r="B136" s="1013"/>
      <c r="C136" s="1004">
        <f t="shared" si="24"/>
        <v>1</v>
      </c>
      <c r="D136" s="1014"/>
      <c r="E136" s="1004">
        <f t="shared" si="25"/>
        <v>1</v>
      </c>
      <c r="F136" s="1014"/>
      <c r="G136" s="1004">
        <f t="shared" si="26"/>
        <v>1</v>
      </c>
      <c r="H136" s="1014"/>
      <c r="I136" s="1004">
        <f t="shared" si="27"/>
        <v>1</v>
      </c>
      <c r="J136" s="1014"/>
      <c r="K136" s="1004">
        <f t="shared" si="28"/>
        <v>1</v>
      </c>
      <c r="L136" s="1014"/>
      <c r="M136" s="1004">
        <f t="shared" si="29"/>
        <v>1</v>
      </c>
      <c r="N136" s="1014"/>
      <c r="O136" s="1004">
        <f t="shared" si="30"/>
        <v>1</v>
      </c>
      <c r="P136" s="1014"/>
      <c r="Q136" s="1004">
        <f t="shared" si="31"/>
        <v>0</v>
      </c>
      <c r="R136" s="1064">
        <f t="shared" si="32"/>
        <v>0</v>
      </c>
      <c r="S136" s="1003">
        <f t="shared" si="33"/>
        <v>0</v>
      </c>
    </row>
    <row r="137" spans="1:19">
      <c r="A137" s="1012"/>
      <c r="B137" s="1013"/>
      <c r="C137" s="1004">
        <f t="shared" si="24"/>
        <v>1</v>
      </c>
      <c r="D137" s="1014"/>
      <c r="E137" s="1004">
        <f t="shared" si="25"/>
        <v>1</v>
      </c>
      <c r="F137" s="1014"/>
      <c r="G137" s="1004">
        <f t="shared" si="26"/>
        <v>1</v>
      </c>
      <c r="H137" s="1014"/>
      <c r="I137" s="1004">
        <f t="shared" si="27"/>
        <v>1</v>
      </c>
      <c r="J137" s="1014"/>
      <c r="K137" s="1004">
        <f t="shared" si="28"/>
        <v>1</v>
      </c>
      <c r="L137" s="1014"/>
      <c r="M137" s="1004">
        <f t="shared" si="29"/>
        <v>1</v>
      </c>
      <c r="N137" s="1014"/>
      <c r="O137" s="1004">
        <f t="shared" si="30"/>
        <v>1</v>
      </c>
      <c r="P137" s="1014"/>
      <c r="Q137" s="1004">
        <f t="shared" si="31"/>
        <v>0</v>
      </c>
      <c r="R137" s="1064">
        <f t="shared" si="32"/>
        <v>0</v>
      </c>
      <c r="S137" s="1003">
        <f t="shared" si="33"/>
        <v>0</v>
      </c>
    </row>
    <row r="138" spans="1:19">
      <c r="A138" s="1012"/>
      <c r="B138" s="1013"/>
      <c r="C138" s="1004">
        <f t="shared" si="24"/>
        <v>1</v>
      </c>
      <c r="D138" s="1014"/>
      <c r="E138" s="1004">
        <f t="shared" si="25"/>
        <v>1</v>
      </c>
      <c r="F138" s="1014"/>
      <c r="G138" s="1004">
        <f t="shared" si="26"/>
        <v>1</v>
      </c>
      <c r="H138" s="1014"/>
      <c r="I138" s="1004">
        <f t="shared" si="27"/>
        <v>1</v>
      </c>
      <c r="J138" s="1014"/>
      <c r="K138" s="1004">
        <f t="shared" si="28"/>
        <v>1</v>
      </c>
      <c r="L138" s="1014"/>
      <c r="M138" s="1004">
        <f t="shared" si="29"/>
        <v>1</v>
      </c>
      <c r="N138" s="1014"/>
      <c r="O138" s="1004">
        <f t="shared" si="30"/>
        <v>1</v>
      </c>
      <c r="P138" s="1014"/>
      <c r="Q138" s="1004">
        <f t="shared" si="31"/>
        <v>0</v>
      </c>
      <c r="R138" s="1064">
        <f t="shared" si="32"/>
        <v>0</v>
      </c>
      <c r="S138" s="1003">
        <f t="shared" si="33"/>
        <v>0</v>
      </c>
    </row>
    <row r="139" spans="1:19">
      <c r="A139" s="1012"/>
      <c r="B139" s="1013"/>
      <c r="C139" s="1004">
        <f t="shared" si="24"/>
        <v>1</v>
      </c>
      <c r="D139" s="1014"/>
      <c r="E139" s="1004">
        <f t="shared" si="25"/>
        <v>1</v>
      </c>
      <c r="F139" s="1014"/>
      <c r="G139" s="1004">
        <f t="shared" si="26"/>
        <v>1</v>
      </c>
      <c r="H139" s="1014"/>
      <c r="I139" s="1004">
        <f t="shared" si="27"/>
        <v>1</v>
      </c>
      <c r="J139" s="1014"/>
      <c r="K139" s="1004">
        <f t="shared" si="28"/>
        <v>1</v>
      </c>
      <c r="L139" s="1014"/>
      <c r="M139" s="1004">
        <f t="shared" si="29"/>
        <v>1</v>
      </c>
      <c r="N139" s="1014"/>
      <c r="O139" s="1004">
        <f t="shared" si="30"/>
        <v>1</v>
      </c>
      <c r="P139" s="1014"/>
      <c r="Q139" s="1004">
        <f t="shared" si="31"/>
        <v>0</v>
      </c>
      <c r="R139" s="1064">
        <f t="shared" si="32"/>
        <v>0</v>
      </c>
      <c r="S139" s="1003">
        <f t="shared" si="33"/>
        <v>0</v>
      </c>
    </row>
    <row r="140" spans="1:19">
      <c r="A140" s="1012"/>
      <c r="B140" s="1013"/>
      <c r="C140" s="1004">
        <f t="shared" si="24"/>
        <v>1</v>
      </c>
      <c r="D140" s="1014"/>
      <c r="E140" s="1004">
        <f t="shared" si="25"/>
        <v>1</v>
      </c>
      <c r="F140" s="1014"/>
      <c r="G140" s="1004">
        <f t="shared" si="26"/>
        <v>1</v>
      </c>
      <c r="H140" s="1014"/>
      <c r="I140" s="1004">
        <f t="shared" si="27"/>
        <v>1</v>
      </c>
      <c r="J140" s="1014"/>
      <c r="K140" s="1004">
        <f t="shared" si="28"/>
        <v>1</v>
      </c>
      <c r="L140" s="1014"/>
      <c r="M140" s="1004">
        <f t="shared" si="29"/>
        <v>1</v>
      </c>
      <c r="N140" s="1014"/>
      <c r="O140" s="1004">
        <f t="shared" si="30"/>
        <v>1</v>
      </c>
      <c r="P140" s="1014"/>
      <c r="Q140" s="1004">
        <f t="shared" si="31"/>
        <v>0</v>
      </c>
      <c r="R140" s="1064">
        <f t="shared" si="32"/>
        <v>0</v>
      </c>
      <c r="S140" s="1003">
        <f t="shared" si="33"/>
        <v>0</v>
      </c>
    </row>
    <row r="141" spans="1:19">
      <c r="A141" s="1012"/>
      <c r="B141" s="1013"/>
      <c r="C141" s="1004">
        <f t="shared" si="24"/>
        <v>1</v>
      </c>
      <c r="D141" s="1014"/>
      <c r="E141" s="1004">
        <f t="shared" si="25"/>
        <v>1</v>
      </c>
      <c r="F141" s="1014"/>
      <c r="G141" s="1004">
        <f t="shared" si="26"/>
        <v>1</v>
      </c>
      <c r="H141" s="1014"/>
      <c r="I141" s="1004">
        <f t="shared" si="27"/>
        <v>1</v>
      </c>
      <c r="J141" s="1014"/>
      <c r="K141" s="1004">
        <f t="shared" si="28"/>
        <v>1</v>
      </c>
      <c r="L141" s="1014"/>
      <c r="M141" s="1004">
        <f t="shared" si="29"/>
        <v>1</v>
      </c>
      <c r="N141" s="1014"/>
      <c r="O141" s="1004">
        <f t="shared" si="30"/>
        <v>1</v>
      </c>
      <c r="P141" s="1014"/>
      <c r="Q141" s="1004">
        <f t="shared" si="31"/>
        <v>0</v>
      </c>
      <c r="R141" s="1064">
        <f t="shared" si="32"/>
        <v>0</v>
      </c>
      <c r="S141" s="1003">
        <f t="shared" si="33"/>
        <v>0</v>
      </c>
    </row>
    <row r="142" spans="1:19">
      <c r="A142" s="1012"/>
      <c r="B142" s="1013"/>
      <c r="C142" s="1004">
        <f t="shared" si="24"/>
        <v>1</v>
      </c>
      <c r="D142" s="1014"/>
      <c r="E142" s="1004">
        <f t="shared" si="25"/>
        <v>1</v>
      </c>
      <c r="F142" s="1014"/>
      <c r="G142" s="1004">
        <f t="shared" si="26"/>
        <v>1</v>
      </c>
      <c r="H142" s="1014"/>
      <c r="I142" s="1004">
        <f t="shared" si="27"/>
        <v>1</v>
      </c>
      <c r="J142" s="1014"/>
      <c r="K142" s="1004">
        <f t="shared" si="28"/>
        <v>1</v>
      </c>
      <c r="L142" s="1014"/>
      <c r="M142" s="1004">
        <f t="shared" si="29"/>
        <v>1</v>
      </c>
      <c r="N142" s="1014"/>
      <c r="O142" s="1004">
        <f t="shared" si="30"/>
        <v>1</v>
      </c>
      <c r="P142" s="1014"/>
      <c r="Q142" s="1004">
        <f t="shared" si="31"/>
        <v>0</v>
      </c>
      <c r="R142" s="1064">
        <f t="shared" si="32"/>
        <v>0</v>
      </c>
      <c r="S142" s="1003">
        <f t="shared" si="33"/>
        <v>0</v>
      </c>
    </row>
    <row r="143" spans="1:19">
      <c r="A143" s="1012"/>
      <c r="B143" s="1013"/>
      <c r="C143" s="1004">
        <f t="shared" si="24"/>
        <v>1</v>
      </c>
      <c r="D143" s="1014"/>
      <c r="E143" s="1004">
        <f t="shared" si="25"/>
        <v>1</v>
      </c>
      <c r="F143" s="1014"/>
      <c r="G143" s="1004">
        <f t="shared" si="26"/>
        <v>1</v>
      </c>
      <c r="H143" s="1014"/>
      <c r="I143" s="1004">
        <f t="shared" si="27"/>
        <v>1</v>
      </c>
      <c r="J143" s="1014"/>
      <c r="K143" s="1004">
        <f t="shared" si="28"/>
        <v>1</v>
      </c>
      <c r="L143" s="1014"/>
      <c r="M143" s="1004">
        <f t="shared" si="29"/>
        <v>1</v>
      </c>
      <c r="N143" s="1014"/>
      <c r="O143" s="1004">
        <f t="shared" si="30"/>
        <v>1</v>
      </c>
      <c r="P143" s="1014"/>
      <c r="Q143" s="1004">
        <f t="shared" si="31"/>
        <v>0</v>
      </c>
      <c r="R143" s="1064">
        <f t="shared" si="32"/>
        <v>0</v>
      </c>
      <c r="S143" s="1003">
        <f t="shared" si="33"/>
        <v>0</v>
      </c>
    </row>
    <row r="144" spans="1:19">
      <c r="A144" s="1012"/>
      <c r="B144" s="1013"/>
      <c r="C144" s="1004">
        <f t="shared" si="24"/>
        <v>1</v>
      </c>
      <c r="D144" s="1014"/>
      <c r="E144" s="1004">
        <f t="shared" si="25"/>
        <v>1</v>
      </c>
      <c r="F144" s="1014"/>
      <c r="G144" s="1004">
        <f t="shared" si="26"/>
        <v>1</v>
      </c>
      <c r="H144" s="1014"/>
      <c r="I144" s="1004">
        <f t="shared" si="27"/>
        <v>1</v>
      </c>
      <c r="J144" s="1014"/>
      <c r="K144" s="1004">
        <f t="shared" si="28"/>
        <v>1</v>
      </c>
      <c r="L144" s="1014"/>
      <c r="M144" s="1004">
        <f t="shared" si="29"/>
        <v>1</v>
      </c>
      <c r="N144" s="1014"/>
      <c r="O144" s="1004">
        <f t="shared" si="30"/>
        <v>1</v>
      </c>
      <c r="P144" s="1014"/>
      <c r="Q144" s="1004">
        <f t="shared" si="31"/>
        <v>0</v>
      </c>
      <c r="R144" s="1064">
        <f t="shared" si="32"/>
        <v>0</v>
      </c>
      <c r="S144" s="1003">
        <f t="shared" si="33"/>
        <v>0</v>
      </c>
    </row>
    <row r="145" spans="1:19">
      <c r="A145" s="1012"/>
      <c r="B145" s="1013"/>
      <c r="C145" s="1004">
        <f t="shared" si="24"/>
        <v>1</v>
      </c>
      <c r="D145" s="1014"/>
      <c r="E145" s="1004">
        <f t="shared" si="25"/>
        <v>1</v>
      </c>
      <c r="F145" s="1014"/>
      <c r="G145" s="1004">
        <f t="shared" si="26"/>
        <v>1</v>
      </c>
      <c r="H145" s="1014"/>
      <c r="I145" s="1004">
        <f t="shared" si="27"/>
        <v>1</v>
      </c>
      <c r="J145" s="1014"/>
      <c r="K145" s="1004">
        <f t="shared" si="28"/>
        <v>1</v>
      </c>
      <c r="L145" s="1014"/>
      <c r="M145" s="1004">
        <f t="shared" si="29"/>
        <v>1</v>
      </c>
      <c r="N145" s="1014"/>
      <c r="O145" s="1004">
        <f t="shared" si="30"/>
        <v>1</v>
      </c>
      <c r="P145" s="1014"/>
      <c r="Q145" s="1004">
        <f t="shared" si="31"/>
        <v>0</v>
      </c>
      <c r="R145" s="1064">
        <f t="shared" si="32"/>
        <v>0</v>
      </c>
      <c r="S145" s="1003">
        <f t="shared" si="33"/>
        <v>0</v>
      </c>
    </row>
    <row r="146" spans="1:19">
      <c r="A146" s="1012"/>
      <c r="B146" s="1013"/>
      <c r="C146" s="1004">
        <f t="shared" si="24"/>
        <v>1</v>
      </c>
      <c r="D146" s="1014"/>
      <c r="E146" s="1004">
        <f t="shared" si="25"/>
        <v>1</v>
      </c>
      <c r="F146" s="1014"/>
      <c r="G146" s="1004">
        <f t="shared" si="26"/>
        <v>1</v>
      </c>
      <c r="H146" s="1014"/>
      <c r="I146" s="1004">
        <f t="shared" si="27"/>
        <v>1</v>
      </c>
      <c r="J146" s="1014"/>
      <c r="K146" s="1004">
        <f t="shared" si="28"/>
        <v>1</v>
      </c>
      <c r="L146" s="1014"/>
      <c r="M146" s="1004">
        <f t="shared" si="29"/>
        <v>1</v>
      </c>
      <c r="N146" s="1014"/>
      <c r="O146" s="1004">
        <f t="shared" si="30"/>
        <v>1</v>
      </c>
      <c r="P146" s="1014"/>
      <c r="Q146" s="1004">
        <f t="shared" si="31"/>
        <v>0</v>
      </c>
      <c r="R146" s="1064">
        <f t="shared" si="32"/>
        <v>0</v>
      </c>
      <c r="S146" s="1003">
        <f t="shared" si="33"/>
        <v>0</v>
      </c>
    </row>
    <row r="147" spans="1:19">
      <c r="A147" s="1012"/>
      <c r="B147" s="1013"/>
      <c r="C147" s="1004">
        <f t="shared" si="24"/>
        <v>1</v>
      </c>
      <c r="D147" s="1014"/>
      <c r="E147" s="1004">
        <f t="shared" si="25"/>
        <v>1</v>
      </c>
      <c r="F147" s="1014"/>
      <c r="G147" s="1004">
        <f t="shared" si="26"/>
        <v>1</v>
      </c>
      <c r="H147" s="1014"/>
      <c r="I147" s="1004">
        <f t="shared" si="27"/>
        <v>1</v>
      </c>
      <c r="J147" s="1014"/>
      <c r="K147" s="1004">
        <f t="shared" si="28"/>
        <v>1</v>
      </c>
      <c r="L147" s="1014"/>
      <c r="M147" s="1004">
        <f t="shared" si="29"/>
        <v>1</v>
      </c>
      <c r="N147" s="1014"/>
      <c r="O147" s="1004">
        <f t="shared" si="30"/>
        <v>1</v>
      </c>
      <c r="P147" s="1014"/>
      <c r="Q147" s="1004">
        <f t="shared" si="31"/>
        <v>0</v>
      </c>
      <c r="R147" s="1064">
        <f t="shared" si="32"/>
        <v>0</v>
      </c>
      <c r="S147" s="1003">
        <f t="shared" si="33"/>
        <v>0</v>
      </c>
    </row>
    <row r="148" spans="1:19">
      <c r="A148" s="1012"/>
      <c r="B148" s="1013"/>
      <c r="C148" s="1004">
        <f t="shared" si="24"/>
        <v>1</v>
      </c>
      <c r="D148" s="1014"/>
      <c r="E148" s="1004">
        <f t="shared" si="25"/>
        <v>1</v>
      </c>
      <c r="F148" s="1014"/>
      <c r="G148" s="1004">
        <f t="shared" si="26"/>
        <v>1</v>
      </c>
      <c r="H148" s="1014"/>
      <c r="I148" s="1004">
        <f t="shared" si="27"/>
        <v>1</v>
      </c>
      <c r="J148" s="1014"/>
      <c r="K148" s="1004">
        <f t="shared" si="28"/>
        <v>1</v>
      </c>
      <c r="L148" s="1014"/>
      <c r="M148" s="1004">
        <f t="shared" si="29"/>
        <v>1</v>
      </c>
      <c r="N148" s="1014"/>
      <c r="O148" s="1004">
        <f t="shared" si="30"/>
        <v>1</v>
      </c>
      <c r="P148" s="1014"/>
      <c r="Q148" s="1004">
        <f t="shared" si="31"/>
        <v>0</v>
      </c>
      <c r="R148" s="1064">
        <f t="shared" si="32"/>
        <v>0</v>
      </c>
      <c r="S148" s="1003">
        <f t="shared" si="33"/>
        <v>0</v>
      </c>
    </row>
    <row r="149" spans="1:19">
      <c r="A149" s="1012"/>
      <c r="B149" s="1013"/>
      <c r="C149" s="1004">
        <f t="shared" si="24"/>
        <v>1</v>
      </c>
      <c r="D149" s="1014"/>
      <c r="E149" s="1004">
        <f t="shared" si="25"/>
        <v>1</v>
      </c>
      <c r="F149" s="1014"/>
      <c r="G149" s="1004">
        <f t="shared" si="26"/>
        <v>1</v>
      </c>
      <c r="H149" s="1014"/>
      <c r="I149" s="1004">
        <f t="shared" si="27"/>
        <v>1</v>
      </c>
      <c r="J149" s="1014"/>
      <c r="K149" s="1004">
        <f t="shared" si="28"/>
        <v>1</v>
      </c>
      <c r="L149" s="1014"/>
      <c r="M149" s="1004">
        <f t="shared" si="29"/>
        <v>1</v>
      </c>
      <c r="N149" s="1014"/>
      <c r="O149" s="1004">
        <f t="shared" si="30"/>
        <v>1</v>
      </c>
      <c r="P149" s="1014"/>
      <c r="Q149" s="1004">
        <f t="shared" si="31"/>
        <v>0</v>
      </c>
      <c r="R149" s="1064">
        <f t="shared" si="32"/>
        <v>0</v>
      </c>
      <c r="S149" s="1003">
        <f t="shared" si="33"/>
        <v>0</v>
      </c>
    </row>
    <row r="150" spans="1:19">
      <c r="A150" s="1012"/>
      <c r="B150" s="1013"/>
      <c r="C150" s="1004">
        <f t="shared" si="24"/>
        <v>1</v>
      </c>
      <c r="D150" s="1014"/>
      <c r="E150" s="1004">
        <f t="shared" si="25"/>
        <v>1</v>
      </c>
      <c r="F150" s="1014"/>
      <c r="G150" s="1004">
        <f t="shared" si="26"/>
        <v>1</v>
      </c>
      <c r="H150" s="1014"/>
      <c r="I150" s="1004">
        <f t="shared" si="27"/>
        <v>1</v>
      </c>
      <c r="J150" s="1014"/>
      <c r="K150" s="1004">
        <f t="shared" si="28"/>
        <v>1</v>
      </c>
      <c r="L150" s="1014"/>
      <c r="M150" s="1004">
        <f t="shared" si="29"/>
        <v>1</v>
      </c>
      <c r="N150" s="1014"/>
      <c r="O150" s="1004">
        <f t="shared" si="30"/>
        <v>1</v>
      </c>
      <c r="P150" s="1014"/>
      <c r="Q150" s="1004">
        <f t="shared" si="31"/>
        <v>0</v>
      </c>
      <c r="R150" s="1064">
        <f t="shared" si="32"/>
        <v>0</v>
      </c>
      <c r="S150" s="1003">
        <f t="shared" si="33"/>
        <v>0</v>
      </c>
    </row>
    <row r="151" spans="1:19">
      <c r="A151" s="1012"/>
      <c r="B151" s="1013"/>
      <c r="C151" s="1004">
        <f t="shared" si="24"/>
        <v>1</v>
      </c>
      <c r="D151" s="1014"/>
      <c r="E151" s="1004">
        <f t="shared" si="25"/>
        <v>1</v>
      </c>
      <c r="F151" s="1014"/>
      <c r="G151" s="1004">
        <f t="shared" si="26"/>
        <v>1</v>
      </c>
      <c r="H151" s="1014"/>
      <c r="I151" s="1004">
        <f t="shared" si="27"/>
        <v>1</v>
      </c>
      <c r="J151" s="1014"/>
      <c r="K151" s="1004">
        <f t="shared" si="28"/>
        <v>1</v>
      </c>
      <c r="L151" s="1014"/>
      <c r="M151" s="1004">
        <f t="shared" si="29"/>
        <v>1</v>
      </c>
      <c r="N151" s="1014"/>
      <c r="O151" s="1004">
        <f t="shared" si="30"/>
        <v>1</v>
      </c>
      <c r="P151" s="1014"/>
      <c r="Q151" s="1004">
        <f t="shared" si="31"/>
        <v>0</v>
      </c>
      <c r="R151" s="1064">
        <f t="shared" si="32"/>
        <v>0</v>
      </c>
      <c r="S151" s="1003">
        <f t="shared" si="33"/>
        <v>0</v>
      </c>
    </row>
    <row r="152" spans="1:19">
      <c r="A152" s="1012"/>
      <c r="B152" s="1013"/>
      <c r="C152" s="1004">
        <f t="shared" si="24"/>
        <v>1</v>
      </c>
      <c r="D152" s="1014"/>
      <c r="E152" s="1004">
        <f t="shared" si="25"/>
        <v>1</v>
      </c>
      <c r="F152" s="1014"/>
      <c r="G152" s="1004">
        <f t="shared" si="26"/>
        <v>1</v>
      </c>
      <c r="H152" s="1014"/>
      <c r="I152" s="1004">
        <f t="shared" si="27"/>
        <v>1</v>
      </c>
      <c r="J152" s="1014"/>
      <c r="K152" s="1004">
        <f t="shared" si="28"/>
        <v>1</v>
      </c>
      <c r="L152" s="1014"/>
      <c r="M152" s="1004">
        <f t="shared" si="29"/>
        <v>1</v>
      </c>
      <c r="N152" s="1014"/>
      <c r="O152" s="1004">
        <f t="shared" si="30"/>
        <v>1</v>
      </c>
      <c r="P152" s="1014"/>
      <c r="Q152" s="1004">
        <f t="shared" si="31"/>
        <v>0</v>
      </c>
      <c r="R152" s="1064">
        <f t="shared" si="32"/>
        <v>0</v>
      </c>
      <c r="S152" s="1003">
        <f t="shared" si="33"/>
        <v>0</v>
      </c>
    </row>
    <row r="153" spans="1:19">
      <c r="A153" s="1012"/>
      <c r="B153" s="1013"/>
      <c r="C153" s="1004">
        <f t="shared" si="24"/>
        <v>1</v>
      </c>
      <c r="D153" s="1014"/>
      <c r="E153" s="1004">
        <f t="shared" si="25"/>
        <v>1</v>
      </c>
      <c r="F153" s="1014"/>
      <c r="G153" s="1004">
        <f t="shared" si="26"/>
        <v>1</v>
      </c>
      <c r="H153" s="1014"/>
      <c r="I153" s="1004">
        <f t="shared" si="27"/>
        <v>1</v>
      </c>
      <c r="J153" s="1014"/>
      <c r="K153" s="1004">
        <f t="shared" si="28"/>
        <v>1</v>
      </c>
      <c r="L153" s="1014"/>
      <c r="M153" s="1004">
        <f t="shared" si="29"/>
        <v>1</v>
      </c>
      <c r="N153" s="1014"/>
      <c r="O153" s="1004">
        <f t="shared" si="30"/>
        <v>1</v>
      </c>
      <c r="P153" s="1014"/>
      <c r="Q153" s="1004">
        <f t="shared" si="31"/>
        <v>0</v>
      </c>
      <c r="R153" s="1064">
        <f t="shared" si="32"/>
        <v>0</v>
      </c>
      <c r="S153" s="1003">
        <f t="shared" si="33"/>
        <v>0</v>
      </c>
    </row>
    <row r="154" spans="1:19">
      <c r="A154" s="1012"/>
      <c r="B154" s="1013"/>
      <c r="C154" s="1004">
        <f t="shared" ref="C154:C217" si="34">IF(B154="",1,(LOOKUP(B154,$3:$3,$4:$4)-LOOKUP($B$24,$3:$3,$4:$4)+100)/100)</f>
        <v>1</v>
      </c>
      <c r="D154" s="1014"/>
      <c r="E154" s="1004">
        <f t="shared" ref="E154:E217" si="35">(SUMIF($5:$5,D154,$6:$6)-SUMIF($5:$5,$D$24,$6:$6)+100)/100</f>
        <v>1</v>
      </c>
      <c r="F154" s="1014"/>
      <c r="G154" s="1004">
        <f t="shared" ref="G154:G217" si="36">(SUMIF($7:$7,F154,$8:$8)-SUMIF($7:$7,$F$24,$8:$8)+100)/100</f>
        <v>1</v>
      </c>
      <c r="H154" s="1014"/>
      <c r="I154" s="1004">
        <f t="shared" ref="I154:I217" si="37">(SUMIF($9:$9,H154,$10:$10)-SUMIF($9:$9,$H$24,$10:$10)+100)/100</f>
        <v>1</v>
      </c>
      <c r="J154" s="1014"/>
      <c r="K154" s="1004">
        <f t="shared" ref="K154:K217" si="38">(SUMIF($11:$11,J154,$12:$12)-SUMIF($11:$11,$J$24,$12:$12)+100)/100</f>
        <v>1</v>
      </c>
      <c r="L154" s="1014"/>
      <c r="M154" s="1004">
        <f t="shared" ref="M154:M217" si="39">(SUMIF($13:$13,L154,$14:$14)-SUMIF($13:$13,$L$24,$14:$14)+100)/100</f>
        <v>1</v>
      </c>
      <c r="N154" s="1014"/>
      <c r="O154" s="1004">
        <f t="shared" ref="O154:O217" si="40">(SUMIF($15:$15,N154,$16:$16)-SUMIF($15:$15,$N$24,$16:$16)+100)/100</f>
        <v>1</v>
      </c>
      <c r="P154" s="1014"/>
      <c r="Q154" s="1004">
        <f t="shared" ref="Q154:Q217" si="41">(SUMIF($17:$17,P154,$18:$18)-SUMIF($17:$17,$P$24,$18:$18)+100)/100</f>
        <v>0</v>
      </c>
      <c r="R154" s="1064">
        <f t="shared" ref="R154:R217" si="42">IF(B154="",0,ROUND($R$24*C154*E154*G154*I154*K154*M154*O154*Q154,0))</f>
        <v>0</v>
      </c>
      <c r="S154" s="1003">
        <f t="shared" si="33"/>
        <v>0</v>
      </c>
    </row>
    <row r="155" spans="1:19">
      <c r="A155" s="1012"/>
      <c r="B155" s="1013"/>
      <c r="C155" s="1004">
        <f t="shared" si="34"/>
        <v>1</v>
      </c>
      <c r="D155" s="1014"/>
      <c r="E155" s="1004">
        <f t="shared" si="35"/>
        <v>1</v>
      </c>
      <c r="F155" s="1014"/>
      <c r="G155" s="1004">
        <f t="shared" si="36"/>
        <v>1</v>
      </c>
      <c r="H155" s="1014"/>
      <c r="I155" s="1004">
        <f t="shared" si="37"/>
        <v>1</v>
      </c>
      <c r="J155" s="1014"/>
      <c r="K155" s="1004">
        <f t="shared" si="38"/>
        <v>1</v>
      </c>
      <c r="L155" s="1014"/>
      <c r="M155" s="1004">
        <f t="shared" si="39"/>
        <v>1</v>
      </c>
      <c r="N155" s="1014"/>
      <c r="O155" s="1004">
        <f t="shared" si="40"/>
        <v>1</v>
      </c>
      <c r="P155" s="1014"/>
      <c r="Q155" s="1004">
        <f t="shared" si="41"/>
        <v>0</v>
      </c>
      <c r="R155" s="1064">
        <f t="shared" si="42"/>
        <v>0</v>
      </c>
      <c r="S155" s="1003">
        <f t="shared" si="33"/>
        <v>0</v>
      </c>
    </row>
    <row r="156" spans="1:19">
      <c r="A156" s="1012"/>
      <c r="B156" s="1013"/>
      <c r="C156" s="1004">
        <f t="shared" si="34"/>
        <v>1</v>
      </c>
      <c r="D156" s="1014"/>
      <c r="E156" s="1004">
        <f t="shared" si="35"/>
        <v>1</v>
      </c>
      <c r="F156" s="1014"/>
      <c r="G156" s="1004">
        <f t="shared" si="36"/>
        <v>1</v>
      </c>
      <c r="H156" s="1014"/>
      <c r="I156" s="1004">
        <f t="shared" si="37"/>
        <v>1</v>
      </c>
      <c r="J156" s="1014"/>
      <c r="K156" s="1004">
        <f t="shared" si="38"/>
        <v>1</v>
      </c>
      <c r="L156" s="1014"/>
      <c r="M156" s="1004">
        <f t="shared" si="39"/>
        <v>1</v>
      </c>
      <c r="N156" s="1014"/>
      <c r="O156" s="1004">
        <f t="shared" si="40"/>
        <v>1</v>
      </c>
      <c r="P156" s="1014"/>
      <c r="Q156" s="1004">
        <f t="shared" si="41"/>
        <v>0</v>
      </c>
      <c r="R156" s="1064">
        <f t="shared" si="42"/>
        <v>0</v>
      </c>
      <c r="S156" s="1003">
        <f t="shared" si="33"/>
        <v>0</v>
      </c>
    </row>
    <row r="157" spans="1:19">
      <c r="A157" s="1012"/>
      <c r="B157" s="1013"/>
      <c r="C157" s="1004">
        <f t="shared" si="34"/>
        <v>1</v>
      </c>
      <c r="D157" s="1014"/>
      <c r="E157" s="1004">
        <f t="shared" si="35"/>
        <v>1</v>
      </c>
      <c r="F157" s="1014"/>
      <c r="G157" s="1004">
        <f t="shared" si="36"/>
        <v>1</v>
      </c>
      <c r="H157" s="1014"/>
      <c r="I157" s="1004">
        <f t="shared" si="37"/>
        <v>1</v>
      </c>
      <c r="J157" s="1014"/>
      <c r="K157" s="1004">
        <f t="shared" si="38"/>
        <v>1</v>
      </c>
      <c r="L157" s="1014"/>
      <c r="M157" s="1004">
        <f t="shared" si="39"/>
        <v>1</v>
      </c>
      <c r="N157" s="1014"/>
      <c r="O157" s="1004">
        <f t="shared" si="40"/>
        <v>1</v>
      </c>
      <c r="P157" s="1014"/>
      <c r="Q157" s="1004">
        <f t="shared" si="41"/>
        <v>0</v>
      </c>
      <c r="R157" s="1064">
        <f t="shared" si="42"/>
        <v>0</v>
      </c>
      <c r="S157" s="1003">
        <f t="shared" si="33"/>
        <v>0</v>
      </c>
    </row>
    <row r="158" spans="1:19">
      <c r="A158" s="1012"/>
      <c r="B158" s="1013"/>
      <c r="C158" s="1004">
        <f t="shared" si="34"/>
        <v>1</v>
      </c>
      <c r="D158" s="1014"/>
      <c r="E158" s="1004">
        <f t="shared" si="35"/>
        <v>1</v>
      </c>
      <c r="F158" s="1014"/>
      <c r="G158" s="1004">
        <f t="shared" si="36"/>
        <v>1</v>
      </c>
      <c r="H158" s="1014"/>
      <c r="I158" s="1004">
        <f t="shared" si="37"/>
        <v>1</v>
      </c>
      <c r="J158" s="1014"/>
      <c r="K158" s="1004">
        <f t="shared" si="38"/>
        <v>1</v>
      </c>
      <c r="L158" s="1014"/>
      <c r="M158" s="1004">
        <f t="shared" si="39"/>
        <v>1</v>
      </c>
      <c r="N158" s="1014"/>
      <c r="O158" s="1004">
        <f t="shared" si="40"/>
        <v>1</v>
      </c>
      <c r="P158" s="1014"/>
      <c r="Q158" s="1004">
        <f t="shared" si="41"/>
        <v>0</v>
      </c>
      <c r="R158" s="1064">
        <f t="shared" si="42"/>
        <v>0</v>
      </c>
      <c r="S158" s="1003">
        <f t="shared" si="33"/>
        <v>0</v>
      </c>
    </row>
    <row r="159" spans="1:19">
      <c r="A159" s="1012"/>
      <c r="B159" s="1013"/>
      <c r="C159" s="1004">
        <f t="shared" si="34"/>
        <v>1</v>
      </c>
      <c r="D159" s="1014"/>
      <c r="E159" s="1004">
        <f t="shared" si="35"/>
        <v>1</v>
      </c>
      <c r="F159" s="1014"/>
      <c r="G159" s="1004">
        <f t="shared" si="36"/>
        <v>1</v>
      </c>
      <c r="H159" s="1014"/>
      <c r="I159" s="1004">
        <f t="shared" si="37"/>
        <v>1</v>
      </c>
      <c r="J159" s="1014"/>
      <c r="K159" s="1004">
        <f t="shared" si="38"/>
        <v>1</v>
      </c>
      <c r="L159" s="1014"/>
      <c r="M159" s="1004">
        <f t="shared" si="39"/>
        <v>1</v>
      </c>
      <c r="N159" s="1014"/>
      <c r="O159" s="1004">
        <f t="shared" si="40"/>
        <v>1</v>
      </c>
      <c r="P159" s="1014"/>
      <c r="Q159" s="1004">
        <f t="shared" si="41"/>
        <v>0</v>
      </c>
      <c r="R159" s="1064">
        <f t="shared" si="42"/>
        <v>0</v>
      </c>
      <c r="S159" s="1003">
        <f t="shared" si="33"/>
        <v>0</v>
      </c>
    </row>
    <row r="160" spans="1:19">
      <c r="A160" s="1012"/>
      <c r="B160" s="1013"/>
      <c r="C160" s="1004">
        <f t="shared" si="34"/>
        <v>1</v>
      </c>
      <c r="D160" s="1014"/>
      <c r="E160" s="1004">
        <f t="shared" si="35"/>
        <v>1</v>
      </c>
      <c r="F160" s="1014"/>
      <c r="G160" s="1004">
        <f t="shared" si="36"/>
        <v>1</v>
      </c>
      <c r="H160" s="1014"/>
      <c r="I160" s="1004">
        <f t="shared" si="37"/>
        <v>1</v>
      </c>
      <c r="J160" s="1014"/>
      <c r="K160" s="1004">
        <f t="shared" si="38"/>
        <v>1</v>
      </c>
      <c r="L160" s="1014"/>
      <c r="M160" s="1004">
        <f t="shared" si="39"/>
        <v>1</v>
      </c>
      <c r="N160" s="1014"/>
      <c r="O160" s="1004">
        <f t="shared" si="40"/>
        <v>1</v>
      </c>
      <c r="P160" s="1014"/>
      <c r="Q160" s="1004">
        <f t="shared" si="41"/>
        <v>0</v>
      </c>
      <c r="R160" s="1064">
        <f t="shared" si="42"/>
        <v>0</v>
      </c>
      <c r="S160" s="1003">
        <f t="shared" si="33"/>
        <v>0</v>
      </c>
    </row>
    <row r="161" spans="1:19">
      <c r="A161" s="1012"/>
      <c r="B161" s="1013"/>
      <c r="C161" s="1004">
        <f t="shared" si="34"/>
        <v>1</v>
      </c>
      <c r="D161" s="1014"/>
      <c r="E161" s="1004">
        <f t="shared" si="35"/>
        <v>1</v>
      </c>
      <c r="F161" s="1014"/>
      <c r="G161" s="1004">
        <f t="shared" si="36"/>
        <v>1</v>
      </c>
      <c r="H161" s="1014"/>
      <c r="I161" s="1004">
        <f t="shared" si="37"/>
        <v>1</v>
      </c>
      <c r="J161" s="1014"/>
      <c r="K161" s="1004">
        <f t="shared" si="38"/>
        <v>1</v>
      </c>
      <c r="L161" s="1014"/>
      <c r="M161" s="1004">
        <f t="shared" si="39"/>
        <v>1</v>
      </c>
      <c r="N161" s="1014"/>
      <c r="O161" s="1004">
        <f t="shared" si="40"/>
        <v>1</v>
      </c>
      <c r="P161" s="1014"/>
      <c r="Q161" s="1004">
        <f t="shared" si="41"/>
        <v>0</v>
      </c>
      <c r="R161" s="1064">
        <f t="shared" si="42"/>
        <v>0</v>
      </c>
      <c r="S161" s="1003">
        <f t="shared" si="33"/>
        <v>0</v>
      </c>
    </row>
    <row r="162" spans="1:19">
      <c r="A162" s="1012"/>
      <c r="B162" s="1013"/>
      <c r="C162" s="1004">
        <f t="shared" si="34"/>
        <v>1</v>
      </c>
      <c r="D162" s="1014"/>
      <c r="E162" s="1004">
        <f t="shared" si="35"/>
        <v>1</v>
      </c>
      <c r="F162" s="1014"/>
      <c r="G162" s="1004">
        <f t="shared" si="36"/>
        <v>1</v>
      </c>
      <c r="H162" s="1014"/>
      <c r="I162" s="1004">
        <f t="shared" si="37"/>
        <v>1</v>
      </c>
      <c r="J162" s="1014"/>
      <c r="K162" s="1004">
        <f t="shared" si="38"/>
        <v>1</v>
      </c>
      <c r="L162" s="1014"/>
      <c r="M162" s="1004">
        <f t="shared" si="39"/>
        <v>1</v>
      </c>
      <c r="N162" s="1014"/>
      <c r="O162" s="1004">
        <f t="shared" si="40"/>
        <v>1</v>
      </c>
      <c r="P162" s="1014"/>
      <c r="Q162" s="1004">
        <f t="shared" si="41"/>
        <v>0</v>
      </c>
      <c r="R162" s="1064">
        <f t="shared" si="42"/>
        <v>0</v>
      </c>
      <c r="S162" s="1003">
        <f t="shared" si="33"/>
        <v>0</v>
      </c>
    </row>
    <row r="163" spans="1:19">
      <c r="A163" s="1012"/>
      <c r="B163" s="1013"/>
      <c r="C163" s="1004">
        <f t="shared" si="34"/>
        <v>1</v>
      </c>
      <c r="D163" s="1014"/>
      <c r="E163" s="1004">
        <f t="shared" si="35"/>
        <v>1</v>
      </c>
      <c r="F163" s="1014"/>
      <c r="G163" s="1004">
        <f t="shared" si="36"/>
        <v>1</v>
      </c>
      <c r="H163" s="1014"/>
      <c r="I163" s="1004">
        <f t="shared" si="37"/>
        <v>1</v>
      </c>
      <c r="J163" s="1014"/>
      <c r="K163" s="1004">
        <f t="shared" si="38"/>
        <v>1</v>
      </c>
      <c r="L163" s="1014"/>
      <c r="M163" s="1004">
        <f t="shared" si="39"/>
        <v>1</v>
      </c>
      <c r="N163" s="1014"/>
      <c r="O163" s="1004">
        <f t="shared" si="40"/>
        <v>1</v>
      </c>
      <c r="P163" s="1014"/>
      <c r="Q163" s="1004">
        <f t="shared" si="41"/>
        <v>0</v>
      </c>
      <c r="R163" s="1064">
        <f t="shared" si="42"/>
        <v>0</v>
      </c>
      <c r="S163" s="1003">
        <f t="shared" si="33"/>
        <v>0</v>
      </c>
    </row>
    <row r="164" spans="1:19">
      <c r="A164" s="1012"/>
      <c r="B164" s="1013"/>
      <c r="C164" s="1004">
        <f t="shared" si="34"/>
        <v>1</v>
      </c>
      <c r="D164" s="1014"/>
      <c r="E164" s="1004">
        <f t="shared" si="35"/>
        <v>1</v>
      </c>
      <c r="F164" s="1014"/>
      <c r="G164" s="1004">
        <f t="shared" si="36"/>
        <v>1</v>
      </c>
      <c r="H164" s="1014"/>
      <c r="I164" s="1004">
        <f t="shared" si="37"/>
        <v>1</v>
      </c>
      <c r="J164" s="1014"/>
      <c r="K164" s="1004">
        <f t="shared" si="38"/>
        <v>1</v>
      </c>
      <c r="L164" s="1014"/>
      <c r="M164" s="1004">
        <f t="shared" si="39"/>
        <v>1</v>
      </c>
      <c r="N164" s="1014"/>
      <c r="O164" s="1004">
        <f t="shared" si="40"/>
        <v>1</v>
      </c>
      <c r="P164" s="1014"/>
      <c r="Q164" s="1004">
        <f t="shared" si="41"/>
        <v>0</v>
      </c>
      <c r="R164" s="1064">
        <f t="shared" si="42"/>
        <v>0</v>
      </c>
      <c r="S164" s="1003">
        <f t="shared" si="33"/>
        <v>0</v>
      </c>
    </row>
    <row r="165" spans="1:19">
      <c r="A165" s="1012"/>
      <c r="B165" s="1013"/>
      <c r="C165" s="1004">
        <f t="shared" si="34"/>
        <v>1</v>
      </c>
      <c r="D165" s="1014"/>
      <c r="E165" s="1004">
        <f t="shared" si="35"/>
        <v>1</v>
      </c>
      <c r="F165" s="1014"/>
      <c r="G165" s="1004">
        <f t="shared" si="36"/>
        <v>1</v>
      </c>
      <c r="H165" s="1014"/>
      <c r="I165" s="1004">
        <f t="shared" si="37"/>
        <v>1</v>
      </c>
      <c r="J165" s="1014"/>
      <c r="K165" s="1004">
        <f t="shared" si="38"/>
        <v>1</v>
      </c>
      <c r="L165" s="1014"/>
      <c r="M165" s="1004">
        <f t="shared" si="39"/>
        <v>1</v>
      </c>
      <c r="N165" s="1014"/>
      <c r="O165" s="1004">
        <f t="shared" si="40"/>
        <v>1</v>
      </c>
      <c r="P165" s="1014"/>
      <c r="Q165" s="1004">
        <f t="shared" si="41"/>
        <v>0</v>
      </c>
      <c r="R165" s="1064">
        <f t="shared" si="42"/>
        <v>0</v>
      </c>
      <c r="S165" s="1003">
        <f t="shared" si="33"/>
        <v>0</v>
      </c>
    </row>
    <row r="166" spans="1:19">
      <c r="A166" s="1012"/>
      <c r="B166" s="1013"/>
      <c r="C166" s="1004">
        <f t="shared" si="34"/>
        <v>1</v>
      </c>
      <c r="D166" s="1014"/>
      <c r="E166" s="1004">
        <f t="shared" si="35"/>
        <v>1</v>
      </c>
      <c r="F166" s="1014"/>
      <c r="G166" s="1004">
        <f t="shared" si="36"/>
        <v>1</v>
      </c>
      <c r="H166" s="1014"/>
      <c r="I166" s="1004">
        <f t="shared" si="37"/>
        <v>1</v>
      </c>
      <c r="J166" s="1014"/>
      <c r="K166" s="1004">
        <f t="shared" si="38"/>
        <v>1</v>
      </c>
      <c r="L166" s="1014"/>
      <c r="M166" s="1004">
        <f t="shared" si="39"/>
        <v>1</v>
      </c>
      <c r="N166" s="1014"/>
      <c r="O166" s="1004">
        <f t="shared" si="40"/>
        <v>1</v>
      </c>
      <c r="P166" s="1014"/>
      <c r="Q166" s="1004">
        <f t="shared" si="41"/>
        <v>0</v>
      </c>
      <c r="R166" s="1064">
        <f t="shared" si="42"/>
        <v>0</v>
      </c>
      <c r="S166" s="1003">
        <f t="shared" si="33"/>
        <v>0</v>
      </c>
    </row>
    <row r="167" spans="1:19">
      <c r="A167" s="1012"/>
      <c r="B167" s="1013"/>
      <c r="C167" s="1004">
        <f t="shared" si="34"/>
        <v>1</v>
      </c>
      <c r="D167" s="1014"/>
      <c r="E167" s="1004">
        <f t="shared" si="35"/>
        <v>1</v>
      </c>
      <c r="F167" s="1014"/>
      <c r="G167" s="1004">
        <f t="shared" si="36"/>
        <v>1</v>
      </c>
      <c r="H167" s="1014"/>
      <c r="I167" s="1004">
        <f t="shared" si="37"/>
        <v>1</v>
      </c>
      <c r="J167" s="1014"/>
      <c r="K167" s="1004">
        <f t="shared" si="38"/>
        <v>1</v>
      </c>
      <c r="L167" s="1014"/>
      <c r="M167" s="1004">
        <f t="shared" si="39"/>
        <v>1</v>
      </c>
      <c r="N167" s="1014"/>
      <c r="O167" s="1004">
        <f t="shared" si="40"/>
        <v>1</v>
      </c>
      <c r="P167" s="1014"/>
      <c r="Q167" s="1004">
        <f t="shared" si="41"/>
        <v>0</v>
      </c>
      <c r="R167" s="1064">
        <f t="shared" si="42"/>
        <v>0</v>
      </c>
      <c r="S167" s="1003">
        <f t="shared" si="33"/>
        <v>0</v>
      </c>
    </row>
    <row r="168" spans="1:19">
      <c r="A168" s="1012"/>
      <c r="B168" s="1013"/>
      <c r="C168" s="1004">
        <f t="shared" si="34"/>
        <v>1</v>
      </c>
      <c r="D168" s="1014"/>
      <c r="E168" s="1004">
        <f t="shared" si="35"/>
        <v>1</v>
      </c>
      <c r="F168" s="1014"/>
      <c r="G168" s="1004">
        <f t="shared" si="36"/>
        <v>1</v>
      </c>
      <c r="H168" s="1014"/>
      <c r="I168" s="1004">
        <f t="shared" si="37"/>
        <v>1</v>
      </c>
      <c r="J168" s="1014"/>
      <c r="K168" s="1004">
        <f t="shared" si="38"/>
        <v>1</v>
      </c>
      <c r="L168" s="1014"/>
      <c r="M168" s="1004">
        <f t="shared" si="39"/>
        <v>1</v>
      </c>
      <c r="N168" s="1014"/>
      <c r="O168" s="1004">
        <f t="shared" si="40"/>
        <v>1</v>
      </c>
      <c r="P168" s="1014"/>
      <c r="Q168" s="1004">
        <f t="shared" si="41"/>
        <v>0</v>
      </c>
      <c r="R168" s="1064">
        <f t="shared" si="42"/>
        <v>0</v>
      </c>
      <c r="S168" s="1003">
        <f t="shared" si="33"/>
        <v>0</v>
      </c>
    </row>
    <row r="169" spans="1:19">
      <c r="A169" s="1012"/>
      <c r="B169" s="1013"/>
      <c r="C169" s="1004">
        <f t="shared" si="34"/>
        <v>1</v>
      </c>
      <c r="D169" s="1014"/>
      <c r="E169" s="1004">
        <f t="shared" si="35"/>
        <v>1</v>
      </c>
      <c r="F169" s="1014"/>
      <c r="G169" s="1004">
        <f t="shared" si="36"/>
        <v>1</v>
      </c>
      <c r="H169" s="1014"/>
      <c r="I169" s="1004">
        <f t="shared" si="37"/>
        <v>1</v>
      </c>
      <c r="J169" s="1014"/>
      <c r="K169" s="1004">
        <f t="shared" si="38"/>
        <v>1</v>
      </c>
      <c r="L169" s="1014"/>
      <c r="M169" s="1004">
        <f t="shared" si="39"/>
        <v>1</v>
      </c>
      <c r="N169" s="1014"/>
      <c r="O169" s="1004">
        <f t="shared" si="40"/>
        <v>1</v>
      </c>
      <c r="P169" s="1014"/>
      <c r="Q169" s="1004">
        <f t="shared" si="41"/>
        <v>0</v>
      </c>
      <c r="R169" s="1064">
        <f t="shared" si="42"/>
        <v>0</v>
      </c>
      <c r="S169" s="1003">
        <f t="shared" si="33"/>
        <v>0</v>
      </c>
    </row>
    <row r="170" spans="1:19">
      <c r="A170" s="1012"/>
      <c r="B170" s="1013"/>
      <c r="C170" s="1004">
        <f t="shared" si="34"/>
        <v>1</v>
      </c>
      <c r="D170" s="1014"/>
      <c r="E170" s="1004">
        <f t="shared" si="35"/>
        <v>1</v>
      </c>
      <c r="F170" s="1014"/>
      <c r="G170" s="1004">
        <f t="shared" si="36"/>
        <v>1</v>
      </c>
      <c r="H170" s="1014"/>
      <c r="I170" s="1004">
        <f t="shared" si="37"/>
        <v>1</v>
      </c>
      <c r="J170" s="1014"/>
      <c r="K170" s="1004">
        <f t="shared" si="38"/>
        <v>1</v>
      </c>
      <c r="L170" s="1014"/>
      <c r="M170" s="1004">
        <f t="shared" si="39"/>
        <v>1</v>
      </c>
      <c r="N170" s="1014"/>
      <c r="O170" s="1004">
        <f t="shared" si="40"/>
        <v>1</v>
      </c>
      <c r="P170" s="1014"/>
      <c r="Q170" s="1004">
        <f t="shared" si="41"/>
        <v>0</v>
      </c>
      <c r="R170" s="1064">
        <f t="shared" si="42"/>
        <v>0</v>
      </c>
      <c r="S170" s="1003">
        <f t="shared" si="33"/>
        <v>0</v>
      </c>
    </row>
    <row r="171" spans="1:19">
      <c r="A171" s="1012"/>
      <c r="B171" s="1013"/>
      <c r="C171" s="1004">
        <f t="shared" si="34"/>
        <v>1</v>
      </c>
      <c r="D171" s="1014"/>
      <c r="E171" s="1004">
        <f t="shared" si="35"/>
        <v>1</v>
      </c>
      <c r="F171" s="1014"/>
      <c r="G171" s="1004">
        <f t="shared" si="36"/>
        <v>1</v>
      </c>
      <c r="H171" s="1014"/>
      <c r="I171" s="1004">
        <f t="shared" si="37"/>
        <v>1</v>
      </c>
      <c r="J171" s="1014"/>
      <c r="K171" s="1004">
        <f t="shared" si="38"/>
        <v>1</v>
      </c>
      <c r="L171" s="1014"/>
      <c r="M171" s="1004">
        <f t="shared" si="39"/>
        <v>1</v>
      </c>
      <c r="N171" s="1014"/>
      <c r="O171" s="1004">
        <f t="shared" si="40"/>
        <v>1</v>
      </c>
      <c r="P171" s="1014"/>
      <c r="Q171" s="1004">
        <f t="shared" si="41"/>
        <v>0</v>
      </c>
      <c r="R171" s="1064">
        <f t="shared" si="42"/>
        <v>0</v>
      </c>
      <c r="S171" s="1003">
        <f t="shared" si="33"/>
        <v>0</v>
      </c>
    </row>
    <row r="172" spans="1:19">
      <c r="A172" s="1012"/>
      <c r="B172" s="1013"/>
      <c r="C172" s="1004">
        <f t="shared" si="34"/>
        <v>1</v>
      </c>
      <c r="D172" s="1014"/>
      <c r="E172" s="1004">
        <f t="shared" si="35"/>
        <v>1</v>
      </c>
      <c r="F172" s="1014"/>
      <c r="G172" s="1004">
        <f t="shared" si="36"/>
        <v>1</v>
      </c>
      <c r="H172" s="1014"/>
      <c r="I172" s="1004">
        <f t="shared" si="37"/>
        <v>1</v>
      </c>
      <c r="J172" s="1014"/>
      <c r="K172" s="1004">
        <f t="shared" si="38"/>
        <v>1</v>
      </c>
      <c r="L172" s="1014"/>
      <c r="M172" s="1004">
        <f t="shared" si="39"/>
        <v>1</v>
      </c>
      <c r="N172" s="1014"/>
      <c r="O172" s="1004">
        <f t="shared" si="40"/>
        <v>1</v>
      </c>
      <c r="P172" s="1014"/>
      <c r="Q172" s="1004">
        <f t="shared" si="41"/>
        <v>0</v>
      </c>
      <c r="R172" s="1064">
        <f t="shared" si="42"/>
        <v>0</v>
      </c>
      <c r="S172" s="1003">
        <f t="shared" si="33"/>
        <v>0</v>
      </c>
    </row>
    <row r="173" spans="1:19">
      <c r="A173" s="1012"/>
      <c r="B173" s="1013"/>
      <c r="C173" s="1004">
        <f t="shared" si="34"/>
        <v>1</v>
      </c>
      <c r="D173" s="1014"/>
      <c r="E173" s="1004">
        <f t="shared" si="35"/>
        <v>1</v>
      </c>
      <c r="F173" s="1014"/>
      <c r="G173" s="1004">
        <f t="shared" si="36"/>
        <v>1</v>
      </c>
      <c r="H173" s="1014"/>
      <c r="I173" s="1004">
        <f t="shared" si="37"/>
        <v>1</v>
      </c>
      <c r="J173" s="1014"/>
      <c r="K173" s="1004">
        <f t="shared" si="38"/>
        <v>1</v>
      </c>
      <c r="L173" s="1014"/>
      <c r="M173" s="1004">
        <f t="shared" si="39"/>
        <v>1</v>
      </c>
      <c r="N173" s="1014"/>
      <c r="O173" s="1004">
        <f t="shared" si="40"/>
        <v>1</v>
      </c>
      <c r="P173" s="1014"/>
      <c r="Q173" s="1004">
        <f t="shared" si="41"/>
        <v>0</v>
      </c>
      <c r="R173" s="1064">
        <f t="shared" si="42"/>
        <v>0</v>
      </c>
      <c r="S173" s="1003">
        <f t="shared" si="33"/>
        <v>0</v>
      </c>
    </row>
    <row r="174" spans="1:19">
      <c r="A174" s="1012"/>
      <c r="B174" s="1013"/>
      <c r="C174" s="1004">
        <f t="shared" si="34"/>
        <v>1</v>
      </c>
      <c r="D174" s="1014"/>
      <c r="E174" s="1004">
        <f t="shared" si="35"/>
        <v>1</v>
      </c>
      <c r="F174" s="1014"/>
      <c r="G174" s="1004">
        <f t="shared" si="36"/>
        <v>1</v>
      </c>
      <c r="H174" s="1014"/>
      <c r="I174" s="1004">
        <f t="shared" si="37"/>
        <v>1</v>
      </c>
      <c r="J174" s="1014"/>
      <c r="K174" s="1004">
        <f t="shared" si="38"/>
        <v>1</v>
      </c>
      <c r="L174" s="1014"/>
      <c r="M174" s="1004">
        <f t="shared" si="39"/>
        <v>1</v>
      </c>
      <c r="N174" s="1014"/>
      <c r="O174" s="1004">
        <f t="shared" si="40"/>
        <v>1</v>
      </c>
      <c r="P174" s="1014"/>
      <c r="Q174" s="1004">
        <f t="shared" si="41"/>
        <v>0</v>
      </c>
      <c r="R174" s="1064">
        <f t="shared" si="42"/>
        <v>0</v>
      </c>
      <c r="S174" s="1003">
        <f t="shared" si="33"/>
        <v>0</v>
      </c>
    </row>
    <row r="175" spans="1:19">
      <c r="A175" s="1012"/>
      <c r="B175" s="1013"/>
      <c r="C175" s="1004">
        <f t="shared" si="34"/>
        <v>1</v>
      </c>
      <c r="D175" s="1014"/>
      <c r="E175" s="1004">
        <f t="shared" si="35"/>
        <v>1</v>
      </c>
      <c r="F175" s="1014"/>
      <c r="G175" s="1004">
        <f t="shared" si="36"/>
        <v>1</v>
      </c>
      <c r="H175" s="1014"/>
      <c r="I175" s="1004">
        <f t="shared" si="37"/>
        <v>1</v>
      </c>
      <c r="J175" s="1014"/>
      <c r="K175" s="1004">
        <f t="shared" si="38"/>
        <v>1</v>
      </c>
      <c r="L175" s="1014"/>
      <c r="M175" s="1004">
        <f t="shared" si="39"/>
        <v>1</v>
      </c>
      <c r="N175" s="1014"/>
      <c r="O175" s="1004">
        <f t="shared" si="40"/>
        <v>1</v>
      </c>
      <c r="P175" s="1014"/>
      <c r="Q175" s="1004">
        <f t="shared" si="41"/>
        <v>0</v>
      </c>
      <c r="R175" s="1064">
        <f t="shared" si="42"/>
        <v>0</v>
      </c>
      <c r="S175" s="1003">
        <f t="shared" si="33"/>
        <v>0</v>
      </c>
    </row>
    <row r="176" spans="1:19">
      <c r="A176" s="1012"/>
      <c r="B176" s="1013"/>
      <c r="C176" s="1004">
        <f t="shared" si="34"/>
        <v>1</v>
      </c>
      <c r="D176" s="1014"/>
      <c r="E176" s="1004">
        <f t="shared" si="35"/>
        <v>1</v>
      </c>
      <c r="F176" s="1014"/>
      <c r="G176" s="1004">
        <f t="shared" si="36"/>
        <v>1</v>
      </c>
      <c r="H176" s="1014"/>
      <c r="I176" s="1004">
        <f t="shared" si="37"/>
        <v>1</v>
      </c>
      <c r="J176" s="1014"/>
      <c r="K176" s="1004">
        <f t="shared" si="38"/>
        <v>1</v>
      </c>
      <c r="L176" s="1014"/>
      <c r="M176" s="1004">
        <f t="shared" si="39"/>
        <v>1</v>
      </c>
      <c r="N176" s="1014"/>
      <c r="O176" s="1004">
        <f t="shared" si="40"/>
        <v>1</v>
      </c>
      <c r="P176" s="1014"/>
      <c r="Q176" s="1004">
        <f t="shared" si="41"/>
        <v>0</v>
      </c>
      <c r="R176" s="1064">
        <f t="shared" si="42"/>
        <v>0</v>
      </c>
      <c r="S176" s="1003">
        <f t="shared" si="33"/>
        <v>0</v>
      </c>
    </row>
    <row r="177" spans="1:19">
      <c r="A177" s="1012"/>
      <c r="B177" s="1013"/>
      <c r="C177" s="1004">
        <f t="shared" si="34"/>
        <v>1</v>
      </c>
      <c r="D177" s="1014"/>
      <c r="E177" s="1004">
        <f t="shared" si="35"/>
        <v>1</v>
      </c>
      <c r="F177" s="1014"/>
      <c r="G177" s="1004">
        <f t="shared" si="36"/>
        <v>1</v>
      </c>
      <c r="H177" s="1014"/>
      <c r="I177" s="1004">
        <f t="shared" si="37"/>
        <v>1</v>
      </c>
      <c r="J177" s="1014"/>
      <c r="K177" s="1004">
        <f t="shared" si="38"/>
        <v>1</v>
      </c>
      <c r="L177" s="1014"/>
      <c r="M177" s="1004">
        <f t="shared" si="39"/>
        <v>1</v>
      </c>
      <c r="N177" s="1014"/>
      <c r="O177" s="1004">
        <f t="shared" si="40"/>
        <v>1</v>
      </c>
      <c r="P177" s="1014"/>
      <c r="Q177" s="1004">
        <f t="shared" si="41"/>
        <v>0</v>
      </c>
      <c r="R177" s="1064">
        <f t="shared" si="42"/>
        <v>0</v>
      </c>
      <c r="S177" s="1003">
        <f t="shared" si="33"/>
        <v>0</v>
      </c>
    </row>
    <row r="178" spans="1:19">
      <c r="A178" s="1012"/>
      <c r="B178" s="1013"/>
      <c r="C178" s="1004">
        <f t="shared" si="34"/>
        <v>1</v>
      </c>
      <c r="D178" s="1014"/>
      <c r="E178" s="1004">
        <f t="shared" si="35"/>
        <v>1</v>
      </c>
      <c r="F178" s="1014"/>
      <c r="G178" s="1004">
        <f t="shared" si="36"/>
        <v>1</v>
      </c>
      <c r="H178" s="1014"/>
      <c r="I178" s="1004">
        <f t="shared" si="37"/>
        <v>1</v>
      </c>
      <c r="J178" s="1014"/>
      <c r="K178" s="1004">
        <f t="shared" si="38"/>
        <v>1</v>
      </c>
      <c r="L178" s="1014"/>
      <c r="M178" s="1004">
        <f t="shared" si="39"/>
        <v>1</v>
      </c>
      <c r="N178" s="1014"/>
      <c r="O178" s="1004">
        <f t="shared" si="40"/>
        <v>1</v>
      </c>
      <c r="P178" s="1014"/>
      <c r="Q178" s="1004">
        <f t="shared" si="41"/>
        <v>0</v>
      </c>
      <c r="R178" s="1064">
        <f t="shared" si="42"/>
        <v>0</v>
      </c>
      <c r="S178" s="1003">
        <f t="shared" si="33"/>
        <v>0</v>
      </c>
    </row>
    <row r="179" spans="1:19">
      <c r="A179" s="1012"/>
      <c r="B179" s="1013"/>
      <c r="C179" s="1004">
        <f t="shared" si="34"/>
        <v>1</v>
      </c>
      <c r="D179" s="1014"/>
      <c r="E179" s="1004">
        <f t="shared" si="35"/>
        <v>1</v>
      </c>
      <c r="F179" s="1014"/>
      <c r="G179" s="1004">
        <f t="shared" si="36"/>
        <v>1</v>
      </c>
      <c r="H179" s="1014"/>
      <c r="I179" s="1004">
        <f t="shared" si="37"/>
        <v>1</v>
      </c>
      <c r="J179" s="1014"/>
      <c r="K179" s="1004">
        <f t="shared" si="38"/>
        <v>1</v>
      </c>
      <c r="L179" s="1014"/>
      <c r="M179" s="1004">
        <f t="shared" si="39"/>
        <v>1</v>
      </c>
      <c r="N179" s="1014"/>
      <c r="O179" s="1004">
        <f t="shared" si="40"/>
        <v>1</v>
      </c>
      <c r="P179" s="1014"/>
      <c r="Q179" s="1004">
        <f t="shared" si="41"/>
        <v>0</v>
      </c>
      <c r="R179" s="1064">
        <f t="shared" si="42"/>
        <v>0</v>
      </c>
      <c r="S179" s="1003">
        <f t="shared" si="33"/>
        <v>0</v>
      </c>
    </row>
    <row r="180" spans="1:19">
      <c r="A180" s="1012"/>
      <c r="B180" s="1013"/>
      <c r="C180" s="1004">
        <f t="shared" si="34"/>
        <v>1</v>
      </c>
      <c r="D180" s="1014"/>
      <c r="E180" s="1004">
        <f t="shared" si="35"/>
        <v>1</v>
      </c>
      <c r="F180" s="1014"/>
      <c r="G180" s="1004">
        <f t="shared" si="36"/>
        <v>1</v>
      </c>
      <c r="H180" s="1014"/>
      <c r="I180" s="1004">
        <f t="shared" si="37"/>
        <v>1</v>
      </c>
      <c r="J180" s="1014"/>
      <c r="K180" s="1004">
        <f t="shared" si="38"/>
        <v>1</v>
      </c>
      <c r="L180" s="1014"/>
      <c r="M180" s="1004">
        <f t="shared" si="39"/>
        <v>1</v>
      </c>
      <c r="N180" s="1014"/>
      <c r="O180" s="1004">
        <f t="shared" si="40"/>
        <v>1</v>
      </c>
      <c r="P180" s="1014"/>
      <c r="Q180" s="1004">
        <f t="shared" si="41"/>
        <v>0</v>
      </c>
      <c r="R180" s="1064">
        <f t="shared" si="42"/>
        <v>0</v>
      </c>
      <c r="S180" s="1003">
        <f t="shared" si="33"/>
        <v>0</v>
      </c>
    </row>
    <row r="181" spans="1:19">
      <c r="A181" s="1012"/>
      <c r="B181" s="1013"/>
      <c r="C181" s="1004">
        <f t="shared" si="34"/>
        <v>1</v>
      </c>
      <c r="D181" s="1014"/>
      <c r="E181" s="1004">
        <f t="shared" si="35"/>
        <v>1</v>
      </c>
      <c r="F181" s="1014"/>
      <c r="G181" s="1004">
        <f t="shared" si="36"/>
        <v>1</v>
      </c>
      <c r="H181" s="1014"/>
      <c r="I181" s="1004">
        <f t="shared" si="37"/>
        <v>1</v>
      </c>
      <c r="J181" s="1014"/>
      <c r="K181" s="1004">
        <f t="shared" si="38"/>
        <v>1</v>
      </c>
      <c r="L181" s="1014"/>
      <c r="M181" s="1004">
        <f t="shared" si="39"/>
        <v>1</v>
      </c>
      <c r="N181" s="1014"/>
      <c r="O181" s="1004">
        <f t="shared" si="40"/>
        <v>1</v>
      </c>
      <c r="P181" s="1014"/>
      <c r="Q181" s="1004">
        <f t="shared" si="41"/>
        <v>0</v>
      </c>
      <c r="R181" s="1064">
        <f t="shared" si="42"/>
        <v>0</v>
      </c>
      <c r="S181" s="1003">
        <f t="shared" si="33"/>
        <v>0</v>
      </c>
    </row>
    <row r="182" spans="1:19">
      <c r="A182" s="1012"/>
      <c r="B182" s="1013"/>
      <c r="C182" s="1004">
        <f t="shared" si="34"/>
        <v>1</v>
      </c>
      <c r="D182" s="1014"/>
      <c r="E182" s="1004">
        <f t="shared" si="35"/>
        <v>1</v>
      </c>
      <c r="F182" s="1014"/>
      <c r="G182" s="1004">
        <f t="shared" si="36"/>
        <v>1</v>
      </c>
      <c r="H182" s="1014"/>
      <c r="I182" s="1004">
        <f t="shared" si="37"/>
        <v>1</v>
      </c>
      <c r="J182" s="1014"/>
      <c r="K182" s="1004">
        <f t="shared" si="38"/>
        <v>1</v>
      </c>
      <c r="L182" s="1014"/>
      <c r="M182" s="1004">
        <f t="shared" si="39"/>
        <v>1</v>
      </c>
      <c r="N182" s="1014"/>
      <c r="O182" s="1004">
        <f t="shared" si="40"/>
        <v>1</v>
      </c>
      <c r="P182" s="1014"/>
      <c r="Q182" s="1004">
        <f t="shared" si="41"/>
        <v>0</v>
      </c>
      <c r="R182" s="1064">
        <f t="shared" si="42"/>
        <v>0</v>
      </c>
      <c r="S182" s="1003">
        <f t="shared" si="33"/>
        <v>0</v>
      </c>
    </row>
    <row r="183" spans="1:19">
      <c r="A183" s="1012"/>
      <c r="B183" s="1013"/>
      <c r="C183" s="1004">
        <f t="shared" si="34"/>
        <v>1</v>
      </c>
      <c r="D183" s="1014"/>
      <c r="E183" s="1004">
        <f t="shared" si="35"/>
        <v>1</v>
      </c>
      <c r="F183" s="1014"/>
      <c r="G183" s="1004">
        <f t="shared" si="36"/>
        <v>1</v>
      </c>
      <c r="H183" s="1014"/>
      <c r="I183" s="1004">
        <f t="shared" si="37"/>
        <v>1</v>
      </c>
      <c r="J183" s="1014"/>
      <c r="K183" s="1004">
        <f t="shared" si="38"/>
        <v>1</v>
      </c>
      <c r="L183" s="1014"/>
      <c r="M183" s="1004">
        <f t="shared" si="39"/>
        <v>1</v>
      </c>
      <c r="N183" s="1014"/>
      <c r="O183" s="1004">
        <f t="shared" si="40"/>
        <v>1</v>
      </c>
      <c r="P183" s="1014"/>
      <c r="Q183" s="1004">
        <f t="shared" si="41"/>
        <v>0</v>
      </c>
      <c r="R183" s="1064">
        <f t="shared" si="42"/>
        <v>0</v>
      </c>
      <c r="S183" s="1003">
        <f t="shared" si="33"/>
        <v>0</v>
      </c>
    </row>
    <row r="184" spans="1:19">
      <c r="A184" s="1012"/>
      <c r="B184" s="1013"/>
      <c r="C184" s="1004">
        <f t="shared" si="34"/>
        <v>1</v>
      </c>
      <c r="D184" s="1014"/>
      <c r="E184" s="1004">
        <f t="shared" si="35"/>
        <v>1</v>
      </c>
      <c r="F184" s="1014"/>
      <c r="G184" s="1004">
        <f t="shared" si="36"/>
        <v>1</v>
      </c>
      <c r="H184" s="1014"/>
      <c r="I184" s="1004">
        <f t="shared" si="37"/>
        <v>1</v>
      </c>
      <c r="J184" s="1014"/>
      <c r="K184" s="1004">
        <f t="shared" si="38"/>
        <v>1</v>
      </c>
      <c r="L184" s="1014"/>
      <c r="M184" s="1004">
        <f t="shared" si="39"/>
        <v>1</v>
      </c>
      <c r="N184" s="1014"/>
      <c r="O184" s="1004">
        <f t="shared" si="40"/>
        <v>1</v>
      </c>
      <c r="P184" s="1014"/>
      <c r="Q184" s="1004">
        <f t="shared" si="41"/>
        <v>0</v>
      </c>
      <c r="R184" s="1064">
        <f t="shared" si="42"/>
        <v>0</v>
      </c>
      <c r="S184" s="1003">
        <f t="shared" si="33"/>
        <v>0</v>
      </c>
    </row>
    <row r="185" spans="1:19">
      <c r="A185" s="1012"/>
      <c r="B185" s="1013"/>
      <c r="C185" s="1004">
        <f t="shared" si="34"/>
        <v>1</v>
      </c>
      <c r="D185" s="1014"/>
      <c r="E185" s="1004">
        <f t="shared" si="35"/>
        <v>1</v>
      </c>
      <c r="F185" s="1014"/>
      <c r="G185" s="1004">
        <f t="shared" si="36"/>
        <v>1</v>
      </c>
      <c r="H185" s="1014"/>
      <c r="I185" s="1004">
        <f t="shared" si="37"/>
        <v>1</v>
      </c>
      <c r="J185" s="1014"/>
      <c r="K185" s="1004">
        <f t="shared" si="38"/>
        <v>1</v>
      </c>
      <c r="L185" s="1014"/>
      <c r="M185" s="1004">
        <f t="shared" si="39"/>
        <v>1</v>
      </c>
      <c r="N185" s="1014"/>
      <c r="O185" s="1004">
        <f t="shared" si="40"/>
        <v>1</v>
      </c>
      <c r="P185" s="1014"/>
      <c r="Q185" s="1004">
        <f t="shared" si="41"/>
        <v>0</v>
      </c>
      <c r="R185" s="1064">
        <f t="shared" si="42"/>
        <v>0</v>
      </c>
      <c r="S185" s="1003">
        <f t="shared" si="33"/>
        <v>0</v>
      </c>
    </row>
    <row r="186" spans="1:19">
      <c r="A186" s="1012"/>
      <c r="B186" s="1013"/>
      <c r="C186" s="1004">
        <f t="shared" si="34"/>
        <v>1</v>
      </c>
      <c r="D186" s="1014"/>
      <c r="E186" s="1004">
        <f t="shared" si="35"/>
        <v>1</v>
      </c>
      <c r="F186" s="1014"/>
      <c r="G186" s="1004">
        <f t="shared" si="36"/>
        <v>1</v>
      </c>
      <c r="H186" s="1014"/>
      <c r="I186" s="1004">
        <f t="shared" si="37"/>
        <v>1</v>
      </c>
      <c r="J186" s="1014"/>
      <c r="K186" s="1004">
        <f t="shared" si="38"/>
        <v>1</v>
      </c>
      <c r="L186" s="1014"/>
      <c r="M186" s="1004">
        <f t="shared" si="39"/>
        <v>1</v>
      </c>
      <c r="N186" s="1014"/>
      <c r="O186" s="1004">
        <f t="shared" si="40"/>
        <v>1</v>
      </c>
      <c r="P186" s="1014"/>
      <c r="Q186" s="1004">
        <f t="shared" si="41"/>
        <v>0</v>
      </c>
      <c r="R186" s="1064">
        <f t="shared" si="42"/>
        <v>0</v>
      </c>
      <c r="S186" s="1003">
        <f t="shared" si="33"/>
        <v>0</v>
      </c>
    </row>
    <row r="187" spans="1:19">
      <c r="A187" s="1012"/>
      <c r="B187" s="1013"/>
      <c r="C187" s="1004">
        <f t="shared" si="34"/>
        <v>1</v>
      </c>
      <c r="D187" s="1014"/>
      <c r="E187" s="1004">
        <f t="shared" si="35"/>
        <v>1</v>
      </c>
      <c r="F187" s="1014"/>
      <c r="G187" s="1004">
        <f t="shared" si="36"/>
        <v>1</v>
      </c>
      <c r="H187" s="1014"/>
      <c r="I187" s="1004">
        <f t="shared" si="37"/>
        <v>1</v>
      </c>
      <c r="J187" s="1014"/>
      <c r="K187" s="1004">
        <f t="shared" si="38"/>
        <v>1</v>
      </c>
      <c r="L187" s="1014"/>
      <c r="M187" s="1004">
        <f t="shared" si="39"/>
        <v>1</v>
      </c>
      <c r="N187" s="1014"/>
      <c r="O187" s="1004">
        <f t="shared" si="40"/>
        <v>1</v>
      </c>
      <c r="P187" s="1014"/>
      <c r="Q187" s="1004">
        <f t="shared" si="41"/>
        <v>0</v>
      </c>
      <c r="R187" s="1064">
        <f t="shared" si="42"/>
        <v>0</v>
      </c>
      <c r="S187" s="1003">
        <f t="shared" ref="S187:S222" si="43">ROUND(R187*B187/10000,0)</f>
        <v>0</v>
      </c>
    </row>
    <row r="188" spans="1:19">
      <c r="A188" s="1012"/>
      <c r="B188" s="1013"/>
      <c r="C188" s="1004">
        <f t="shared" si="34"/>
        <v>1</v>
      </c>
      <c r="D188" s="1014"/>
      <c r="E188" s="1004">
        <f t="shared" si="35"/>
        <v>1</v>
      </c>
      <c r="F188" s="1014"/>
      <c r="G188" s="1004">
        <f t="shared" si="36"/>
        <v>1</v>
      </c>
      <c r="H188" s="1014"/>
      <c r="I188" s="1004">
        <f t="shared" si="37"/>
        <v>1</v>
      </c>
      <c r="J188" s="1014"/>
      <c r="K188" s="1004">
        <f t="shared" si="38"/>
        <v>1</v>
      </c>
      <c r="L188" s="1014"/>
      <c r="M188" s="1004">
        <f t="shared" si="39"/>
        <v>1</v>
      </c>
      <c r="N188" s="1014"/>
      <c r="O188" s="1004">
        <f t="shared" si="40"/>
        <v>1</v>
      </c>
      <c r="P188" s="1014"/>
      <c r="Q188" s="1004">
        <f t="shared" si="41"/>
        <v>0</v>
      </c>
      <c r="R188" s="1064">
        <f t="shared" si="42"/>
        <v>0</v>
      </c>
      <c r="S188" s="1003">
        <f t="shared" si="43"/>
        <v>0</v>
      </c>
    </row>
    <row r="189" spans="1:19">
      <c r="A189" s="1012"/>
      <c r="B189" s="1013"/>
      <c r="C189" s="1004">
        <f t="shared" si="34"/>
        <v>1</v>
      </c>
      <c r="D189" s="1014"/>
      <c r="E189" s="1004">
        <f t="shared" si="35"/>
        <v>1</v>
      </c>
      <c r="F189" s="1014"/>
      <c r="G189" s="1004">
        <f t="shared" si="36"/>
        <v>1</v>
      </c>
      <c r="H189" s="1014"/>
      <c r="I189" s="1004">
        <f t="shared" si="37"/>
        <v>1</v>
      </c>
      <c r="J189" s="1014"/>
      <c r="K189" s="1004">
        <f t="shared" si="38"/>
        <v>1</v>
      </c>
      <c r="L189" s="1014"/>
      <c r="M189" s="1004">
        <f t="shared" si="39"/>
        <v>1</v>
      </c>
      <c r="N189" s="1014"/>
      <c r="O189" s="1004">
        <f t="shared" si="40"/>
        <v>1</v>
      </c>
      <c r="P189" s="1014"/>
      <c r="Q189" s="1004">
        <f t="shared" si="41"/>
        <v>0</v>
      </c>
      <c r="R189" s="1064">
        <f t="shared" si="42"/>
        <v>0</v>
      </c>
      <c r="S189" s="1003">
        <f t="shared" si="43"/>
        <v>0</v>
      </c>
    </row>
    <row r="190" spans="1:19">
      <c r="A190" s="1012"/>
      <c r="B190" s="1013"/>
      <c r="C190" s="1004">
        <f t="shared" si="34"/>
        <v>1</v>
      </c>
      <c r="D190" s="1014"/>
      <c r="E190" s="1004">
        <f t="shared" si="35"/>
        <v>1</v>
      </c>
      <c r="F190" s="1014"/>
      <c r="G190" s="1004">
        <f t="shared" si="36"/>
        <v>1</v>
      </c>
      <c r="H190" s="1014"/>
      <c r="I190" s="1004">
        <f t="shared" si="37"/>
        <v>1</v>
      </c>
      <c r="J190" s="1014"/>
      <c r="K190" s="1004">
        <f t="shared" si="38"/>
        <v>1</v>
      </c>
      <c r="L190" s="1014"/>
      <c r="M190" s="1004">
        <f t="shared" si="39"/>
        <v>1</v>
      </c>
      <c r="N190" s="1014"/>
      <c r="O190" s="1004">
        <f t="shared" si="40"/>
        <v>1</v>
      </c>
      <c r="P190" s="1014"/>
      <c r="Q190" s="1004">
        <f t="shared" si="41"/>
        <v>0</v>
      </c>
      <c r="R190" s="1064">
        <f t="shared" si="42"/>
        <v>0</v>
      </c>
      <c r="S190" s="1003">
        <f t="shared" si="43"/>
        <v>0</v>
      </c>
    </row>
    <row r="191" spans="1:19">
      <c r="A191" s="1012"/>
      <c r="B191" s="1013"/>
      <c r="C191" s="1004">
        <f t="shared" si="34"/>
        <v>1</v>
      </c>
      <c r="D191" s="1014"/>
      <c r="E191" s="1004">
        <f t="shared" si="35"/>
        <v>1</v>
      </c>
      <c r="F191" s="1014"/>
      <c r="G191" s="1004">
        <f t="shared" si="36"/>
        <v>1</v>
      </c>
      <c r="H191" s="1014"/>
      <c r="I191" s="1004">
        <f t="shared" si="37"/>
        <v>1</v>
      </c>
      <c r="J191" s="1014"/>
      <c r="K191" s="1004">
        <f t="shared" si="38"/>
        <v>1</v>
      </c>
      <c r="L191" s="1014"/>
      <c r="M191" s="1004">
        <f t="shared" si="39"/>
        <v>1</v>
      </c>
      <c r="N191" s="1014"/>
      <c r="O191" s="1004">
        <f t="shared" si="40"/>
        <v>1</v>
      </c>
      <c r="P191" s="1014"/>
      <c r="Q191" s="1004">
        <f t="shared" si="41"/>
        <v>0</v>
      </c>
      <c r="R191" s="1064">
        <f t="shared" si="42"/>
        <v>0</v>
      </c>
      <c r="S191" s="1003">
        <f t="shared" si="43"/>
        <v>0</v>
      </c>
    </row>
    <row r="192" spans="1:19">
      <c r="A192" s="1012"/>
      <c r="B192" s="1013"/>
      <c r="C192" s="1004">
        <f t="shared" si="34"/>
        <v>1</v>
      </c>
      <c r="D192" s="1014"/>
      <c r="E192" s="1004">
        <f t="shared" si="35"/>
        <v>1</v>
      </c>
      <c r="F192" s="1014"/>
      <c r="G192" s="1004">
        <f t="shared" si="36"/>
        <v>1</v>
      </c>
      <c r="H192" s="1014"/>
      <c r="I192" s="1004">
        <f t="shared" si="37"/>
        <v>1</v>
      </c>
      <c r="J192" s="1014"/>
      <c r="K192" s="1004">
        <f t="shared" si="38"/>
        <v>1</v>
      </c>
      <c r="L192" s="1014"/>
      <c r="M192" s="1004">
        <f t="shared" si="39"/>
        <v>1</v>
      </c>
      <c r="N192" s="1014"/>
      <c r="O192" s="1004">
        <f t="shared" si="40"/>
        <v>1</v>
      </c>
      <c r="P192" s="1014"/>
      <c r="Q192" s="1004">
        <f t="shared" si="41"/>
        <v>0</v>
      </c>
      <c r="R192" s="1064">
        <f t="shared" si="42"/>
        <v>0</v>
      </c>
      <c r="S192" s="1003">
        <f t="shared" si="43"/>
        <v>0</v>
      </c>
    </row>
    <row r="193" spans="1:19">
      <c r="A193" s="1012"/>
      <c r="B193" s="1013"/>
      <c r="C193" s="1004">
        <f t="shared" si="34"/>
        <v>1</v>
      </c>
      <c r="D193" s="1014"/>
      <c r="E193" s="1004">
        <f t="shared" si="35"/>
        <v>1</v>
      </c>
      <c r="F193" s="1014"/>
      <c r="G193" s="1004">
        <f t="shared" si="36"/>
        <v>1</v>
      </c>
      <c r="H193" s="1014"/>
      <c r="I193" s="1004">
        <f t="shared" si="37"/>
        <v>1</v>
      </c>
      <c r="J193" s="1014"/>
      <c r="K193" s="1004">
        <f t="shared" si="38"/>
        <v>1</v>
      </c>
      <c r="L193" s="1014"/>
      <c r="M193" s="1004">
        <f t="shared" si="39"/>
        <v>1</v>
      </c>
      <c r="N193" s="1014"/>
      <c r="O193" s="1004">
        <f t="shared" si="40"/>
        <v>1</v>
      </c>
      <c r="P193" s="1014"/>
      <c r="Q193" s="1004">
        <f t="shared" si="41"/>
        <v>0</v>
      </c>
      <c r="R193" s="1064">
        <f t="shared" si="42"/>
        <v>0</v>
      </c>
      <c r="S193" s="1003">
        <f t="shared" si="43"/>
        <v>0</v>
      </c>
    </row>
    <row r="194" spans="1:19">
      <c r="A194" s="1012"/>
      <c r="B194" s="1013"/>
      <c r="C194" s="1004">
        <f t="shared" si="34"/>
        <v>1</v>
      </c>
      <c r="D194" s="1014"/>
      <c r="E194" s="1004">
        <f t="shared" si="35"/>
        <v>1</v>
      </c>
      <c r="F194" s="1014"/>
      <c r="G194" s="1004">
        <f t="shared" si="36"/>
        <v>1</v>
      </c>
      <c r="H194" s="1014"/>
      <c r="I194" s="1004">
        <f t="shared" si="37"/>
        <v>1</v>
      </c>
      <c r="J194" s="1014"/>
      <c r="K194" s="1004">
        <f t="shared" si="38"/>
        <v>1</v>
      </c>
      <c r="L194" s="1014"/>
      <c r="M194" s="1004">
        <f t="shared" si="39"/>
        <v>1</v>
      </c>
      <c r="N194" s="1014"/>
      <c r="O194" s="1004">
        <f t="shared" si="40"/>
        <v>1</v>
      </c>
      <c r="P194" s="1014"/>
      <c r="Q194" s="1004">
        <f t="shared" si="41"/>
        <v>0</v>
      </c>
      <c r="R194" s="1064">
        <f t="shared" si="42"/>
        <v>0</v>
      </c>
      <c r="S194" s="1003">
        <f t="shared" si="43"/>
        <v>0</v>
      </c>
    </row>
    <row r="195" spans="1:19">
      <c r="A195" s="1012"/>
      <c r="B195" s="1013"/>
      <c r="C195" s="1004">
        <f t="shared" si="34"/>
        <v>1</v>
      </c>
      <c r="D195" s="1014"/>
      <c r="E195" s="1004">
        <f t="shared" si="35"/>
        <v>1</v>
      </c>
      <c r="F195" s="1014"/>
      <c r="G195" s="1004">
        <f t="shared" si="36"/>
        <v>1</v>
      </c>
      <c r="H195" s="1014"/>
      <c r="I195" s="1004">
        <f t="shared" si="37"/>
        <v>1</v>
      </c>
      <c r="J195" s="1014"/>
      <c r="K195" s="1004">
        <f t="shared" si="38"/>
        <v>1</v>
      </c>
      <c r="L195" s="1014"/>
      <c r="M195" s="1004">
        <f t="shared" si="39"/>
        <v>1</v>
      </c>
      <c r="N195" s="1014"/>
      <c r="O195" s="1004">
        <f t="shared" si="40"/>
        <v>1</v>
      </c>
      <c r="P195" s="1014"/>
      <c r="Q195" s="1004">
        <f t="shared" si="41"/>
        <v>0</v>
      </c>
      <c r="R195" s="1064">
        <f t="shared" si="42"/>
        <v>0</v>
      </c>
      <c r="S195" s="1003">
        <f t="shared" si="43"/>
        <v>0</v>
      </c>
    </row>
    <row r="196" spans="1:19">
      <c r="A196" s="1012"/>
      <c r="B196" s="1013"/>
      <c r="C196" s="1004">
        <f t="shared" si="34"/>
        <v>1</v>
      </c>
      <c r="D196" s="1014"/>
      <c r="E196" s="1004">
        <f t="shared" si="35"/>
        <v>1</v>
      </c>
      <c r="F196" s="1014"/>
      <c r="G196" s="1004">
        <f t="shared" si="36"/>
        <v>1</v>
      </c>
      <c r="H196" s="1014"/>
      <c r="I196" s="1004">
        <f t="shared" si="37"/>
        <v>1</v>
      </c>
      <c r="J196" s="1014"/>
      <c r="K196" s="1004">
        <f t="shared" si="38"/>
        <v>1</v>
      </c>
      <c r="L196" s="1014"/>
      <c r="M196" s="1004">
        <f t="shared" si="39"/>
        <v>1</v>
      </c>
      <c r="N196" s="1014"/>
      <c r="O196" s="1004">
        <f t="shared" si="40"/>
        <v>1</v>
      </c>
      <c r="P196" s="1014"/>
      <c r="Q196" s="1004">
        <f t="shared" si="41"/>
        <v>0</v>
      </c>
      <c r="R196" s="1064">
        <f t="shared" si="42"/>
        <v>0</v>
      </c>
      <c r="S196" s="1003">
        <f t="shared" si="43"/>
        <v>0</v>
      </c>
    </row>
    <row r="197" spans="1:19">
      <c r="A197" s="1012"/>
      <c r="B197" s="1013"/>
      <c r="C197" s="1004">
        <f t="shared" si="34"/>
        <v>1</v>
      </c>
      <c r="D197" s="1014"/>
      <c r="E197" s="1004">
        <f t="shared" si="35"/>
        <v>1</v>
      </c>
      <c r="F197" s="1014"/>
      <c r="G197" s="1004">
        <f t="shared" si="36"/>
        <v>1</v>
      </c>
      <c r="H197" s="1014"/>
      <c r="I197" s="1004">
        <f t="shared" si="37"/>
        <v>1</v>
      </c>
      <c r="J197" s="1014"/>
      <c r="K197" s="1004">
        <f t="shared" si="38"/>
        <v>1</v>
      </c>
      <c r="L197" s="1014"/>
      <c r="M197" s="1004">
        <f t="shared" si="39"/>
        <v>1</v>
      </c>
      <c r="N197" s="1014"/>
      <c r="O197" s="1004">
        <f t="shared" si="40"/>
        <v>1</v>
      </c>
      <c r="P197" s="1014"/>
      <c r="Q197" s="1004">
        <f t="shared" si="41"/>
        <v>0</v>
      </c>
      <c r="R197" s="1064">
        <f t="shared" si="42"/>
        <v>0</v>
      </c>
      <c r="S197" s="1003">
        <f t="shared" si="43"/>
        <v>0</v>
      </c>
    </row>
    <row r="198" spans="1:19">
      <c r="A198" s="1012"/>
      <c r="B198" s="1013"/>
      <c r="C198" s="1004">
        <f t="shared" si="34"/>
        <v>1</v>
      </c>
      <c r="D198" s="1014"/>
      <c r="E198" s="1004">
        <f t="shared" si="35"/>
        <v>1</v>
      </c>
      <c r="F198" s="1014"/>
      <c r="G198" s="1004">
        <f t="shared" si="36"/>
        <v>1</v>
      </c>
      <c r="H198" s="1014"/>
      <c r="I198" s="1004">
        <f t="shared" si="37"/>
        <v>1</v>
      </c>
      <c r="J198" s="1014"/>
      <c r="K198" s="1004">
        <f t="shared" si="38"/>
        <v>1</v>
      </c>
      <c r="L198" s="1014"/>
      <c r="M198" s="1004">
        <f t="shared" si="39"/>
        <v>1</v>
      </c>
      <c r="N198" s="1014"/>
      <c r="O198" s="1004">
        <f t="shared" si="40"/>
        <v>1</v>
      </c>
      <c r="P198" s="1014"/>
      <c r="Q198" s="1004">
        <f t="shared" si="41"/>
        <v>0</v>
      </c>
      <c r="R198" s="1064">
        <f t="shared" si="42"/>
        <v>0</v>
      </c>
      <c r="S198" s="1003">
        <f t="shared" si="43"/>
        <v>0</v>
      </c>
    </row>
    <row r="199" spans="1:19">
      <c r="A199" s="1012"/>
      <c r="B199" s="1013"/>
      <c r="C199" s="1004">
        <f t="shared" si="34"/>
        <v>1</v>
      </c>
      <c r="D199" s="1014"/>
      <c r="E199" s="1004">
        <f t="shared" si="35"/>
        <v>1</v>
      </c>
      <c r="F199" s="1014"/>
      <c r="G199" s="1004">
        <f t="shared" si="36"/>
        <v>1</v>
      </c>
      <c r="H199" s="1014"/>
      <c r="I199" s="1004">
        <f t="shared" si="37"/>
        <v>1</v>
      </c>
      <c r="J199" s="1014"/>
      <c r="K199" s="1004">
        <f t="shared" si="38"/>
        <v>1</v>
      </c>
      <c r="L199" s="1014"/>
      <c r="M199" s="1004">
        <f t="shared" si="39"/>
        <v>1</v>
      </c>
      <c r="N199" s="1014"/>
      <c r="O199" s="1004">
        <f t="shared" si="40"/>
        <v>1</v>
      </c>
      <c r="P199" s="1014"/>
      <c r="Q199" s="1004">
        <f t="shared" si="41"/>
        <v>0</v>
      </c>
      <c r="R199" s="1064">
        <f t="shared" si="42"/>
        <v>0</v>
      </c>
      <c r="S199" s="1003">
        <f t="shared" si="43"/>
        <v>0</v>
      </c>
    </row>
    <row r="200" spans="1:19">
      <c r="A200" s="1012"/>
      <c r="B200" s="1013"/>
      <c r="C200" s="1004">
        <f t="shared" si="34"/>
        <v>1</v>
      </c>
      <c r="D200" s="1014"/>
      <c r="E200" s="1004">
        <f t="shared" si="35"/>
        <v>1</v>
      </c>
      <c r="F200" s="1014"/>
      <c r="G200" s="1004">
        <f t="shared" si="36"/>
        <v>1</v>
      </c>
      <c r="H200" s="1014"/>
      <c r="I200" s="1004">
        <f t="shared" si="37"/>
        <v>1</v>
      </c>
      <c r="J200" s="1014"/>
      <c r="K200" s="1004">
        <f t="shared" si="38"/>
        <v>1</v>
      </c>
      <c r="L200" s="1014"/>
      <c r="M200" s="1004">
        <f t="shared" si="39"/>
        <v>1</v>
      </c>
      <c r="N200" s="1014"/>
      <c r="O200" s="1004">
        <f t="shared" si="40"/>
        <v>1</v>
      </c>
      <c r="P200" s="1014"/>
      <c r="Q200" s="1004">
        <f t="shared" si="41"/>
        <v>0</v>
      </c>
      <c r="R200" s="1064">
        <f t="shared" si="42"/>
        <v>0</v>
      </c>
      <c r="S200" s="1003">
        <f t="shared" si="43"/>
        <v>0</v>
      </c>
    </row>
    <row r="201" spans="1:19">
      <c r="A201" s="1012"/>
      <c r="B201" s="1013"/>
      <c r="C201" s="1004">
        <f t="shared" si="34"/>
        <v>1</v>
      </c>
      <c r="D201" s="1014"/>
      <c r="E201" s="1004">
        <f t="shared" si="35"/>
        <v>1</v>
      </c>
      <c r="F201" s="1014"/>
      <c r="G201" s="1004">
        <f t="shared" si="36"/>
        <v>1</v>
      </c>
      <c r="H201" s="1014"/>
      <c r="I201" s="1004">
        <f t="shared" si="37"/>
        <v>1</v>
      </c>
      <c r="J201" s="1014"/>
      <c r="K201" s="1004">
        <f t="shared" si="38"/>
        <v>1</v>
      </c>
      <c r="L201" s="1014"/>
      <c r="M201" s="1004">
        <f t="shared" si="39"/>
        <v>1</v>
      </c>
      <c r="N201" s="1014"/>
      <c r="O201" s="1004">
        <f t="shared" si="40"/>
        <v>1</v>
      </c>
      <c r="P201" s="1014"/>
      <c r="Q201" s="1004">
        <f t="shared" si="41"/>
        <v>0</v>
      </c>
      <c r="R201" s="1064">
        <f t="shared" si="42"/>
        <v>0</v>
      </c>
      <c r="S201" s="1003">
        <f t="shared" si="43"/>
        <v>0</v>
      </c>
    </row>
    <row r="202" spans="1:19">
      <c r="A202" s="1012"/>
      <c r="B202" s="1013"/>
      <c r="C202" s="1004">
        <f t="shared" si="34"/>
        <v>1</v>
      </c>
      <c r="D202" s="1014"/>
      <c r="E202" s="1004">
        <f t="shared" si="35"/>
        <v>1</v>
      </c>
      <c r="F202" s="1014"/>
      <c r="G202" s="1004">
        <f t="shared" si="36"/>
        <v>1</v>
      </c>
      <c r="H202" s="1014"/>
      <c r="I202" s="1004">
        <f t="shared" si="37"/>
        <v>1</v>
      </c>
      <c r="J202" s="1014"/>
      <c r="K202" s="1004">
        <f t="shared" si="38"/>
        <v>1</v>
      </c>
      <c r="L202" s="1014"/>
      <c r="M202" s="1004">
        <f t="shared" si="39"/>
        <v>1</v>
      </c>
      <c r="N202" s="1014"/>
      <c r="O202" s="1004">
        <f t="shared" si="40"/>
        <v>1</v>
      </c>
      <c r="P202" s="1014"/>
      <c r="Q202" s="1004">
        <f t="shared" si="41"/>
        <v>0</v>
      </c>
      <c r="R202" s="1064">
        <f t="shared" si="42"/>
        <v>0</v>
      </c>
      <c r="S202" s="1003">
        <f t="shared" si="43"/>
        <v>0</v>
      </c>
    </row>
    <row r="203" spans="1:19">
      <c r="A203" s="1012"/>
      <c r="B203" s="1013"/>
      <c r="C203" s="1004">
        <f t="shared" si="34"/>
        <v>1</v>
      </c>
      <c r="D203" s="1014"/>
      <c r="E203" s="1004">
        <f t="shared" si="35"/>
        <v>1</v>
      </c>
      <c r="F203" s="1014"/>
      <c r="G203" s="1004">
        <f t="shared" si="36"/>
        <v>1</v>
      </c>
      <c r="H203" s="1014"/>
      <c r="I203" s="1004">
        <f t="shared" si="37"/>
        <v>1</v>
      </c>
      <c r="J203" s="1014"/>
      <c r="K203" s="1004">
        <f t="shared" si="38"/>
        <v>1</v>
      </c>
      <c r="L203" s="1014"/>
      <c r="M203" s="1004">
        <f t="shared" si="39"/>
        <v>1</v>
      </c>
      <c r="N203" s="1014"/>
      <c r="O203" s="1004">
        <f t="shared" si="40"/>
        <v>1</v>
      </c>
      <c r="P203" s="1014"/>
      <c r="Q203" s="1004">
        <f t="shared" si="41"/>
        <v>0</v>
      </c>
      <c r="R203" s="1064">
        <f t="shared" si="42"/>
        <v>0</v>
      </c>
      <c r="S203" s="1003">
        <f t="shared" si="43"/>
        <v>0</v>
      </c>
    </row>
    <row r="204" spans="1:19">
      <c r="A204" s="1012"/>
      <c r="B204" s="1013"/>
      <c r="C204" s="1004">
        <f t="shared" si="34"/>
        <v>1</v>
      </c>
      <c r="D204" s="1014"/>
      <c r="E204" s="1004">
        <f t="shared" si="35"/>
        <v>1</v>
      </c>
      <c r="F204" s="1014"/>
      <c r="G204" s="1004">
        <f t="shared" si="36"/>
        <v>1</v>
      </c>
      <c r="H204" s="1014"/>
      <c r="I204" s="1004">
        <f t="shared" si="37"/>
        <v>1</v>
      </c>
      <c r="J204" s="1014"/>
      <c r="K204" s="1004">
        <f t="shared" si="38"/>
        <v>1</v>
      </c>
      <c r="L204" s="1014"/>
      <c r="M204" s="1004">
        <f t="shared" si="39"/>
        <v>1</v>
      </c>
      <c r="N204" s="1014"/>
      <c r="O204" s="1004">
        <f t="shared" si="40"/>
        <v>1</v>
      </c>
      <c r="P204" s="1014"/>
      <c r="Q204" s="1004">
        <f t="shared" si="41"/>
        <v>0</v>
      </c>
      <c r="R204" s="1064">
        <f t="shared" si="42"/>
        <v>0</v>
      </c>
      <c r="S204" s="1003">
        <f t="shared" si="43"/>
        <v>0</v>
      </c>
    </row>
    <row r="205" spans="1:19">
      <c r="A205" s="1012"/>
      <c r="B205" s="1013"/>
      <c r="C205" s="1004">
        <f t="shared" si="34"/>
        <v>1</v>
      </c>
      <c r="D205" s="1014"/>
      <c r="E205" s="1004">
        <f t="shared" si="35"/>
        <v>1</v>
      </c>
      <c r="F205" s="1014"/>
      <c r="G205" s="1004">
        <f t="shared" si="36"/>
        <v>1</v>
      </c>
      <c r="H205" s="1014"/>
      <c r="I205" s="1004">
        <f t="shared" si="37"/>
        <v>1</v>
      </c>
      <c r="J205" s="1014"/>
      <c r="K205" s="1004">
        <f t="shared" si="38"/>
        <v>1</v>
      </c>
      <c r="L205" s="1014"/>
      <c r="M205" s="1004">
        <f t="shared" si="39"/>
        <v>1</v>
      </c>
      <c r="N205" s="1014"/>
      <c r="O205" s="1004">
        <f t="shared" si="40"/>
        <v>1</v>
      </c>
      <c r="P205" s="1014"/>
      <c r="Q205" s="1004">
        <f t="shared" si="41"/>
        <v>0</v>
      </c>
      <c r="R205" s="1064">
        <f t="shared" si="42"/>
        <v>0</v>
      </c>
      <c r="S205" s="1003">
        <f t="shared" si="43"/>
        <v>0</v>
      </c>
    </row>
    <row r="206" spans="1:19">
      <c r="A206" s="1012"/>
      <c r="B206" s="1013"/>
      <c r="C206" s="1004">
        <f t="shared" si="34"/>
        <v>1</v>
      </c>
      <c r="D206" s="1014"/>
      <c r="E206" s="1004">
        <f t="shared" si="35"/>
        <v>1</v>
      </c>
      <c r="F206" s="1014"/>
      <c r="G206" s="1004">
        <f t="shared" si="36"/>
        <v>1</v>
      </c>
      <c r="H206" s="1014"/>
      <c r="I206" s="1004">
        <f t="shared" si="37"/>
        <v>1</v>
      </c>
      <c r="J206" s="1014"/>
      <c r="K206" s="1004">
        <f t="shared" si="38"/>
        <v>1</v>
      </c>
      <c r="L206" s="1014"/>
      <c r="M206" s="1004">
        <f t="shared" si="39"/>
        <v>1</v>
      </c>
      <c r="N206" s="1014"/>
      <c r="O206" s="1004">
        <f t="shared" si="40"/>
        <v>1</v>
      </c>
      <c r="P206" s="1014"/>
      <c r="Q206" s="1004">
        <f t="shared" si="41"/>
        <v>0</v>
      </c>
      <c r="R206" s="1064">
        <f t="shared" si="42"/>
        <v>0</v>
      </c>
      <c r="S206" s="1003">
        <f t="shared" si="43"/>
        <v>0</v>
      </c>
    </row>
    <row r="207" spans="1:19">
      <c r="A207" s="1012"/>
      <c r="B207" s="1013"/>
      <c r="C207" s="1004">
        <f t="shared" si="34"/>
        <v>1</v>
      </c>
      <c r="D207" s="1014"/>
      <c r="E207" s="1004">
        <f t="shared" si="35"/>
        <v>1</v>
      </c>
      <c r="F207" s="1014"/>
      <c r="G207" s="1004">
        <f t="shared" si="36"/>
        <v>1</v>
      </c>
      <c r="H207" s="1014"/>
      <c r="I207" s="1004">
        <f t="shared" si="37"/>
        <v>1</v>
      </c>
      <c r="J207" s="1014"/>
      <c r="K207" s="1004">
        <f t="shared" si="38"/>
        <v>1</v>
      </c>
      <c r="L207" s="1014"/>
      <c r="M207" s="1004">
        <f t="shared" si="39"/>
        <v>1</v>
      </c>
      <c r="N207" s="1014"/>
      <c r="O207" s="1004">
        <f t="shared" si="40"/>
        <v>1</v>
      </c>
      <c r="P207" s="1014"/>
      <c r="Q207" s="1004">
        <f t="shared" si="41"/>
        <v>0</v>
      </c>
      <c r="R207" s="1064">
        <f t="shared" si="42"/>
        <v>0</v>
      </c>
      <c r="S207" s="1003">
        <f t="shared" si="43"/>
        <v>0</v>
      </c>
    </row>
    <row r="208" spans="1:19">
      <c r="A208" s="1012"/>
      <c r="B208" s="1013"/>
      <c r="C208" s="1004">
        <f t="shared" si="34"/>
        <v>1</v>
      </c>
      <c r="D208" s="1014"/>
      <c r="E208" s="1004">
        <f t="shared" si="35"/>
        <v>1</v>
      </c>
      <c r="F208" s="1014"/>
      <c r="G208" s="1004">
        <f t="shared" si="36"/>
        <v>1</v>
      </c>
      <c r="H208" s="1014"/>
      <c r="I208" s="1004">
        <f t="shared" si="37"/>
        <v>1</v>
      </c>
      <c r="J208" s="1014"/>
      <c r="K208" s="1004">
        <f t="shared" si="38"/>
        <v>1</v>
      </c>
      <c r="L208" s="1014"/>
      <c r="M208" s="1004">
        <f t="shared" si="39"/>
        <v>1</v>
      </c>
      <c r="N208" s="1014"/>
      <c r="O208" s="1004">
        <f t="shared" si="40"/>
        <v>1</v>
      </c>
      <c r="P208" s="1014"/>
      <c r="Q208" s="1004">
        <f t="shared" si="41"/>
        <v>0</v>
      </c>
      <c r="R208" s="1064">
        <f t="shared" si="42"/>
        <v>0</v>
      </c>
      <c r="S208" s="1003">
        <f t="shared" si="43"/>
        <v>0</v>
      </c>
    </row>
    <row r="209" spans="1:19">
      <c r="A209" s="1012"/>
      <c r="B209" s="1013"/>
      <c r="C209" s="1004">
        <f t="shared" si="34"/>
        <v>1</v>
      </c>
      <c r="D209" s="1014"/>
      <c r="E209" s="1004">
        <f t="shared" si="35"/>
        <v>1</v>
      </c>
      <c r="F209" s="1014"/>
      <c r="G209" s="1004">
        <f t="shared" si="36"/>
        <v>1</v>
      </c>
      <c r="H209" s="1014"/>
      <c r="I209" s="1004">
        <f t="shared" si="37"/>
        <v>1</v>
      </c>
      <c r="J209" s="1014"/>
      <c r="K209" s="1004">
        <f t="shared" si="38"/>
        <v>1</v>
      </c>
      <c r="L209" s="1014"/>
      <c r="M209" s="1004">
        <f t="shared" si="39"/>
        <v>1</v>
      </c>
      <c r="N209" s="1014"/>
      <c r="O209" s="1004">
        <f t="shared" si="40"/>
        <v>1</v>
      </c>
      <c r="P209" s="1014"/>
      <c r="Q209" s="1004">
        <f t="shared" si="41"/>
        <v>0</v>
      </c>
      <c r="R209" s="1064">
        <f t="shared" si="42"/>
        <v>0</v>
      </c>
      <c r="S209" s="1003">
        <f t="shared" si="43"/>
        <v>0</v>
      </c>
    </row>
    <row r="210" spans="1:19">
      <c r="A210" s="1012"/>
      <c r="B210" s="1013"/>
      <c r="C210" s="1004">
        <f t="shared" si="34"/>
        <v>1</v>
      </c>
      <c r="D210" s="1014"/>
      <c r="E210" s="1004">
        <f t="shared" si="35"/>
        <v>1</v>
      </c>
      <c r="F210" s="1014"/>
      <c r="G210" s="1004">
        <f t="shared" si="36"/>
        <v>1</v>
      </c>
      <c r="H210" s="1014"/>
      <c r="I210" s="1004">
        <f t="shared" si="37"/>
        <v>1</v>
      </c>
      <c r="J210" s="1014"/>
      <c r="K210" s="1004">
        <f t="shared" si="38"/>
        <v>1</v>
      </c>
      <c r="L210" s="1014"/>
      <c r="M210" s="1004">
        <f t="shared" si="39"/>
        <v>1</v>
      </c>
      <c r="N210" s="1014"/>
      <c r="O210" s="1004">
        <f t="shared" si="40"/>
        <v>1</v>
      </c>
      <c r="P210" s="1014"/>
      <c r="Q210" s="1004">
        <f t="shared" si="41"/>
        <v>0</v>
      </c>
      <c r="R210" s="1064">
        <f t="shared" si="42"/>
        <v>0</v>
      </c>
      <c r="S210" s="1003">
        <f t="shared" si="43"/>
        <v>0</v>
      </c>
    </row>
    <row r="211" spans="1:19">
      <c r="A211" s="1012"/>
      <c r="B211" s="1013"/>
      <c r="C211" s="1004">
        <f t="shared" si="34"/>
        <v>1</v>
      </c>
      <c r="D211" s="1014"/>
      <c r="E211" s="1004">
        <f t="shared" si="35"/>
        <v>1</v>
      </c>
      <c r="F211" s="1014"/>
      <c r="G211" s="1004">
        <f t="shared" si="36"/>
        <v>1</v>
      </c>
      <c r="H211" s="1014"/>
      <c r="I211" s="1004">
        <f t="shared" si="37"/>
        <v>1</v>
      </c>
      <c r="J211" s="1014"/>
      <c r="K211" s="1004">
        <f t="shared" si="38"/>
        <v>1</v>
      </c>
      <c r="L211" s="1014"/>
      <c r="M211" s="1004">
        <f t="shared" si="39"/>
        <v>1</v>
      </c>
      <c r="N211" s="1014"/>
      <c r="O211" s="1004">
        <f t="shared" si="40"/>
        <v>1</v>
      </c>
      <c r="P211" s="1014"/>
      <c r="Q211" s="1004">
        <f t="shared" si="41"/>
        <v>0</v>
      </c>
      <c r="R211" s="1064">
        <f t="shared" si="42"/>
        <v>0</v>
      </c>
      <c r="S211" s="1003">
        <f t="shared" si="43"/>
        <v>0</v>
      </c>
    </row>
    <row r="212" spans="1:19">
      <c r="A212" s="1012"/>
      <c r="B212" s="1013"/>
      <c r="C212" s="1004">
        <f t="shared" si="34"/>
        <v>1</v>
      </c>
      <c r="D212" s="1014"/>
      <c r="E212" s="1004">
        <f t="shared" si="35"/>
        <v>1</v>
      </c>
      <c r="F212" s="1014"/>
      <c r="G212" s="1004">
        <f t="shared" si="36"/>
        <v>1</v>
      </c>
      <c r="H212" s="1014"/>
      <c r="I212" s="1004">
        <f t="shared" si="37"/>
        <v>1</v>
      </c>
      <c r="J212" s="1014"/>
      <c r="K212" s="1004">
        <f t="shared" si="38"/>
        <v>1</v>
      </c>
      <c r="L212" s="1014"/>
      <c r="M212" s="1004">
        <f t="shared" si="39"/>
        <v>1</v>
      </c>
      <c r="N212" s="1014"/>
      <c r="O212" s="1004">
        <f t="shared" si="40"/>
        <v>1</v>
      </c>
      <c r="P212" s="1014"/>
      <c r="Q212" s="1004">
        <f t="shared" si="41"/>
        <v>0</v>
      </c>
      <c r="R212" s="1064">
        <f t="shared" si="42"/>
        <v>0</v>
      </c>
      <c r="S212" s="1003">
        <f t="shared" si="43"/>
        <v>0</v>
      </c>
    </row>
    <row r="213" spans="1:19">
      <c r="A213" s="1012"/>
      <c r="B213" s="1013"/>
      <c r="C213" s="1004">
        <f t="shared" si="34"/>
        <v>1</v>
      </c>
      <c r="D213" s="1014"/>
      <c r="E213" s="1004">
        <f t="shared" si="35"/>
        <v>1</v>
      </c>
      <c r="F213" s="1014"/>
      <c r="G213" s="1004">
        <f t="shared" si="36"/>
        <v>1</v>
      </c>
      <c r="H213" s="1014"/>
      <c r="I213" s="1004">
        <f t="shared" si="37"/>
        <v>1</v>
      </c>
      <c r="J213" s="1014"/>
      <c r="K213" s="1004">
        <f t="shared" si="38"/>
        <v>1</v>
      </c>
      <c r="L213" s="1014"/>
      <c r="M213" s="1004">
        <f t="shared" si="39"/>
        <v>1</v>
      </c>
      <c r="N213" s="1014"/>
      <c r="O213" s="1004">
        <f t="shared" si="40"/>
        <v>1</v>
      </c>
      <c r="P213" s="1014"/>
      <c r="Q213" s="1004">
        <f t="shared" si="41"/>
        <v>0</v>
      </c>
      <c r="R213" s="1064">
        <f t="shared" si="42"/>
        <v>0</v>
      </c>
      <c r="S213" s="1003">
        <f t="shared" si="43"/>
        <v>0</v>
      </c>
    </row>
    <row r="214" spans="1:19">
      <c r="A214" s="1012"/>
      <c r="B214" s="1013"/>
      <c r="C214" s="1004">
        <f t="shared" si="34"/>
        <v>1</v>
      </c>
      <c r="D214" s="1014"/>
      <c r="E214" s="1004">
        <f t="shared" si="35"/>
        <v>1</v>
      </c>
      <c r="F214" s="1014"/>
      <c r="G214" s="1004">
        <f t="shared" si="36"/>
        <v>1</v>
      </c>
      <c r="H214" s="1014"/>
      <c r="I214" s="1004">
        <f t="shared" si="37"/>
        <v>1</v>
      </c>
      <c r="J214" s="1014"/>
      <c r="K214" s="1004">
        <f t="shared" si="38"/>
        <v>1</v>
      </c>
      <c r="L214" s="1014"/>
      <c r="M214" s="1004">
        <f t="shared" si="39"/>
        <v>1</v>
      </c>
      <c r="N214" s="1014"/>
      <c r="O214" s="1004">
        <f t="shared" si="40"/>
        <v>1</v>
      </c>
      <c r="P214" s="1014"/>
      <c r="Q214" s="1004">
        <f t="shared" si="41"/>
        <v>0</v>
      </c>
      <c r="R214" s="1064">
        <f t="shared" si="42"/>
        <v>0</v>
      </c>
      <c r="S214" s="1003">
        <f t="shared" si="43"/>
        <v>0</v>
      </c>
    </row>
    <row r="215" spans="1:19">
      <c r="A215" s="1012"/>
      <c r="B215" s="1013"/>
      <c r="C215" s="1004">
        <f t="shared" si="34"/>
        <v>1</v>
      </c>
      <c r="D215" s="1014"/>
      <c r="E215" s="1004">
        <f t="shared" si="35"/>
        <v>1</v>
      </c>
      <c r="F215" s="1014"/>
      <c r="G215" s="1004">
        <f t="shared" si="36"/>
        <v>1</v>
      </c>
      <c r="H215" s="1014"/>
      <c r="I215" s="1004">
        <f t="shared" si="37"/>
        <v>1</v>
      </c>
      <c r="J215" s="1014"/>
      <c r="K215" s="1004">
        <f t="shared" si="38"/>
        <v>1</v>
      </c>
      <c r="L215" s="1014"/>
      <c r="M215" s="1004">
        <f t="shared" si="39"/>
        <v>1</v>
      </c>
      <c r="N215" s="1014"/>
      <c r="O215" s="1004">
        <f t="shared" si="40"/>
        <v>1</v>
      </c>
      <c r="P215" s="1014"/>
      <c r="Q215" s="1004">
        <f t="shared" si="41"/>
        <v>0</v>
      </c>
      <c r="R215" s="1064">
        <f t="shared" si="42"/>
        <v>0</v>
      </c>
      <c r="S215" s="1003">
        <f t="shared" si="43"/>
        <v>0</v>
      </c>
    </row>
    <row r="216" spans="1:19">
      <c r="A216" s="1012"/>
      <c r="B216" s="1013"/>
      <c r="C216" s="1004">
        <f t="shared" si="34"/>
        <v>1</v>
      </c>
      <c r="D216" s="1014"/>
      <c r="E216" s="1004">
        <f t="shared" si="35"/>
        <v>1</v>
      </c>
      <c r="F216" s="1014"/>
      <c r="G216" s="1004">
        <f t="shared" si="36"/>
        <v>1</v>
      </c>
      <c r="H216" s="1014"/>
      <c r="I216" s="1004">
        <f t="shared" si="37"/>
        <v>1</v>
      </c>
      <c r="J216" s="1014"/>
      <c r="K216" s="1004">
        <f t="shared" si="38"/>
        <v>1</v>
      </c>
      <c r="L216" s="1014"/>
      <c r="M216" s="1004">
        <f t="shared" si="39"/>
        <v>1</v>
      </c>
      <c r="N216" s="1014"/>
      <c r="O216" s="1004">
        <f t="shared" si="40"/>
        <v>1</v>
      </c>
      <c r="P216" s="1014"/>
      <c r="Q216" s="1004">
        <f t="shared" si="41"/>
        <v>0</v>
      </c>
      <c r="R216" s="1064">
        <f t="shared" si="42"/>
        <v>0</v>
      </c>
      <c r="S216" s="1003">
        <f t="shared" si="43"/>
        <v>0</v>
      </c>
    </row>
    <row r="217" spans="1:19">
      <c r="A217" s="1012"/>
      <c r="B217" s="1013"/>
      <c r="C217" s="1004">
        <f t="shared" si="34"/>
        <v>1</v>
      </c>
      <c r="D217" s="1014"/>
      <c r="E217" s="1004">
        <f t="shared" si="35"/>
        <v>1</v>
      </c>
      <c r="F217" s="1014"/>
      <c r="G217" s="1004">
        <f t="shared" si="36"/>
        <v>1</v>
      </c>
      <c r="H217" s="1014"/>
      <c r="I217" s="1004">
        <f t="shared" si="37"/>
        <v>1</v>
      </c>
      <c r="J217" s="1014"/>
      <c r="K217" s="1004">
        <f t="shared" si="38"/>
        <v>1</v>
      </c>
      <c r="L217" s="1014"/>
      <c r="M217" s="1004">
        <f t="shared" si="39"/>
        <v>1</v>
      </c>
      <c r="N217" s="1014"/>
      <c r="O217" s="1004">
        <f t="shared" si="40"/>
        <v>1</v>
      </c>
      <c r="P217" s="1014"/>
      <c r="Q217" s="1004">
        <f t="shared" si="41"/>
        <v>0</v>
      </c>
      <c r="R217" s="1064">
        <f t="shared" si="42"/>
        <v>0</v>
      </c>
      <c r="S217" s="1003">
        <f t="shared" si="43"/>
        <v>0</v>
      </c>
    </row>
    <row r="218" spans="1:19">
      <c r="A218" s="1012"/>
      <c r="B218" s="1013"/>
      <c r="C218" s="1004">
        <f t="shared" ref="C218:C281" si="44">IF(B218="",1,(LOOKUP(B218,$3:$3,$4:$4)-LOOKUP($B$24,$3:$3,$4:$4)+100)/100)</f>
        <v>1</v>
      </c>
      <c r="D218" s="1014"/>
      <c r="E218" s="1004">
        <f t="shared" ref="E218:E281" si="45">(SUMIF($5:$5,D218,$6:$6)-SUMIF($5:$5,$D$24,$6:$6)+100)/100</f>
        <v>1</v>
      </c>
      <c r="F218" s="1014"/>
      <c r="G218" s="1004">
        <f t="shared" ref="G218:G281" si="46">(SUMIF($7:$7,F218,$8:$8)-SUMIF($7:$7,$F$24,$8:$8)+100)/100</f>
        <v>1</v>
      </c>
      <c r="H218" s="1014"/>
      <c r="I218" s="1004">
        <f t="shared" ref="I218:I281" si="47">(SUMIF($9:$9,H218,$10:$10)-SUMIF($9:$9,$H$24,$10:$10)+100)/100</f>
        <v>1</v>
      </c>
      <c r="J218" s="1014"/>
      <c r="K218" s="1004">
        <f t="shared" ref="K218:K281" si="48">(SUMIF($11:$11,J218,$12:$12)-SUMIF($11:$11,$J$24,$12:$12)+100)/100</f>
        <v>1</v>
      </c>
      <c r="L218" s="1014"/>
      <c r="M218" s="1004">
        <f t="shared" ref="M218:M281" si="49">(SUMIF($13:$13,L218,$14:$14)-SUMIF($13:$13,$L$24,$14:$14)+100)/100</f>
        <v>1</v>
      </c>
      <c r="N218" s="1014"/>
      <c r="O218" s="1004">
        <f t="shared" ref="O218:O281" si="50">(SUMIF($15:$15,N218,$16:$16)-SUMIF($15:$15,$N$24,$16:$16)+100)/100</f>
        <v>1</v>
      </c>
      <c r="P218" s="1014"/>
      <c r="Q218" s="1004">
        <f t="shared" ref="Q218:Q281" si="51">(SUMIF($17:$17,P218,$18:$18)-SUMIF($17:$17,$P$24,$18:$18)+100)/100</f>
        <v>0</v>
      </c>
      <c r="R218" s="1064">
        <f t="shared" ref="R218:R281" si="52">IF(B218="",0,ROUND($R$24*C218*E218*G218*I218*K218*M218*O218*Q218,0))</f>
        <v>0</v>
      </c>
      <c r="S218" s="1003">
        <f t="shared" si="43"/>
        <v>0</v>
      </c>
    </row>
    <row r="219" spans="1:19">
      <c r="A219" s="1012"/>
      <c r="B219" s="1013"/>
      <c r="C219" s="1004">
        <f t="shared" si="44"/>
        <v>1</v>
      </c>
      <c r="D219" s="1014"/>
      <c r="E219" s="1004">
        <f t="shared" si="45"/>
        <v>1</v>
      </c>
      <c r="F219" s="1014"/>
      <c r="G219" s="1004">
        <f t="shared" si="46"/>
        <v>1</v>
      </c>
      <c r="H219" s="1014"/>
      <c r="I219" s="1004">
        <f t="shared" si="47"/>
        <v>1</v>
      </c>
      <c r="J219" s="1014"/>
      <c r="K219" s="1004">
        <f t="shared" si="48"/>
        <v>1</v>
      </c>
      <c r="L219" s="1014"/>
      <c r="M219" s="1004">
        <f t="shared" si="49"/>
        <v>1</v>
      </c>
      <c r="N219" s="1014"/>
      <c r="O219" s="1004">
        <f t="shared" si="50"/>
        <v>1</v>
      </c>
      <c r="P219" s="1014"/>
      <c r="Q219" s="1004">
        <f t="shared" si="51"/>
        <v>0</v>
      </c>
      <c r="R219" s="1064">
        <f t="shared" si="52"/>
        <v>0</v>
      </c>
      <c r="S219" s="1003">
        <f t="shared" si="43"/>
        <v>0</v>
      </c>
    </row>
    <row r="220" spans="1:19">
      <c r="A220" s="1012"/>
      <c r="B220" s="1013"/>
      <c r="C220" s="1004">
        <f t="shared" si="44"/>
        <v>1</v>
      </c>
      <c r="D220" s="1014"/>
      <c r="E220" s="1004">
        <f t="shared" si="45"/>
        <v>1</v>
      </c>
      <c r="F220" s="1014"/>
      <c r="G220" s="1004">
        <f t="shared" si="46"/>
        <v>1</v>
      </c>
      <c r="H220" s="1014"/>
      <c r="I220" s="1004">
        <f t="shared" si="47"/>
        <v>1</v>
      </c>
      <c r="J220" s="1014"/>
      <c r="K220" s="1004">
        <f t="shared" si="48"/>
        <v>1</v>
      </c>
      <c r="L220" s="1014"/>
      <c r="M220" s="1004">
        <f t="shared" si="49"/>
        <v>1</v>
      </c>
      <c r="N220" s="1014"/>
      <c r="O220" s="1004">
        <f t="shared" si="50"/>
        <v>1</v>
      </c>
      <c r="P220" s="1014"/>
      <c r="Q220" s="1004">
        <f t="shared" si="51"/>
        <v>0</v>
      </c>
      <c r="R220" s="1064">
        <f t="shared" si="52"/>
        <v>0</v>
      </c>
      <c r="S220" s="1003">
        <f t="shared" si="43"/>
        <v>0</v>
      </c>
    </row>
    <row r="221" spans="1:19">
      <c r="A221" s="1012"/>
      <c r="B221" s="1013"/>
      <c r="C221" s="1004">
        <f t="shared" si="44"/>
        <v>1</v>
      </c>
      <c r="D221" s="1014"/>
      <c r="E221" s="1004">
        <f t="shared" si="45"/>
        <v>1</v>
      </c>
      <c r="F221" s="1014"/>
      <c r="G221" s="1004">
        <f t="shared" si="46"/>
        <v>1</v>
      </c>
      <c r="H221" s="1014"/>
      <c r="I221" s="1004">
        <f t="shared" si="47"/>
        <v>1</v>
      </c>
      <c r="J221" s="1014"/>
      <c r="K221" s="1004">
        <f t="shared" si="48"/>
        <v>1</v>
      </c>
      <c r="L221" s="1014"/>
      <c r="M221" s="1004">
        <f t="shared" si="49"/>
        <v>1</v>
      </c>
      <c r="N221" s="1014"/>
      <c r="O221" s="1004">
        <f t="shared" si="50"/>
        <v>1</v>
      </c>
      <c r="P221" s="1014"/>
      <c r="Q221" s="1004">
        <f t="shared" si="51"/>
        <v>0</v>
      </c>
      <c r="R221" s="1064">
        <f t="shared" si="52"/>
        <v>0</v>
      </c>
      <c r="S221" s="1003">
        <f t="shared" si="43"/>
        <v>0</v>
      </c>
    </row>
    <row r="222" spans="1:19">
      <c r="A222" s="1012"/>
      <c r="B222" s="1013"/>
      <c r="C222" s="1004">
        <f t="shared" si="44"/>
        <v>1</v>
      </c>
      <c r="D222" s="1014"/>
      <c r="E222" s="1004">
        <f t="shared" si="45"/>
        <v>1</v>
      </c>
      <c r="F222" s="1014"/>
      <c r="G222" s="1004">
        <f t="shared" si="46"/>
        <v>1</v>
      </c>
      <c r="H222" s="1014"/>
      <c r="I222" s="1004">
        <f t="shared" si="47"/>
        <v>1</v>
      </c>
      <c r="J222" s="1014"/>
      <c r="K222" s="1004">
        <f t="shared" si="48"/>
        <v>1</v>
      </c>
      <c r="L222" s="1014"/>
      <c r="M222" s="1004">
        <f t="shared" si="49"/>
        <v>1</v>
      </c>
      <c r="N222" s="1014"/>
      <c r="O222" s="1004">
        <f t="shared" si="50"/>
        <v>1</v>
      </c>
      <c r="P222" s="1014"/>
      <c r="Q222" s="1004">
        <f t="shared" si="51"/>
        <v>0</v>
      </c>
      <c r="R222" s="1064">
        <f t="shared" si="52"/>
        <v>0</v>
      </c>
      <c r="S222" s="1003">
        <f t="shared" si="43"/>
        <v>0</v>
      </c>
    </row>
    <row r="223" spans="1:19">
      <c r="A223" s="1012"/>
      <c r="B223" s="1013"/>
      <c r="C223" s="1004">
        <f t="shared" si="44"/>
        <v>1</v>
      </c>
      <c r="D223" s="1014"/>
      <c r="E223" s="1004">
        <f t="shared" si="45"/>
        <v>1</v>
      </c>
      <c r="F223" s="1014"/>
      <c r="G223" s="1004">
        <f t="shared" si="46"/>
        <v>1</v>
      </c>
      <c r="H223" s="1014"/>
      <c r="I223" s="1004">
        <f t="shared" si="47"/>
        <v>1</v>
      </c>
      <c r="J223" s="1014"/>
      <c r="K223" s="1004">
        <f t="shared" si="48"/>
        <v>1</v>
      </c>
      <c r="L223" s="1014"/>
      <c r="M223" s="1004">
        <f t="shared" si="49"/>
        <v>1</v>
      </c>
      <c r="N223" s="1014"/>
      <c r="O223" s="1004">
        <f t="shared" si="50"/>
        <v>1</v>
      </c>
      <c r="P223" s="1014"/>
      <c r="Q223" s="1004">
        <f t="shared" si="51"/>
        <v>0</v>
      </c>
      <c r="R223" s="1064">
        <f t="shared" si="52"/>
        <v>0</v>
      </c>
      <c r="S223" s="1003">
        <f t="shared" ref="S223:S286" si="53">ROUND(R223*B223/10000,0)</f>
        <v>0</v>
      </c>
    </row>
    <row r="224" spans="1:19">
      <c r="A224" s="1012"/>
      <c r="B224" s="1013"/>
      <c r="C224" s="1004">
        <f t="shared" si="44"/>
        <v>1</v>
      </c>
      <c r="D224" s="1014"/>
      <c r="E224" s="1004">
        <f t="shared" si="45"/>
        <v>1</v>
      </c>
      <c r="F224" s="1014"/>
      <c r="G224" s="1004">
        <f t="shared" si="46"/>
        <v>1</v>
      </c>
      <c r="H224" s="1014"/>
      <c r="I224" s="1004">
        <f t="shared" si="47"/>
        <v>1</v>
      </c>
      <c r="J224" s="1014"/>
      <c r="K224" s="1004">
        <f t="shared" si="48"/>
        <v>1</v>
      </c>
      <c r="L224" s="1014"/>
      <c r="M224" s="1004">
        <f t="shared" si="49"/>
        <v>1</v>
      </c>
      <c r="N224" s="1014"/>
      <c r="O224" s="1004">
        <f t="shared" si="50"/>
        <v>1</v>
      </c>
      <c r="P224" s="1014"/>
      <c r="Q224" s="1004">
        <f t="shared" si="51"/>
        <v>0</v>
      </c>
      <c r="R224" s="1064">
        <f t="shared" si="52"/>
        <v>0</v>
      </c>
      <c r="S224" s="1003">
        <f t="shared" si="53"/>
        <v>0</v>
      </c>
    </row>
    <row r="225" spans="1:19">
      <c r="A225" s="1012"/>
      <c r="B225" s="1013"/>
      <c r="C225" s="1004">
        <f t="shared" si="44"/>
        <v>1</v>
      </c>
      <c r="D225" s="1014"/>
      <c r="E225" s="1004">
        <f t="shared" si="45"/>
        <v>1</v>
      </c>
      <c r="F225" s="1014"/>
      <c r="G225" s="1004">
        <f t="shared" si="46"/>
        <v>1</v>
      </c>
      <c r="H225" s="1014"/>
      <c r="I225" s="1004">
        <f t="shared" si="47"/>
        <v>1</v>
      </c>
      <c r="J225" s="1014"/>
      <c r="K225" s="1004">
        <f t="shared" si="48"/>
        <v>1</v>
      </c>
      <c r="L225" s="1014"/>
      <c r="M225" s="1004">
        <f t="shared" si="49"/>
        <v>1</v>
      </c>
      <c r="N225" s="1014"/>
      <c r="O225" s="1004">
        <f t="shared" si="50"/>
        <v>1</v>
      </c>
      <c r="P225" s="1014"/>
      <c r="Q225" s="1004">
        <f t="shared" si="51"/>
        <v>0</v>
      </c>
      <c r="R225" s="1064">
        <f t="shared" si="52"/>
        <v>0</v>
      </c>
      <c r="S225" s="1003">
        <f t="shared" si="53"/>
        <v>0</v>
      </c>
    </row>
    <row r="226" spans="1:19">
      <c r="A226" s="1012"/>
      <c r="B226" s="1013"/>
      <c r="C226" s="1004">
        <f t="shared" si="44"/>
        <v>1</v>
      </c>
      <c r="D226" s="1014"/>
      <c r="E226" s="1004">
        <f t="shared" si="45"/>
        <v>1</v>
      </c>
      <c r="F226" s="1014"/>
      <c r="G226" s="1004">
        <f t="shared" si="46"/>
        <v>1</v>
      </c>
      <c r="H226" s="1014"/>
      <c r="I226" s="1004">
        <f t="shared" si="47"/>
        <v>1</v>
      </c>
      <c r="J226" s="1014"/>
      <c r="K226" s="1004">
        <f t="shared" si="48"/>
        <v>1</v>
      </c>
      <c r="L226" s="1014"/>
      <c r="M226" s="1004">
        <f t="shared" si="49"/>
        <v>1</v>
      </c>
      <c r="N226" s="1014"/>
      <c r="O226" s="1004">
        <f t="shared" si="50"/>
        <v>1</v>
      </c>
      <c r="P226" s="1014"/>
      <c r="Q226" s="1004">
        <f t="shared" si="51"/>
        <v>0</v>
      </c>
      <c r="R226" s="1064">
        <f t="shared" si="52"/>
        <v>0</v>
      </c>
      <c r="S226" s="1003">
        <f t="shared" si="53"/>
        <v>0</v>
      </c>
    </row>
    <row r="227" spans="1:19">
      <c r="A227" s="1012"/>
      <c r="B227" s="1013"/>
      <c r="C227" s="1004">
        <f t="shared" si="44"/>
        <v>1</v>
      </c>
      <c r="D227" s="1014"/>
      <c r="E227" s="1004">
        <f t="shared" si="45"/>
        <v>1</v>
      </c>
      <c r="F227" s="1014"/>
      <c r="G227" s="1004">
        <f t="shared" si="46"/>
        <v>1</v>
      </c>
      <c r="H227" s="1014"/>
      <c r="I227" s="1004">
        <f t="shared" si="47"/>
        <v>1</v>
      </c>
      <c r="J227" s="1014"/>
      <c r="K227" s="1004">
        <f t="shared" si="48"/>
        <v>1</v>
      </c>
      <c r="L227" s="1014"/>
      <c r="M227" s="1004">
        <f t="shared" si="49"/>
        <v>1</v>
      </c>
      <c r="N227" s="1014"/>
      <c r="O227" s="1004">
        <f t="shared" si="50"/>
        <v>1</v>
      </c>
      <c r="P227" s="1014"/>
      <c r="Q227" s="1004">
        <f t="shared" si="51"/>
        <v>0</v>
      </c>
      <c r="R227" s="1064">
        <f t="shared" si="52"/>
        <v>0</v>
      </c>
      <c r="S227" s="1003">
        <f t="shared" si="53"/>
        <v>0</v>
      </c>
    </row>
    <row r="228" spans="1:19">
      <c r="A228" s="1012"/>
      <c r="B228" s="1013"/>
      <c r="C228" s="1004">
        <f t="shared" si="44"/>
        <v>1</v>
      </c>
      <c r="D228" s="1014"/>
      <c r="E228" s="1004">
        <f t="shared" si="45"/>
        <v>1</v>
      </c>
      <c r="F228" s="1014"/>
      <c r="G228" s="1004">
        <f t="shared" si="46"/>
        <v>1</v>
      </c>
      <c r="H228" s="1014"/>
      <c r="I228" s="1004">
        <f t="shared" si="47"/>
        <v>1</v>
      </c>
      <c r="J228" s="1014"/>
      <c r="K228" s="1004">
        <f t="shared" si="48"/>
        <v>1</v>
      </c>
      <c r="L228" s="1014"/>
      <c r="M228" s="1004">
        <f t="shared" si="49"/>
        <v>1</v>
      </c>
      <c r="N228" s="1014"/>
      <c r="O228" s="1004">
        <f t="shared" si="50"/>
        <v>1</v>
      </c>
      <c r="P228" s="1014"/>
      <c r="Q228" s="1004">
        <f t="shared" si="51"/>
        <v>0</v>
      </c>
      <c r="R228" s="1064">
        <f t="shared" si="52"/>
        <v>0</v>
      </c>
      <c r="S228" s="1003">
        <f t="shared" si="53"/>
        <v>0</v>
      </c>
    </row>
    <row r="229" spans="1:19">
      <c r="A229" s="1012"/>
      <c r="B229" s="1013"/>
      <c r="C229" s="1004">
        <f t="shared" si="44"/>
        <v>1</v>
      </c>
      <c r="D229" s="1014"/>
      <c r="E229" s="1004">
        <f t="shared" si="45"/>
        <v>1</v>
      </c>
      <c r="F229" s="1014"/>
      <c r="G229" s="1004">
        <f t="shared" si="46"/>
        <v>1</v>
      </c>
      <c r="H229" s="1014"/>
      <c r="I229" s="1004">
        <f t="shared" si="47"/>
        <v>1</v>
      </c>
      <c r="J229" s="1014"/>
      <c r="K229" s="1004">
        <f t="shared" si="48"/>
        <v>1</v>
      </c>
      <c r="L229" s="1014"/>
      <c r="M229" s="1004">
        <f t="shared" si="49"/>
        <v>1</v>
      </c>
      <c r="N229" s="1014"/>
      <c r="O229" s="1004">
        <f t="shared" si="50"/>
        <v>1</v>
      </c>
      <c r="P229" s="1014"/>
      <c r="Q229" s="1004">
        <f t="shared" si="51"/>
        <v>0</v>
      </c>
      <c r="R229" s="1064">
        <f t="shared" si="52"/>
        <v>0</v>
      </c>
      <c r="S229" s="1003">
        <f t="shared" si="53"/>
        <v>0</v>
      </c>
    </row>
    <row r="230" spans="1:19">
      <c r="A230" s="1012"/>
      <c r="B230" s="1013"/>
      <c r="C230" s="1004">
        <f t="shared" si="44"/>
        <v>1</v>
      </c>
      <c r="D230" s="1014"/>
      <c r="E230" s="1004">
        <f t="shared" si="45"/>
        <v>1</v>
      </c>
      <c r="F230" s="1014"/>
      <c r="G230" s="1004">
        <f t="shared" si="46"/>
        <v>1</v>
      </c>
      <c r="H230" s="1014"/>
      <c r="I230" s="1004">
        <f t="shared" si="47"/>
        <v>1</v>
      </c>
      <c r="J230" s="1014"/>
      <c r="K230" s="1004">
        <f t="shared" si="48"/>
        <v>1</v>
      </c>
      <c r="L230" s="1014"/>
      <c r="M230" s="1004">
        <f t="shared" si="49"/>
        <v>1</v>
      </c>
      <c r="N230" s="1014"/>
      <c r="O230" s="1004">
        <f t="shared" si="50"/>
        <v>1</v>
      </c>
      <c r="P230" s="1014"/>
      <c r="Q230" s="1004">
        <f t="shared" si="51"/>
        <v>0</v>
      </c>
      <c r="R230" s="1064">
        <f t="shared" si="52"/>
        <v>0</v>
      </c>
      <c r="S230" s="1003">
        <f t="shared" si="53"/>
        <v>0</v>
      </c>
    </row>
    <row r="231" spans="1:19">
      <c r="A231" s="1012"/>
      <c r="B231" s="1013"/>
      <c r="C231" s="1004">
        <f t="shared" si="44"/>
        <v>1</v>
      </c>
      <c r="D231" s="1014"/>
      <c r="E231" s="1004">
        <f t="shared" si="45"/>
        <v>1</v>
      </c>
      <c r="F231" s="1014"/>
      <c r="G231" s="1004">
        <f t="shared" si="46"/>
        <v>1</v>
      </c>
      <c r="H231" s="1014"/>
      <c r="I231" s="1004">
        <f t="shared" si="47"/>
        <v>1</v>
      </c>
      <c r="J231" s="1014"/>
      <c r="K231" s="1004">
        <f t="shared" si="48"/>
        <v>1</v>
      </c>
      <c r="L231" s="1014"/>
      <c r="M231" s="1004">
        <f t="shared" si="49"/>
        <v>1</v>
      </c>
      <c r="N231" s="1014"/>
      <c r="O231" s="1004">
        <f t="shared" si="50"/>
        <v>1</v>
      </c>
      <c r="P231" s="1014"/>
      <c r="Q231" s="1004">
        <f t="shared" si="51"/>
        <v>0</v>
      </c>
      <c r="R231" s="1064">
        <f t="shared" si="52"/>
        <v>0</v>
      </c>
      <c r="S231" s="1003">
        <f t="shared" si="53"/>
        <v>0</v>
      </c>
    </row>
    <row r="232" spans="1:19">
      <c r="A232" s="1012"/>
      <c r="B232" s="1013"/>
      <c r="C232" s="1004">
        <f t="shared" si="44"/>
        <v>1</v>
      </c>
      <c r="D232" s="1014"/>
      <c r="E232" s="1004">
        <f t="shared" si="45"/>
        <v>1</v>
      </c>
      <c r="F232" s="1014"/>
      <c r="G232" s="1004">
        <f t="shared" si="46"/>
        <v>1</v>
      </c>
      <c r="H232" s="1014"/>
      <c r="I232" s="1004">
        <f t="shared" si="47"/>
        <v>1</v>
      </c>
      <c r="J232" s="1014"/>
      <c r="K232" s="1004">
        <f t="shared" si="48"/>
        <v>1</v>
      </c>
      <c r="L232" s="1014"/>
      <c r="M232" s="1004">
        <f t="shared" si="49"/>
        <v>1</v>
      </c>
      <c r="N232" s="1014"/>
      <c r="O232" s="1004">
        <f t="shared" si="50"/>
        <v>1</v>
      </c>
      <c r="P232" s="1014"/>
      <c r="Q232" s="1004">
        <f t="shared" si="51"/>
        <v>0</v>
      </c>
      <c r="R232" s="1064">
        <f t="shared" si="52"/>
        <v>0</v>
      </c>
      <c r="S232" s="1003">
        <f t="shared" si="53"/>
        <v>0</v>
      </c>
    </row>
    <row r="233" spans="1:19">
      <c r="A233" s="1012"/>
      <c r="B233" s="1013"/>
      <c r="C233" s="1004">
        <f t="shared" si="44"/>
        <v>1</v>
      </c>
      <c r="D233" s="1014"/>
      <c r="E233" s="1004">
        <f t="shared" si="45"/>
        <v>1</v>
      </c>
      <c r="F233" s="1014"/>
      <c r="G233" s="1004">
        <f t="shared" si="46"/>
        <v>1</v>
      </c>
      <c r="H233" s="1014"/>
      <c r="I233" s="1004">
        <f t="shared" si="47"/>
        <v>1</v>
      </c>
      <c r="J233" s="1014"/>
      <c r="K233" s="1004">
        <f t="shared" si="48"/>
        <v>1</v>
      </c>
      <c r="L233" s="1014"/>
      <c r="M233" s="1004">
        <f t="shared" si="49"/>
        <v>1</v>
      </c>
      <c r="N233" s="1014"/>
      <c r="O233" s="1004">
        <f t="shared" si="50"/>
        <v>1</v>
      </c>
      <c r="P233" s="1014"/>
      <c r="Q233" s="1004">
        <f t="shared" si="51"/>
        <v>0</v>
      </c>
      <c r="R233" s="1064">
        <f t="shared" si="52"/>
        <v>0</v>
      </c>
      <c r="S233" s="1003">
        <f t="shared" si="53"/>
        <v>0</v>
      </c>
    </row>
    <row r="234" spans="1:19">
      <c r="A234" s="1012"/>
      <c r="B234" s="1013"/>
      <c r="C234" s="1004">
        <f t="shared" si="44"/>
        <v>1</v>
      </c>
      <c r="D234" s="1014"/>
      <c r="E234" s="1004">
        <f t="shared" si="45"/>
        <v>1</v>
      </c>
      <c r="F234" s="1014"/>
      <c r="G234" s="1004">
        <f t="shared" si="46"/>
        <v>1</v>
      </c>
      <c r="H234" s="1014"/>
      <c r="I234" s="1004">
        <f t="shared" si="47"/>
        <v>1</v>
      </c>
      <c r="J234" s="1014"/>
      <c r="K234" s="1004">
        <f t="shared" si="48"/>
        <v>1</v>
      </c>
      <c r="L234" s="1014"/>
      <c r="M234" s="1004">
        <f t="shared" si="49"/>
        <v>1</v>
      </c>
      <c r="N234" s="1014"/>
      <c r="O234" s="1004">
        <f t="shared" si="50"/>
        <v>1</v>
      </c>
      <c r="P234" s="1014"/>
      <c r="Q234" s="1004">
        <f t="shared" si="51"/>
        <v>0</v>
      </c>
      <c r="R234" s="1064">
        <f t="shared" si="52"/>
        <v>0</v>
      </c>
      <c r="S234" s="1003">
        <f t="shared" si="53"/>
        <v>0</v>
      </c>
    </row>
    <row r="235" spans="1:19">
      <c r="A235" s="1012"/>
      <c r="B235" s="1013"/>
      <c r="C235" s="1004">
        <f t="shared" si="44"/>
        <v>1</v>
      </c>
      <c r="D235" s="1014"/>
      <c r="E235" s="1004">
        <f t="shared" si="45"/>
        <v>1</v>
      </c>
      <c r="F235" s="1014"/>
      <c r="G235" s="1004">
        <f t="shared" si="46"/>
        <v>1</v>
      </c>
      <c r="H235" s="1014"/>
      <c r="I235" s="1004">
        <f t="shared" si="47"/>
        <v>1</v>
      </c>
      <c r="J235" s="1014"/>
      <c r="K235" s="1004">
        <f t="shared" si="48"/>
        <v>1</v>
      </c>
      <c r="L235" s="1014"/>
      <c r="M235" s="1004">
        <f t="shared" si="49"/>
        <v>1</v>
      </c>
      <c r="N235" s="1014"/>
      <c r="O235" s="1004">
        <f t="shared" si="50"/>
        <v>1</v>
      </c>
      <c r="P235" s="1014"/>
      <c r="Q235" s="1004">
        <f t="shared" si="51"/>
        <v>0</v>
      </c>
      <c r="R235" s="1064">
        <f t="shared" si="52"/>
        <v>0</v>
      </c>
      <c r="S235" s="1003">
        <f t="shared" si="53"/>
        <v>0</v>
      </c>
    </row>
    <row r="236" spans="1:19">
      <c r="A236" s="1012"/>
      <c r="B236" s="1013"/>
      <c r="C236" s="1004">
        <f t="shared" si="44"/>
        <v>1</v>
      </c>
      <c r="D236" s="1014"/>
      <c r="E236" s="1004">
        <f t="shared" si="45"/>
        <v>1</v>
      </c>
      <c r="F236" s="1014"/>
      <c r="G236" s="1004">
        <f t="shared" si="46"/>
        <v>1</v>
      </c>
      <c r="H236" s="1014"/>
      <c r="I236" s="1004">
        <f t="shared" si="47"/>
        <v>1</v>
      </c>
      <c r="J236" s="1014"/>
      <c r="K236" s="1004">
        <f t="shared" si="48"/>
        <v>1</v>
      </c>
      <c r="L236" s="1014"/>
      <c r="M236" s="1004">
        <f t="shared" si="49"/>
        <v>1</v>
      </c>
      <c r="N236" s="1014"/>
      <c r="O236" s="1004">
        <f t="shared" si="50"/>
        <v>1</v>
      </c>
      <c r="P236" s="1014"/>
      <c r="Q236" s="1004">
        <f t="shared" si="51"/>
        <v>0</v>
      </c>
      <c r="R236" s="1064">
        <f t="shared" si="52"/>
        <v>0</v>
      </c>
      <c r="S236" s="1003">
        <f t="shared" si="53"/>
        <v>0</v>
      </c>
    </row>
    <row r="237" spans="1:19">
      <c r="A237" s="1012"/>
      <c r="B237" s="1013"/>
      <c r="C237" s="1004">
        <f t="shared" si="44"/>
        <v>1</v>
      </c>
      <c r="D237" s="1014"/>
      <c r="E237" s="1004">
        <f t="shared" si="45"/>
        <v>1</v>
      </c>
      <c r="F237" s="1014"/>
      <c r="G237" s="1004">
        <f t="shared" si="46"/>
        <v>1</v>
      </c>
      <c r="H237" s="1014"/>
      <c r="I237" s="1004">
        <f t="shared" si="47"/>
        <v>1</v>
      </c>
      <c r="J237" s="1014"/>
      <c r="K237" s="1004">
        <f t="shared" si="48"/>
        <v>1</v>
      </c>
      <c r="L237" s="1014"/>
      <c r="M237" s="1004">
        <f t="shared" si="49"/>
        <v>1</v>
      </c>
      <c r="N237" s="1014"/>
      <c r="O237" s="1004">
        <f t="shared" si="50"/>
        <v>1</v>
      </c>
      <c r="P237" s="1014"/>
      <c r="Q237" s="1004">
        <f t="shared" si="51"/>
        <v>0</v>
      </c>
      <c r="R237" s="1064">
        <f t="shared" si="52"/>
        <v>0</v>
      </c>
      <c r="S237" s="1003">
        <f t="shared" si="53"/>
        <v>0</v>
      </c>
    </row>
    <row r="238" spans="1:19">
      <c r="A238" s="1012"/>
      <c r="B238" s="1013"/>
      <c r="C238" s="1004">
        <f t="shared" si="44"/>
        <v>1</v>
      </c>
      <c r="D238" s="1014"/>
      <c r="E238" s="1004">
        <f t="shared" si="45"/>
        <v>1</v>
      </c>
      <c r="F238" s="1014"/>
      <c r="G238" s="1004">
        <f t="shared" si="46"/>
        <v>1</v>
      </c>
      <c r="H238" s="1014"/>
      <c r="I238" s="1004">
        <f t="shared" si="47"/>
        <v>1</v>
      </c>
      <c r="J238" s="1014"/>
      <c r="K238" s="1004">
        <f t="shared" si="48"/>
        <v>1</v>
      </c>
      <c r="L238" s="1014"/>
      <c r="M238" s="1004">
        <f t="shared" si="49"/>
        <v>1</v>
      </c>
      <c r="N238" s="1014"/>
      <c r="O238" s="1004">
        <f t="shared" si="50"/>
        <v>1</v>
      </c>
      <c r="P238" s="1014"/>
      <c r="Q238" s="1004">
        <f t="shared" si="51"/>
        <v>0</v>
      </c>
      <c r="R238" s="1064">
        <f t="shared" si="52"/>
        <v>0</v>
      </c>
      <c r="S238" s="1003">
        <f t="shared" si="53"/>
        <v>0</v>
      </c>
    </row>
    <row r="239" spans="1:19">
      <c r="A239" s="1012"/>
      <c r="B239" s="1013"/>
      <c r="C239" s="1004">
        <f t="shared" si="44"/>
        <v>1</v>
      </c>
      <c r="D239" s="1014"/>
      <c r="E239" s="1004">
        <f t="shared" si="45"/>
        <v>1</v>
      </c>
      <c r="F239" s="1014"/>
      <c r="G239" s="1004">
        <f t="shared" si="46"/>
        <v>1</v>
      </c>
      <c r="H239" s="1014"/>
      <c r="I239" s="1004">
        <f t="shared" si="47"/>
        <v>1</v>
      </c>
      <c r="J239" s="1014"/>
      <c r="K239" s="1004">
        <f t="shared" si="48"/>
        <v>1</v>
      </c>
      <c r="L239" s="1014"/>
      <c r="M239" s="1004">
        <f t="shared" si="49"/>
        <v>1</v>
      </c>
      <c r="N239" s="1014"/>
      <c r="O239" s="1004">
        <f t="shared" si="50"/>
        <v>1</v>
      </c>
      <c r="P239" s="1014"/>
      <c r="Q239" s="1004">
        <f t="shared" si="51"/>
        <v>0</v>
      </c>
      <c r="R239" s="1064">
        <f t="shared" si="52"/>
        <v>0</v>
      </c>
      <c r="S239" s="1003">
        <f t="shared" si="53"/>
        <v>0</v>
      </c>
    </row>
    <row r="240" spans="1:19">
      <c r="A240" s="1012"/>
      <c r="B240" s="1013"/>
      <c r="C240" s="1004">
        <f t="shared" si="44"/>
        <v>1</v>
      </c>
      <c r="D240" s="1014"/>
      <c r="E240" s="1004">
        <f t="shared" si="45"/>
        <v>1</v>
      </c>
      <c r="F240" s="1014"/>
      <c r="G240" s="1004">
        <f t="shared" si="46"/>
        <v>1</v>
      </c>
      <c r="H240" s="1014"/>
      <c r="I240" s="1004">
        <f t="shared" si="47"/>
        <v>1</v>
      </c>
      <c r="J240" s="1014"/>
      <c r="K240" s="1004">
        <f t="shared" si="48"/>
        <v>1</v>
      </c>
      <c r="L240" s="1014"/>
      <c r="M240" s="1004">
        <f t="shared" si="49"/>
        <v>1</v>
      </c>
      <c r="N240" s="1014"/>
      <c r="O240" s="1004">
        <f t="shared" si="50"/>
        <v>1</v>
      </c>
      <c r="P240" s="1014"/>
      <c r="Q240" s="1004">
        <f t="shared" si="51"/>
        <v>0</v>
      </c>
      <c r="R240" s="1064">
        <f t="shared" si="52"/>
        <v>0</v>
      </c>
      <c r="S240" s="1003">
        <f t="shared" si="53"/>
        <v>0</v>
      </c>
    </row>
    <row r="241" spans="1:19">
      <c r="A241" s="1012"/>
      <c r="B241" s="1013"/>
      <c r="C241" s="1004">
        <f t="shared" si="44"/>
        <v>1</v>
      </c>
      <c r="D241" s="1014"/>
      <c r="E241" s="1004">
        <f t="shared" si="45"/>
        <v>1</v>
      </c>
      <c r="F241" s="1014"/>
      <c r="G241" s="1004">
        <f t="shared" si="46"/>
        <v>1</v>
      </c>
      <c r="H241" s="1014"/>
      <c r="I241" s="1004">
        <f t="shared" si="47"/>
        <v>1</v>
      </c>
      <c r="J241" s="1014"/>
      <c r="K241" s="1004">
        <f t="shared" si="48"/>
        <v>1</v>
      </c>
      <c r="L241" s="1014"/>
      <c r="M241" s="1004">
        <f t="shared" si="49"/>
        <v>1</v>
      </c>
      <c r="N241" s="1014"/>
      <c r="O241" s="1004">
        <f t="shared" si="50"/>
        <v>1</v>
      </c>
      <c r="P241" s="1014"/>
      <c r="Q241" s="1004">
        <f t="shared" si="51"/>
        <v>0</v>
      </c>
      <c r="R241" s="1064">
        <f t="shared" si="52"/>
        <v>0</v>
      </c>
      <c r="S241" s="1003">
        <f t="shared" si="53"/>
        <v>0</v>
      </c>
    </row>
    <row r="242" spans="1:19">
      <c r="A242" s="1012"/>
      <c r="B242" s="1013"/>
      <c r="C242" s="1004">
        <f t="shared" si="44"/>
        <v>1</v>
      </c>
      <c r="D242" s="1014"/>
      <c r="E242" s="1004">
        <f t="shared" si="45"/>
        <v>1</v>
      </c>
      <c r="F242" s="1014"/>
      <c r="G242" s="1004">
        <f t="shared" si="46"/>
        <v>1</v>
      </c>
      <c r="H242" s="1014"/>
      <c r="I242" s="1004">
        <f t="shared" si="47"/>
        <v>1</v>
      </c>
      <c r="J242" s="1014"/>
      <c r="K242" s="1004">
        <f t="shared" si="48"/>
        <v>1</v>
      </c>
      <c r="L242" s="1014"/>
      <c r="M242" s="1004">
        <f t="shared" si="49"/>
        <v>1</v>
      </c>
      <c r="N242" s="1014"/>
      <c r="O242" s="1004">
        <f t="shared" si="50"/>
        <v>1</v>
      </c>
      <c r="P242" s="1014"/>
      <c r="Q242" s="1004">
        <f t="shared" si="51"/>
        <v>0</v>
      </c>
      <c r="R242" s="1064">
        <f t="shared" si="52"/>
        <v>0</v>
      </c>
      <c r="S242" s="1003">
        <f t="shared" si="53"/>
        <v>0</v>
      </c>
    </row>
    <row r="243" spans="1:19">
      <c r="A243" s="1012"/>
      <c r="B243" s="1013"/>
      <c r="C243" s="1004">
        <f t="shared" si="44"/>
        <v>1</v>
      </c>
      <c r="D243" s="1014"/>
      <c r="E243" s="1004">
        <f t="shared" si="45"/>
        <v>1</v>
      </c>
      <c r="F243" s="1014"/>
      <c r="G243" s="1004">
        <f t="shared" si="46"/>
        <v>1</v>
      </c>
      <c r="H243" s="1014"/>
      <c r="I243" s="1004">
        <f t="shared" si="47"/>
        <v>1</v>
      </c>
      <c r="J243" s="1014"/>
      <c r="K243" s="1004">
        <f t="shared" si="48"/>
        <v>1</v>
      </c>
      <c r="L243" s="1014"/>
      <c r="M243" s="1004">
        <f t="shared" si="49"/>
        <v>1</v>
      </c>
      <c r="N243" s="1014"/>
      <c r="O243" s="1004">
        <f t="shared" si="50"/>
        <v>1</v>
      </c>
      <c r="P243" s="1014"/>
      <c r="Q243" s="1004">
        <f t="shared" si="51"/>
        <v>0</v>
      </c>
      <c r="R243" s="1064">
        <f t="shared" si="52"/>
        <v>0</v>
      </c>
      <c r="S243" s="1003">
        <f t="shared" si="53"/>
        <v>0</v>
      </c>
    </row>
    <row r="244" spans="1:19">
      <c r="A244" s="1012"/>
      <c r="B244" s="1013"/>
      <c r="C244" s="1004">
        <f t="shared" si="44"/>
        <v>1</v>
      </c>
      <c r="D244" s="1014"/>
      <c r="E244" s="1004">
        <f t="shared" si="45"/>
        <v>1</v>
      </c>
      <c r="F244" s="1014"/>
      <c r="G244" s="1004">
        <f t="shared" si="46"/>
        <v>1</v>
      </c>
      <c r="H244" s="1014"/>
      <c r="I244" s="1004">
        <f t="shared" si="47"/>
        <v>1</v>
      </c>
      <c r="J244" s="1014"/>
      <c r="K244" s="1004">
        <f t="shared" si="48"/>
        <v>1</v>
      </c>
      <c r="L244" s="1014"/>
      <c r="M244" s="1004">
        <f t="shared" si="49"/>
        <v>1</v>
      </c>
      <c r="N244" s="1014"/>
      <c r="O244" s="1004">
        <f t="shared" si="50"/>
        <v>1</v>
      </c>
      <c r="P244" s="1014"/>
      <c r="Q244" s="1004">
        <f t="shared" si="51"/>
        <v>0</v>
      </c>
      <c r="R244" s="1064">
        <f t="shared" si="52"/>
        <v>0</v>
      </c>
      <c r="S244" s="1003">
        <f t="shared" si="53"/>
        <v>0</v>
      </c>
    </row>
    <row r="245" spans="1:19">
      <c r="A245" s="1012"/>
      <c r="B245" s="1013"/>
      <c r="C245" s="1004">
        <f t="shared" si="44"/>
        <v>1</v>
      </c>
      <c r="D245" s="1014"/>
      <c r="E245" s="1004">
        <f t="shared" si="45"/>
        <v>1</v>
      </c>
      <c r="F245" s="1014"/>
      <c r="G245" s="1004">
        <f t="shared" si="46"/>
        <v>1</v>
      </c>
      <c r="H245" s="1014"/>
      <c r="I245" s="1004">
        <f t="shared" si="47"/>
        <v>1</v>
      </c>
      <c r="J245" s="1014"/>
      <c r="K245" s="1004">
        <f t="shared" si="48"/>
        <v>1</v>
      </c>
      <c r="L245" s="1014"/>
      <c r="M245" s="1004">
        <f t="shared" si="49"/>
        <v>1</v>
      </c>
      <c r="N245" s="1014"/>
      <c r="O245" s="1004">
        <f t="shared" si="50"/>
        <v>1</v>
      </c>
      <c r="P245" s="1014"/>
      <c r="Q245" s="1004">
        <f t="shared" si="51"/>
        <v>0</v>
      </c>
      <c r="R245" s="1064">
        <f t="shared" si="52"/>
        <v>0</v>
      </c>
      <c r="S245" s="1003">
        <f t="shared" si="53"/>
        <v>0</v>
      </c>
    </row>
    <row r="246" spans="1:19">
      <c r="A246" s="1012"/>
      <c r="B246" s="1013"/>
      <c r="C246" s="1004">
        <f t="shared" si="44"/>
        <v>1</v>
      </c>
      <c r="D246" s="1014"/>
      <c r="E246" s="1004">
        <f t="shared" si="45"/>
        <v>1</v>
      </c>
      <c r="F246" s="1014"/>
      <c r="G246" s="1004">
        <f t="shared" si="46"/>
        <v>1</v>
      </c>
      <c r="H246" s="1014"/>
      <c r="I246" s="1004">
        <f t="shared" si="47"/>
        <v>1</v>
      </c>
      <c r="J246" s="1014"/>
      <c r="K246" s="1004">
        <f t="shared" si="48"/>
        <v>1</v>
      </c>
      <c r="L246" s="1014"/>
      <c r="M246" s="1004">
        <f t="shared" si="49"/>
        <v>1</v>
      </c>
      <c r="N246" s="1014"/>
      <c r="O246" s="1004">
        <f t="shared" si="50"/>
        <v>1</v>
      </c>
      <c r="P246" s="1014"/>
      <c r="Q246" s="1004">
        <f t="shared" si="51"/>
        <v>0</v>
      </c>
      <c r="R246" s="1064">
        <f t="shared" si="52"/>
        <v>0</v>
      </c>
      <c r="S246" s="1003">
        <f t="shared" si="53"/>
        <v>0</v>
      </c>
    </row>
    <row r="247" spans="1:19">
      <c r="A247" s="1012"/>
      <c r="B247" s="1013"/>
      <c r="C247" s="1004">
        <f t="shared" si="44"/>
        <v>1</v>
      </c>
      <c r="D247" s="1014"/>
      <c r="E247" s="1004">
        <f t="shared" si="45"/>
        <v>1</v>
      </c>
      <c r="F247" s="1014"/>
      <c r="G247" s="1004">
        <f t="shared" si="46"/>
        <v>1</v>
      </c>
      <c r="H247" s="1014"/>
      <c r="I247" s="1004">
        <f t="shared" si="47"/>
        <v>1</v>
      </c>
      <c r="J247" s="1014"/>
      <c r="K247" s="1004">
        <f t="shared" si="48"/>
        <v>1</v>
      </c>
      <c r="L247" s="1014"/>
      <c r="M247" s="1004">
        <f t="shared" si="49"/>
        <v>1</v>
      </c>
      <c r="N247" s="1014"/>
      <c r="O247" s="1004">
        <f t="shared" si="50"/>
        <v>1</v>
      </c>
      <c r="P247" s="1014"/>
      <c r="Q247" s="1004">
        <f t="shared" si="51"/>
        <v>0</v>
      </c>
      <c r="R247" s="1064">
        <f t="shared" si="52"/>
        <v>0</v>
      </c>
      <c r="S247" s="1003">
        <f t="shared" si="53"/>
        <v>0</v>
      </c>
    </row>
    <row r="248" spans="1:19">
      <c r="A248" s="1012"/>
      <c r="B248" s="1013"/>
      <c r="C248" s="1004">
        <f t="shared" si="44"/>
        <v>1</v>
      </c>
      <c r="D248" s="1014"/>
      <c r="E248" s="1004">
        <f t="shared" si="45"/>
        <v>1</v>
      </c>
      <c r="F248" s="1014"/>
      <c r="G248" s="1004">
        <f t="shared" si="46"/>
        <v>1</v>
      </c>
      <c r="H248" s="1014"/>
      <c r="I248" s="1004">
        <f t="shared" si="47"/>
        <v>1</v>
      </c>
      <c r="J248" s="1014"/>
      <c r="K248" s="1004">
        <f t="shared" si="48"/>
        <v>1</v>
      </c>
      <c r="L248" s="1014"/>
      <c r="M248" s="1004">
        <f t="shared" si="49"/>
        <v>1</v>
      </c>
      <c r="N248" s="1014"/>
      <c r="O248" s="1004">
        <f t="shared" si="50"/>
        <v>1</v>
      </c>
      <c r="P248" s="1014"/>
      <c r="Q248" s="1004">
        <f t="shared" si="51"/>
        <v>0</v>
      </c>
      <c r="R248" s="1064">
        <f t="shared" si="52"/>
        <v>0</v>
      </c>
      <c r="S248" s="1003">
        <f t="shared" si="53"/>
        <v>0</v>
      </c>
    </row>
    <row r="249" spans="1:19">
      <c r="A249" s="1012"/>
      <c r="B249" s="1013"/>
      <c r="C249" s="1004">
        <f t="shared" si="44"/>
        <v>1</v>
      </c>
      <c r="D249" s="1014"/>
      <c r="E249" s="1004">
        <f t="shared" si="45"/>
        <v>1</v>
      </c>
      <c r="F249" s="1014"/>
      <c r="G249" s="1004">
        <f t="shared" si="46"/>
        <v>1</v>
      </c>
      <c r="H249" s="1014"/>
      <c r="I249" s="1004">
        <f t="shared" si="47"/>
        <v>1</v>
      </c>
      <c r="J249" s="1014"/>
      <c r="K249" s="1004">
        <f t="shared" si="48"/>
        <v>1</v>
      </c>
      <c r="L249" s="1014"/>
      <c r="M249" s="1004">
        <f t="shared" si="49"/>
        <v>1</v>
      </c>
      <c r="N249" s="1014"/>
      <c r="O249" s="1004">
        <f t="shared" si="50"/>
        <v>1</v>
      </c>
      <c r="P249" s="1014"/>
      <c r="Q249" s="1004">
        <f t="shared" si="51"/>
        <v>0</v>
      </c>
      <c r="R249" s="1064">
        <f t="shared" si="52"/>
        <v>0</v>
      </c>
      <c r="S249" s="1003">
        <f t="shared" si="53"/>
        <v>0</v>
      </c>
    </row>
    <row r="250" spans="1:19">
      <c r="A250" s="1012"/>
      <c r="B250" s="1013"/>
      <c r="C250" s="1004">
        <f t="shared" si="44"/>
        <v>1</v>
      </c>
      <c r="D250" s="1014"/>
      <c r="E250" s="1004">
        <f t="shared" si="45"/>
        <v>1</v>
      </c>
      <c r="F250" s="1014"/>
      <c r="G250" s="1004">
        <f t="shared" si="46"/>
        <v>1</v>
      </c>
      <c r="H250" s="1014"/>
      <c r="I250" s="1004">
        <f t="shared" si="47"/>
        <v>1</v>
      </c>
      <c r="J250" s="1014"/>
      <c r="K250" s="1004">
        <f t="shared" si="48"/>
        <v>1</v>
      </c>
      <c r="L250" s="1014"/>
      <c r="M250" s="1004">
        <f t="shared" si="49"/>
        <v>1</v>
      </c>
      <c r="N250" s="1014"/>
      <c r="O250" s="1004">
        <f t="shared" si="50"/>
        <v>1</v>
      </c>
      <c r="P250" s="1014"/>
      <c r="Q250" s="1004">
        <f t="shared" si="51"/>
        <v>0</v>
      </c>
      <c r="R250" s="1064">
        <f t="shared" si="52"/>
        <v>0</v>
      </c>
      <c r="S250" s="1003">
        <f t="shared" si="53"/>
        <v>0</v>
      </c>
    </row>
    <row r="251" spans="1:19">
      <c r="A251" s="1012"/>
      <c r="B251" s="1013"/>
      <c r="C251" s="1004">
        <f t="shared" si="44"/>
        <v>1</v>
      </c>
      <c r="D251" s="1014"/>
      <c r="E251" s="1004">
        <f t="shared" si="45"/>
        <v>1</v>
      </c>
      <c r="F251" s="1014"/>
      <c r="G251" s="1004">
        <f t="shared" si="46"/>
        <v>1</v>
      </c>
      <c r="H251" s="1014"/>
      <c r="I251" s="1004">
        <f t="shared" si="47"/>
        <v>1</v>
      </c>
      <c r="J251" s="1014"/>
      <c r="K251" s="1004">
        <f t="shared" si="48"/>
        <v>1</v>
      </c>
      <c r="L251" s="1014"/>
      <c r="M251" s="1004">
        <f t="shared" si="49"/>
        <v>1</v>
      </c>
      <c r="N251" s="1014"/>
      <c r="O251" s="1004">
        <f t="shared" si="50"/>
        <v>1</v>
      </c>
      <c r="P251" s="1014"/>
      <c r="Q251" s="1004">
        <f t="shared" si="51"/>
        <v>0</v>
      </c>
      <c r="R251" s="1064">
        <f t="shared" si="52"/>
        <v>0</v>
      </c>
      <c r="S251" s="1003">
        <f t="shared" si="53"/>
        <v>0</v>
      </c>
    </row>
    <row r="252" spans="1:19">
      <c r="A252" s="1012"/>
      <c r="B252" s="1013"/>
      <c r="C252" s="1004">
        <f t="shared" si="44"/>
        <v>1</v>
      </c>
      <c r="D252" s="1014"/>
      <c r="E252" s="1004">
        <f t="shared" si="45"/>
        <v>1</v>
      </c>
      <c r="F252" s="1014"/>
      <c r="G252" s="1004">
        <f t="shared" si="46"/>
        <v>1</v>
      </c>
      <c r="H252" s="1014"/>
      <c r="I252" s="1004">
        <f t="shared" si="47"/>
        <v>1</v>
      </c>
      <c r="J252" s="1014"/>
      <c r="K252" s="1004">
        <f t="shared" si="48"/>
        <v>1</v>
      </c>
      <c r="L252" s="1014"/>
      <c r="M252" s="1004">
        <f t="shared" si="49"/>
        <v>1</v>
      </c>
      <c r="N252" s="1014"/>
      <c r="O252" s="1004">
        <f t="shared" si="50"/>
        <v>1</v>
      </c>
      <c r="P252" s="1014"/>
      <c r="Q252" s="1004">
        <f t="shared" si="51"/>
        <v>0</v>
      </c>
      <c r="R252" s="1064">
        <f t="shared" si="52"/>
        <v>0</v>
      </c>
      <c r="S252" s="1003">
        <f t="shared" si="53"/>
        <v>0</v>
      </c>
    </row>
    <row r="253" spans="1:19">
      <c r="A253" s="1012"/>
      <c r="B253" s="1013"/>
      <c r="C253" s="1004">
        <f t="shared" si="44"/>
        <v>1</v>
      </c>
      <c r="D253" s="1014"/>
      <c r="E253" s="1004">
        <f t="shared" si="45"/>
        <v>1</v>
      </c>
      <c r="F253" s="1014"/>
      <c r="G253" s="1004">
        <f t="shared" si="46"/>
        <v>1</v>
      </c>
      <c r="H253" s="1014"/>
      <c r="I253" s="1004">
        <f t="shared" si="47"/>
        <v>1</v>
      </c>
      <c r="J253" s="1014"/>
      <c r="K253" s="1004">
        <f t="shared" si="48"/>
        <v>1</v>
      </c>
      <c r="L253" s="1014"/>
      <c r="M253" s="1004">
        <f t="shared" si="49"/>
        <v>1</v>
      </c>
      <c r="N253" s="1014"/>
      <c r="O253" s="1004">
        <f t="shared" si="50"/>
        <v>1</v>
      </c>
      <c r="P253" s="1014"/>
      <c r="Q253" s="1004">
        <f t="shared" si="51"/>
        <v>0</v>
      </c>
      <c r="R253" s="1064">
        <f t="shared" si="52"/>
        <v>0</v>
      </c>
      <c r="S253" s="1003">
        <f t="shared" si="53"/>
        <v>0</v>
      </c>
    </row>
    <row r="254" spans="1:19">
      <c r="A254" s="1012"/>
      <c r="B254" s="1013"/>
      <c r="C254" s="1004">
        <f t="shared" si="44"/>
        <v>1</v>
      </c>
      <c r="D254" s="1014"/>
      <c r="E254" s="1004">
        <f t="shared" si="45"/>
        <v>1</v>
      </c>
      <c r="F254" s="1014"/>
      <c r="G254" s="1004">
        <f t="shared" si="46"/>
        <v>1</v>
      </c>
      <c r="H254" s="1014"/>
      <c r="I254" s="1004">
        <f t="shared" si="47"/>
        <v>1</v>
      </c>
      <c r="J254" s="1014"/>
      <c r="K254" s="1004">
        <f t="shared" si="48"/>
        <v>1</v>
      </c>
      <c r="L254" s="1014"/>
      <c r="M254" s="1004">
        <f t="shared" si="49"/>
        <v>1</v>
      </c>
      <c r="N254" s="1014"/>
      <c r="O254" s="1004">
        <f t="shared" si="50"/>
        <v>1</v>
      </c>
      <c r="P254" s="1014"/>
      <c r="Q254" s="1004">
        <f t="shared" si="51"/>
        <v>0</v>
      </c>
      <c r="R254" s="1064">
        <f t="shared" si="52"/>
        <v>0</v>
      </c>
      <c r="S254" s="1003">
        <f t="shared" si="53"/>
        <v>0</v>
      </c>
    </row>
    <row r="255" spans="1:19">
      <c r="A255" s="1012"/>
      <c r="B255" s="1013"/>
      <c r="C255" s="1004">
        <f t="shared" si="44"/>
        <v>1</v>
      </c>
      <c r="D255" s="1014"/>
      <c r="E255" s="1004">
        <f t="shared" si="45"/>
        <v>1</v>
      </c>
      <c r="F255" s="1014"/>
      <c r="G255" s="1004">
        <f t="shared" si="46"/>
        <v>1</v>
      </c>
      <c r="H255" s="1014"/>
      <c r="I255" s="1004">
        <f t="shared" si="47"/>
        <v>1</v>
      </c>
      <c r="J255" s="1014"/>
      <c r="K255" s="1004">
        <f t="shared" si="48"/>
        <v>1</v>
      </c>
      <c r="L255" s="1014"/>
      <c r="M255" s="1004">
        <f t="shared" si="49"/>
        <v>1</v>
      </c>
      <c r="N255" s="1014"/>
      <c r="O255" s="1004">
        <f t="shared" si="50"/>
        <v>1</v>
      </c>
      <c r="P255" s="1014"/>
      <c r="Q255" s="1004">
        <f t="shared" si="51"/>
        <v>0</v>
      </c>
      <c r="R255" s="1064">
        <f t="shared" si="52"/>
        <v>0</v>
      </c>
      <c r="S255" s="1003">
        <f t="shared" si="53"/>
        <v>0</v>
      </c>
    </row>
    <row r="256" spans="1:19">
      <c r="A256" s="1012"/>
      <c r="B256" s="1013"/>
      <c r="C256" s="1004">
        <f t="shared" si="44"/>
        <v>1</v>
      </c>
      <c r="D256" s="1014"/>
      <c r="E256" s="1004">
        <f t="shared" si="45"/>
        <v>1</v>
      </c>
      <c r="F256" s="1014"/>
      <c r="G256" s="1004">
        <f t="shared" si="46"/>
        <v>1</v>
      </c>
      <c r="H256" s="1014"/>
      <c r="I256" s="1004">
        <f t="shared" si="47"/>
        <v>1</v>
      </c>
      <c r="J256" s="1014"/>
      <c r="K256" s="1004">
        <f t="shared" si="48"/>
        <v>1</v>
      </c>
      <c r="L256" s="1014"/>
      <c r="M256" s="1004">
        <f t="shared" si="49"/>
        <v>1</v>
      </c>
      <c r="N256" s="1014"/>
      <c r="O256" s="1004">
        <f t="shared" si="50"/>
        <v>1</v>
      </c>
      <c r="P256" s="1014"/>
      <c r="Q256" s="1004">
        <f t="shared" si="51"/>
        <v>0</v>
      </c>
      <c r="R256" s="1064">
        <f t="shared" si="52"/>
        <v>0</v>
      </c>
      <c r="S256" s="1003">
        <f t="shared" si="53"/>
        <v>0</v>
      </c>
    </row>
    <row r="257" spans="1:19">
      <c r="A257" s="1012"/>
      <c r="B257" s="1013"/>
      <c r="C257" s="1004">
        <f t="shared" si="44"/>
        <v>1</v>
      </c>
      <c r="D257" s="1014"/>
      <c r="E257" s="1004">
        <f t="shared" si="45"/>
        <v>1</v>
      </c>
      <c r="F257" s="1014"/>
      <c r="G257" s="1004">
        <f t="shared" si="46"/>
        <v>1</v>
      </c>
      <c r="H257" s="1014"/>
      <c r="I257" s="1004">
        <f t="shared" si="47"/>
        <v>1</v>
      </c>
      <c r="J257" s="1014"/>
      <c r="K257" s="1004">
        <f t="shared" si="48"/>
        <v>1</v>
      </c>
      <c r="L257" s="1014"/>
      <c r="M257" s="1004">
        <f t="shared" si="49"/>
        <v>1</v>
      </c>
      <c r="N257" s="1014"/>
      <c r="O257" s="1004">
        <f t="shared" si="50"/>
        <v>1</v>
      </c>
      <c r="P257" s="1014"/>
      <c r="Q257" s="1004">
        <f t="shared" si="51"/>
        <v>0</v>
      </c>
      <c r="R257" s="1064">
        <f t="shared" si="52"/>
        <v>0</v>
      </c>
      <c r="S257" s="1003">
        <f t="shared" si="53"/>
        <v>0</v>
      </c>
    </row>
    <row r="258" spans="1:19">
      <c r="A258" s="1012"/>
      <c r="B258" s="1013"/>
      <c r="C258" s="1004">
        <f t="shared" si="44"/>
        <v>1</v>
      </c>
      <c r="D258" s="1014"/>
      <c r="E258" s="1004">
        <f t="shared" si="45"/>
        <v>1</v>
      </c>
      <c r="F258" s="1014"/>
      <c r="G258" s="1004">
        <f t="shared" si="46"/>
        <v>1</v>
      </c>
      <c r="H258" s="1014"/>
      <c r="I258" s="1004">
        <f t="shared" si="47"/>
        <v>1</v>
      </c>
      <c r="J258" s="1014"/>
      <c r="K258" s="1004">
        <f t="shared" si="48"/>
        <v>1</v>
      </c>
      <c r="L258" s="1014"/>
      <c r="M258" s="1004">
        <f t="shared" si="49"/>
        <v>1</v>
      </c>
      <c r="N258" s="1014"/>
      <c r="O258" s="1004">
        <f t="shared" si="50"/>
        <v>1</v>
      </c>
      <c r="P258" s="1014"/>
      <c r="Q258" s="1004">
        <f t="shared" si="51"/>
        <v>0</v>
      </c>
      <c r="R258" s="1064">
        <f t="shared" si="52"/>
        <v>0</v>
      </c>
      <c r="S258" s="1003">
        <f t="shared" si="53"/>
        <v>0</v>
      </c>
    </row>
    <row r="259" spans="1:19">
      <c r="A259" s="1012"/>
      <c r="B259" s="1013"/>
      <c r="C259" s="1004">
        <f t="shared" si="44"/>
        <v>1</v>
      </c>
      <c r="D259" s="1014"/>
      <c r="E259" s="1004">
        <f t="shared" si="45"/>
        <v>1</v>
      </c>
      <c r="F259" s="1014"/>
      <c r="G259" s="1004">
        <f t="shared" si="46"/>
        <v>1</v>
      </c>
      <c r="H259" s="1014"/>
      <c r="I259" s="1004">
        <f t="shared" si="47"/>
        <v>1</v>
      </c>
      <c r="J259" s="1014"/>
      <c r="K259" s="1004">
        <f t="shared" si="48"/>
        <v>1</v>
      </c>
      <c r="L259" s="1014"/>
      <c r="M259" s="1004">
        <f t="shared" si="49"/>
        <v>1</v>
      </c>
      <c r="N259" s="1014"/>
      <c r="O259" s="1004">
        <f t="shared" si="50"/>
        <v>1</v>
      </c>
      <c r="P259" s="1014"/>
      <c r="Q259" s="1004">
        <f t="shared" si="51"/>
        <v>0</v>
      </c>
      <c r="R259" s="1064">
        <f t="shared" si="52"/>
        <v>0</v>
      </c>
      <c r="S259" s="1003">
        <f t="shared" si="53"/>
        <v>0</v>
      </c>
    </row>
    <row r="260" spans="1:19">
      <c r="A260" s="1012"/>
      <c r="B260" s="1013"/>
      <c r="C260" s="1004">
        <f t="shared" si="44"/>
        <v>1</v>
      </c>
      <c r="D260" s="1014"/>
      <c r="E260" s="1004">
        <f t="shared" si="45"/>
        <v>1</v>
      </c>
      <c r="F260" s="1014"/>
      <c r="G260" s="1004">
        <f t="shared" si="46"/>
        <v>1</v>
      </c>
      <c r="H260" s="1014"/>
      <c r="I260" s="1004">
        <f t="shared" si="47"/>
        <v>1</v>
      </c>
      <c r="J260" s="1014"/>
      <c r="K260" s="1004">
        <f t="shared" si="48"/>
        <v>1</v>
      </c>
      <c r="L260" s="1014"/>
      <c r="M260" s="1004">
        <f t="shared" si="49"/>
        <v>1</v>
      </c>
      <c r="N260" s="1014"/>
      <c r="O260" s="1004">
        <f t="shared" si="50"/>
        <v>1</v>
      </c>
      <c r="P260" s="1014"/>
      <c r="Q260" s="1004">
        <f t="shared" si="51"/>
        <v>0</v>
      </c>
      <c r="R260" s="1064">
        <f t="shared" si="52"/>
        <v>0</v>
      </c>
      <c r="S260" s="1003">
        <f t="shared" si="53"/>
        <v>0</v>
      </c>
    </row>
    <row r="261" spans="1:19">
      <c r="A261" s="1012"/>
      <c r="B261" s="1013"/>
      <c r="C261" s="1004">
        <f t="shared" si="44"/>
        <v>1</v>
      </c>
      <c r="D261" s="1014"/>
      <c r="E261" s="1004">
        <f t="shared" si="45"/>
        <v>1</v>
      </c>
      <c r="F261" s="1014"/>
      <c r="G261" s="1004">
        <f t="shared" si="46"/>
        <v>1</v>
      </c>
      <c r="H261" s="1014"/>
      <c r="I261" s="1004">
        <f t="shared" si="47"/>
        <v>1</v>
      </c>
      <c r="J261" s="1014"/>
      <c r="K261" s="1004">
        <f t="shared" si="48"/>
        <v>1</v>
      </c>
      <c r="L261" s="1014"/>
      <c r="M261" s="1004">
        <f t="shared" si="49"/>
        <v>1</v>
      </c>
      <c r="N261" s="1014"/>
      <c r="O261" s="1004">
        <f t="shared" si="50"/>
        <v>1</v>
      </c>
      <c r="P261" s="1014"/>
      <c r="Q261" s="1004">
        <f t="shared" si="51"/>
        <v>0</v>
      </c>
      <c r="R261" s="1064">
        <f t="shared" si="52"/>
        <v>0</v>
      </c>
      <c r="S261" s="1003">
        <f t="shared" si="53"/>
        <v>0</v>
      </c>
    </row>
    <row r="262" spans="1:19">
      <c r="A262" s="1012"/>
      <c r="B262" s="1013"/>
      <c r="C262" s="1004">
        <f t="shared" si="44"/>
        <v>1</v>
      </c>
      <c r="D262" s="1014"/>
      <c r="E262" s="1004">
        <f t="shared" si="45"/>
        <v>1</v>
      </c>
      <c r="F262" s="1014"/>
      <c r="G262" s="1004">
        <f t="shared" si="46"/>
        <v>1</v>
      </c>
      <c r="H262" s="1014"/>
      <c r="I262" s="1004">
        <f t="shared" si="47"/>
        <v>1</v>
      </c>
      <c r="J262" s="1014"/>
      <c r="K262" s="1004">
        <f t="shared" si="48"/>
        <v>1</v>
      </c>
      <c r="L262" s="1014"/>
      <c r="M262" s="1004">
        <f t="shared" si="49"/>
        <v>1</v>
      </c>
      <c r="N262" s="1014"/>
      <c r="O262" s="1004">
        <f t="shared" si="50"/>
        <v>1</v>
      </c>
      <c r="P262" s="1014"/>
      <c r="Q262" s="1004">
        <f t="shared" si="51"/>
        <v>0</v>
      </c>
      <c r="R262" s="1064">
        <f t="shared" si="52"/>
        <v>0</v>
      </c>
      <c r="S262" s="1003">
        <f t="shared" si="53"/>
        <v>0</v>
      </c>
    </row>
    <row r="263" spans="1:19">
      <c r="A263" s="1012"/>
      <c r="B263" s="1013"/>
      <c r="C263" s="1004">
        <f t="shared" si="44"/>
        <v>1</v>
      </c>
      <c r="D263" s="1014"/>
      <c r="E263" s="1004">
        <f t="shared" si="45"/>
        <v>1</v>
      </c>
      <c r="F263" s="1014"/>
      <c r="G263" s="1004">
        <f t="shared" si="46"/>
        <v>1</v>
      </c>
      <c r="H263" s="1014"/>
      <c r="I263" s="1004">
        <f t="shared" si="47"/>
        <v>1</v>
      </c>
      <c r="J263" s="1014"/>
      <c r="K263" s="1004">
        <f t="shared" si="48"/>
        <v>1</v>
      </c>
      <c r="L263" s="1014"/>
      <c r="M263" s="1004">
        <f t="shared" si="49"/>
        <v>1</v>
      </c>
      <c r="N263" s="1014"/>
      <c r="O263" s="1004">
        <f t="shared" si="50"/>
        <v>1</v>
      </c>
      <c r="P263" s="1014"/>
      <c r="Q263" s="1004">
        <f t="shared" si="51"/>
        <v>0</v>
      </c>
      <c r="R263" s="1064">
        <f t="shared" si="52"/>
        <v>0</v>
      </c>
      <c r="S263" s="1003">
        <f t="shared" si="53"/>
        <v>0</v>
      </c>
    </row>
    <row r="264" spans="1:19">
      <c r="A264" s="1012"/>
      <c r="B264" s="1013"/>
      <c r="C264" s="1004">
        <f t="shared" si="44"/>
        <v>1</v>
      </c>
      <c r="D264" s="1014"/>
      <c r="E264" s="1004">
        <f t="shared" si="45"/>
        <v>1</v>
      </c>
      <c r="F264" s="1014"/>
      <c r="G264" s="1004">
        <f t="shared" si="46"/>
        <v>1</v>
      </c>
      <c r="H264" s="1014"/>
      <c r="I264" s="1004">
        <f t="shared" si="47"/>
        <v>1</v>
      </c>
      <c r="J264" s="1014"/>
      <c r="K264" s="1004">
        <f t="shared" si="48"/>
        <v>1</v>
      </c>
      <c r="L264" s="1014"/>
      <c r="M264" s="1004">
        <f t="shared" si="49"/>
        <v>1</v>
      </c>
      <c r="N264" s="1014"/>
      <c r="O264" s="1004">
        <f t="shared" si="50"/>
        <v>1</v>
      </c>
      <c r="P264" s="1014"/>
      <c r="Q264" s="1004">
        <f t="shared" si="51"/>
        <v>0</v>
      </c>
      <c r="R264" s="1064">
        <f t="shared" si="52"/>
        <v>0</v>
      </c>
      <c r="S264" s="1003">
        <f t="shared" si="53"/>
        <v>0</v>
      </c>
    </row>
    <row r="265" spans="1:19">
      <c r="A265" s="1012"/>
      <c r="B265" s="1013"/>
      <c r="C265" s="1004">
        <f t="shared" si="44"/>
        <v>1</v>
      </c>
      <c r="D265" s="1014"/>
      <c r="E265" s="1004">
        <f t="shared" si="45"/>
        <v>1</v>
      </c>
      <c r="F265" s="1014"/>
      <c r="G265" s="1004">
        <f t="shared" si="46"/>
        <v>1</v>
      </c>
      <c r="H265" s="1014"/>
      <c r="I265" s="1004">
        <f t="shared" si="47"/>
        <v>1</v>
      </c>
      <c r="J265" s="1014"/>
      <c r="K265" s="1004">
        <f t="shared" si="48"/>
        <v>1</v>
      </c>
      <c r="L265" s="1014"/>
      <c r="M265" s="1004">
        <f t="shared" si="49"/>
        <v>1</v>
      </c>
      <c r="N265" s="1014"/>
      <c r="O265" s="1004">
        <f t="shared" si="50"/>
        <v>1</v>
      </c>
      <c r="P265" s="1014"/>
      <c r="Q265" s="1004">
        <f t="shared" si="51"/>
        <v>0</v>
      </c>
      <c r="R265" s="1064">
        <f t="shared" si="52"/>
        <v>0</v>
      </c>
      <c r="S265" s="1003">
        <f t="shared" si="53"/>
        <v>0</v>
      </c>
    </row>
    <row r="266" spans="1:19">
      <c r="A266" s="1012"/>
      <c r="B266" s="1013"/>
      <c r="C266" s="1004">
        <f t="shared" si="44"/>
        <v>1</v>
      </c>
      <c r="D266" s="1014"/>
      <c r="E266" s="1004">
        <f t="shared" si="45"/>
        <v>1</v>
      </c>
      <c r="F266" s="1014"/>
      <c r="G266" s="1004">
        <f t="shared" si="46"/>
        <v>1</v>
      </c>
      <c r="H266" s="1014"/>
      <c r="I266" s="1004">
        <f t="shared" si="47"/>
        <v>1</v>
      </c>
      <c r="J266" s="1014"/>
      <c r="K266" s="1004">
        <f t="shared" si="48"/>
        <v>1</v>
      </c>
      <c r="L266" s="1014"/>
      <c r="M266" s="1004">
        <f t="shared" si="49"/>
        <v>1</v>
      </c>
      <c r="N266" s="1014"/>
      <c r="O266" s="1004">
        <f t="shared" si="50"/>
        <v>1</v>
      </c>
      <c r="P266" s="1014"/>
      <c r="Q266" s="1004">
        <f t="shared" si="51"/>
        <v>0</v>
      </c>
      <c r="R266" s="1064">
        <f t="shared" si="52"/>
        <v>0</v>
      </c>
      <c r="S266" s="1003">
        <f t="shared" si="53"/>
        <v>0</v>
      </c>
    </row>
    <row r="267" spans="1:19">
      <c r="A267" s="1012"/>
      <c r="B267" s="1013"/>
      <c r="C267" s="1004">
        <f t="shared" si="44"/>
        <v>1</v>
      </c>
      <c r="D267" s="1014"/>
      <c r="E267" s="1004">
        <f t="shared" si="45"/>
        <v>1</v>
      </c>
      <c r="F267" s="1014"/>
      <c r="G267" s="1004">
        <f t="shared" si="46"/>
        <v>1</v>
      </c>
      <c r="H267" s="1014"/>
      <c r="I267" s="1004">
        <f t="shared" si="47"/>
        <v>1</v>
      </c>
      <c r="J267" s="1014"/>
      <c r="K267" s="1004">
        <f t="shared" si="48"/>
        <v>1</v>
      </c>
      <c r="L267" s="1014"/>
      <c r="M267" s="1004">
        <f t="shared" si="49"/>
        <v>1</v>
      </c>
      <c r="N267" s="1014"/>
      <c r="O267" s="1004">
        <f t="shared" si="50"/>
        <v>1</v>
      </c>
      <c r="P267" s="1014"/>
      <c r="Q267" s="1004">
        <f t="shared" si="51"/>
        <v>0</v>
      </c>
      <c r="R267" s="1064">
        <f t="shared" si="52"/>
        <v>0</v>
      </c>
      <c r="S267" s="1003">
        <f t="shared" si="53"/>
        <v>0</v>
      </c>
    </row>
    <row r="268" spans="1:19">
      <c r="A268" s="1012"/>
      <c r="B268" s="1013"/>
      <c r="C268" s="1004">
        <f t="shared" si="44"/>
        <v>1</v>
      </c>
      <c r="D268" s="1014"/>
      <c r="E268" s="1004">
        <f t="shared" si="45"/>
        <v>1</v>
      </c>
      <c r="F268" s="1014"/>
      <c r="G268" s="1004">
        <f t="shared" si="46"/>
        <v>1</v>
      </c>
      <c r="H268" s="1014"/>
      <c r="I268" s="1004">
        <f t="shared" si="47"/>
        <v>1</v>
      </c>
      <c r="J268" s="1014"/>
      <c r="K268" s="1004">
        <f t="shared" si="48"/>
        <v>1</v>
      </c>
      <c r="L268" s="1014"/>
      <c r="M268" s="1004">
        <f t="shared" si="49"/>
        <v>1</v>
      </c>
      <c r="N268" s="1014"/>
      <c r="O268" s="1004">
        <f t="shared" si="50"/>
        <v>1</v>
      </c>
      <c r="P268" s="1014"/>
      <c r="Q268" s="1004">
        <f t="shared" si="51"/>
        <v>0</v>
      </c>
      <c r="R268" s="1064">
        <f t="shared" si="52"/>
        <v>0</v>
      </c>
      <c r="S268" s="1003">
        <f t="shared" si="53"/>
        <v>0</v>
      </c>
    </row>
    <row r="269" spans="1:19">
      <c r="A269" s="1012"/>
      <c r="B269" s="1013"/>
      <c r="C269" s="1004">
        <f t="shared" si="44"/>
        <v>1</v>
      </c>
      <c r="D269" s="1014"/>
      <c r="E269" s="1004">
        <f t="shared" si="45"/>
        <v>1</v>
      </c>
      <c r="F269" s="1014"/>
      <c r="G269" s="1004">
        <f t="shared" si="46"/>
        <v>1</v>
      </c>
      <c r="H269" s="1014"/>
      <c r="I269" s="1004">
        <f t="shared" si="47"/>
        <v>1</v>
      </c>
      <c r="J269" s="1014"/>
      <c r="K269" s="1004">
        <f t="shared" si="48"/>
        <v>1</v>
      </c>
      <c r="L269" s="1014"/>
      <c r="M269" s="1004">
        <f t="shared" si="49"/>
        <v>1</v>
      </c>
      <c r="N269" s="1014"/>
      <c r="O269" s="1004">
        <f t="shared" si="50"/>
        <v>1</v>
      </c>
      <c r="P269" s="1014"/>
      <c r="Q269" s="1004">
        <f t="shared" si="51"/>
        <v>0</v>
      </c>
      <c r="R269" s="1064">
        <f t="shared" si="52"/>
        <v>0</v>
      </c>
      <c r="S269" s="1003">
        <f t="shared" si="53"/>
        <v>0</v>
      </c>
    </row>
    <row r="270" spans="1:19">
      <c r="A270" s="1012"/>
      <c r="B270" s="1013"/>
      <c r="C270" s="1004">
        <f t="shared" si="44"/>
        <v>1</v>
      </c>
      <c r="D270" s="1014"/>
      <c r="E270" s="1004">
        <f t="shared" si="45"/>
        <v>1</v>
      </c>
      <c r="F270" s="1014"/>
      <c r="G270" s="1004">
        <f t="shared" si="46"/>
        <v>1</v>
      </c>
      <c r="H270" s="1014"/>
      <c r="I270" s="1004">
        <f t="shared" si="47"/>
        <v>1</v>
      </c>
      <c r="J270" s="1014"/>
      <c r="K270" s="1004">
        <f t="shared" si="48"/>
        <v>1</v>
      </c>
      <c r="L270" s="1014"/>
      <c r="M270" s="1004">
        <f t="shared" si="49"/>
        <v>1</v>
      </c>
      <c r="N270" s="1014"/>
      <c r="O270" s="1004">
        <f t="shared" si="50"/>
        <v>1</v>
      </c>
      <c r="P270" s="1014"/>
      <c r="Q270" s="1004">
        <f t="shared" si="51"/>
        <v>0</v>
      </c>
      <c r="R270" s="1064">
        <f t="shared" si="52"/>
        <v>0</v>
      </c>
      <c r="S270" s="1003">
        <f t="shared" si="53"/>
        <v>0</v>
      </c>
    </row>
    <row r="271" spans="1:19">
      <c r="A271" s="1012"/>
      <c r="B271" s="1013"/>
      <c r="C271" s="1004">
        <f t="shared" si="44"/>
        <v>1</v>
      </c>
      <c r="D271" s="1014"/>
      <c r="E271" s="1004">
        <f t="shared" si="45"/>
        <v>1</v>
      </c>
      <c r="F271" s="1014"/>
      <c r="G271" s="1004">
        <f t="shared" si="46"/>
        <v>1</v>
      </c>
      <c r="H271" s="1014"/>
      <c r="I271" s="1004">
        <f t="shared" si="47"/>
        <v>1</v>
      </c>
      <c r="J271" s="1014"/>
      <c r="K271" s="1004">
        <f t="shared" si="48"/>
        <v>1</v>
      </c>
      <c r="L271" s="1014"/>
      <c r="M271" s="1004">
        <f t="shared" si="49"/>
        <v>1</v>
      </c>
      <c r="N271" s="1014"/>
      <c r="O271" s="1004">
        <f t="shared" si="50"/>
        <v>1</v>
      </c>
      <c r="P271" s="1014"/>
      <c r="Q271" s="1004">
        <f t="shared" si="51"/>
        <v>0</v>
      </c>
      <c r="R271" s="1064">
        <f t="shared" si="52"/>
        <v>0</v>
      </c>
      <c r="S271" s="1003">
        <f t="shared" si="53"/>
        <v>0</v>
      </c>
    </row>
    <row r="272" spans="1:19">
      <c r="A272" s="1012"/>
      <c r="B272" s="1013"/>
      <c r="C272" s="1004">
        <f t="shared" si="44"/>
        <v>1</v>
      </c>
      <c r="D272" s="1014"/>
      <c r="E272" s="1004">
        <f t="shared" si="45"/>
        <v>1</v>
      </c>
      <c r="F272" s="1014"/>
      <c r="G272" s="1004">
        <f t="shared" si="46"/>
        <v>1</v>
      </c>
      <c r="H272" s="1014"/>
      <c r="I272" s="1004">
        <f t="shared" si="47"/>
        <v>1</v>
      </c>
      <c r="J272" s="1014"/>
      <c r="K272" s="1004">
        <f t="shared" si="48"/>
        <v>1</v>
      </c>
      <c r="L272" s="1014"/>
      <c r="M272" s="1004">
        <f t="shared" si="49"/>
        <v>1</v>
      </c>
      <c r="N272" s="1014"/>
      <c r="O272" s="1004">
        <f t="shared" si="50"/>
        <v>1</v>
      </c>
      <c r="P272" s="1014"/>
      <c r="Q272" s="1004">
        <f t="shared" si="51"/>
        <v>0</v>
      </c>
      <c r="R272" s="1064">
        <f t="shared" si="52"/>
        <v>0</v>
      </c>
      <c r="S272" s="1003">
        <f t="shared" si="53"/>
        <v>0</v>
      </c>
    </row>
    <row r="273" spans="1:19">
      <c r="A273" s="1012"/>
      <c r="B273" s="1013"/>
      <c r="C273" s="1004">
        <f t="shared" si="44"/>
        <v>1</v>
      </c>
      <c r="D273" s="1014"/>
      <c r="E273" s="1004">
        <f t="shared" si="45"/>
        <v>1</v>
      </c>
      <c r="F273" s="1014"/>
      <c r="G273" s="1004">
        <f t="shared" si="46"/>
        <v>1</v>
      </c>
      <c r="H273" s="1014"/>
      <c r="I273" s="1004">
        <f t="shared" si="47"/>
        <v>1</v>
      </c>
      <c r="J273" s="1014"/>
      <c r="K273" s="1004">
        <f t="shared" si="48"/>
        <v>1</v>
      </c>
      <c r="L273" s="1014"/>
      <c r="M273" s="1004">
        <f t="shared" si="49"/>
        <v>1</v>
      </c>
      <c r="N273" s="1014"/>
      <c r="O273" s="1004">
        <f t="shared" si="50"/>
        <v>1</v>
      </c>
      <c r="P273" s="1014"/>
      <c r="Q273" s="1004">
        <f t="shared" si="51"/>
        <v>0</v>
      </c>
      <c r="R273" s="1064">
        <f t="shared" si="52"/>
        <v>0</v>
      </c>
      <c r="S273" s="1003">
        <f t="shared" si="53"/>
        <v>0</v>
      </c>
    </row>
    <row r="274" spans="1:19">
      <c r="A274" s="1012"/>
      <c r="B274" s="1013"/>
      <c r="C274" s="1004">
        <f t="shared" si="44"/>
        <v>1</v>
      </c>
      <c r="D274" s="1014"/>
      <c r="E274" s="1004">
        <f t="shared" si="45"/>
        <v>1</v>
      </c>
      <c r="F274" s="1014"/>
      <c r="G274" s="1004">
        <f t="shared" si="46"/>
        <v>1</v>
      </c>
      <c r="H274" s="1014"/>
      <c r="I274" s="1004">
        <f t="shared" si="47"/>
        <v>1</v>
      </c>
      <c r="J274" s="1014"/>
      <c r="K274" s="1004">
        <f t="shared" si="48"/>
        <v>1</v>
      </c>
      <c r="L274" s="1014"/>
      <c r="M274" s="1004">
        <f t="shared" si="49"/>
        <v>1</v>
      </c>
      <c r="N274" s="1014"/>
      <c r="O274" s="1004">
        <f t="shared" si="50"/>
        <v>1</v>
      </c>
      <c r="P274" s="1014"/>
      <c r="Q274" s="1004">
        <f t="shared" si="51"/>
        <v>0</v>
      </c>
      <c r="R274" s="1064">
        <f t="shared" si="52"/>
        <v>0</v>
      </c>
      <c r="S274" s="1003">
        <f t="shared" si="53"/>
        <v>0</v>
      </c>
    </row>
    <row r="275" spans="1:19">
      <c r="A275" s="1012"/>
      <c r="B275" s="1013"/>
      <c r="C275" s="1004">
        <f t="shared" si="44"/>
        <v>1</v>
      </c>
      <c r="D275" s="1014"/>
      <c r="E275" s="1004">
        <f t="shared" si="45"/>
        <v>1</v>
      </c>
      <c r="F275" s="1014"/>
      <c r="G275" s="1004">
        <f t="shared" si="46"/>
        <v>1</v>
      </c>
      <c r="H275" s="1014"/>
      <c r="I275" s="1004">
        <f t="shared" si="47"/>
        <v>1</v>
      </c>
      <c r="J275" s="1014"/>
      <c r="K275" s="1004">
        <f t="shared" si="48"/>
        <v>1</v>
      </c>
      <c r="L275" s="1014"/>
      <c r="M275" s="1004">
        <f t="shared" si="49"/>
        <v>1</v>
      </c>
      <c r="N275" s="1014"/>
      <c r="O275" s="1004">
        <f t="shared" si="50"/>
        <v>1</v>
      </c>
      <c r="P275" s="1014"/>
      <c r="Q275" s="1004">
        <f t="shared" si="51"/>
        <v>0</v>
      </c>
      <c r="R275" s="1064">
        <f t="shared" si="52"/>
        <v>0</v>
      </c>
      <c r="S275" s="1003">
        <f t="shared" si="53"/>
        <v>0</v>
      </c>
    </row>
    <row r="276" spans="1:19">
      <c r="A276" s="1012"/>
      <c r="B276" s="1013"/>
      <c r="C276" s="1004">
        <f t="shared" si="44"/>
        <v>1</v>
      </c>
      <c r="D276" s="1014"/>
      <c r="E276" s="1004">
        <f t="shared" si="45"/>
        <v>1</v>
      </c>
      <c r="F276" s="1014"/>
      <c r="G276" s="1004">
        <f t="shared" si="46"/>
        <v>1</v>
      </c>
      <c r="H276" s="1014"/>
      <c r="I276" s="1004">
        <f t="shared" si="47"/>
        <v>1</v>
      </c>
      <c r="J276" s="1014"/>
      <c r="K276" s="1004">
        <f t="shared" si="48"/>
        <v>1</v>
      </c>
      <c r="L276" s="1014"/>
      <c r="M276" s="1004">
        <f t="shared" si="49"/>
        <v>1</v>
      </c>
      <c r="N276" s="1014"/>
      <c r="O276" s="1004">
        <f t="shared" si="50"/>
        <v>1</v>
      </c>
      <c r="P276" s="1014"/>
      <c r="Q276" s="1004">
        <f t="shared" si="51"/>
        <v>0</v>
      </c>
      <c r="R276" s="1064">
        <f t="shared" si="52"/>
        <v>0</v>
      </c>
      <c r="S276" s="1003">
        <f t="shared" si="53"/>
        <v>0</v>
      </c>
    </row>
    <row r="277" spans="1:19">
      <c r="A277" s="1012"/>
      <c r="B277" s="1013"/>
      <c r="C277" s="1004">
        <f t="shared" si="44"/>
        <v>1</v>
      </c>
      <c r="D277" s="1014"/>
      <c r="E277" s="1004">
        <f t="shared" si="45"/>
        <v>1</v>
      </c>
      <c r="F277" s="1014"/>
      <c r="G277" s="1004">
        <f t="shared" si="46"/>
        <v>1</v>
      </c>
      <c r="H277" s="1014"/>
      <c r="I277" s="1004">
        <f t="shared" si="47"/>
        <v>1</v>
      </c>
      <c r="J277" s="1014"/>
      <c r="K277" s="1004">
        <f t="shared" si="48"/>
        <v>1</v>
      </c>
      <c r="L277" s="1014"/>
      <c r="M277" s="1004">
        <f t="shared" si="49"/>
        <v>1</v>
      </c>
      <c r="N277" s="1014"/>
      <c r="O277" s="1004">
        <f t="shared" si="50"/>
        <v>1</v>
      </c>
      <c r="P277" s="1014"/>
      <c r="Q277" s="1004">
        <f t="shared" si="51"/>
        <v>0</v>
      </c>
      <c r="R277" s="1064">
        <f t="shared" si="52"/>
        <v>0</v>
      </c>
      <c r="S277" s="1003">
        <f t="shared" si="53"/>
        <v>0</v>
      </c>
    </row>
    <row r="278" spans="1:19">
      <c r="A278" s="1012"/>
      <c r="B278" s="1013"/>
      <c r="C278" s="1004">
        <f t="shared" si="44"/>
        <v>1</v>
      </c>
      <c r="D278" s="1014"/>
      <c r="E278" s="1004">
        <f t="shared" si="45"/>
        <v>1</v>
      </c>
      <c r="F278" s="1014"/>
      <c r="G278" s="1004">
        <f t="shared" si="46"/>
        <v>1</v>
      </c>
      <c r="H278" s="1014"/>
      <c r="I278" s="1004">
        <f t="shared" si="47"/>
        <v>1</v>
      </c>
      <c r="J278" s="1014"/>
      <c r="K278" s="1004">
        <f t="shared" si="48"/>
        <v>1</v>
      </c>
      <c r="L278" s="1014"/>
      <c r="M278" s="1004">
        <f t="shared" si="49"/>
        <v>1</v>
      </c>
      <c r="N278" s="1014"/>
      <c r="O278" s="1004">
        <f t="shared" si="50"/>
        <v>1</v>
      </c>
      <c r="P278" s="1014"/>
      <c r="Q278" s="1004">
        <f t="shared" si="51"/>
        <v>0</v>
      </c>
      <c r="R278" s="1064">
        <f t="shared" si="52"/>
        <v>0</v>
      </c>
      <c r="S278" s="1003">
        <f t="shared" si="53"/>
        <v>0</v>
      </c>
    </row>
    <row r="279" spans="1:19">
      <c r="A279" s="1012"/>
      <c r="B279" s="1013"/>
      <c r="C279" s="1004">
        <f t="shared" si="44"/>
        <v>1</v>
      </c>
      <c r="D279" s="1014"/>
      <c r="E279" s="1004">
        <f t="shared" si="45"/>
        <v>1</v>
      </c>
      <c r="F279" s="1014"/>
      <c r="G279" s="1004">
        <f t="shared" si="46"/>
        <v>1</v>
      </c>
      <c r="H279" s="1014"/>
      <c r="I279" s="1004">
        <f t="shared" si="47"/>
        <v>1</v>
      </c>
      <c r="J279" s="1014"/>
      <c r="K279" s="1004">
        <f t="shared" si="48"/>
        <v>1</v>
      </c>
      <c r="L279" s="1014"/>
      <c r="M279" s="1004">
        <f t="shared" si="49"/>
        <v>1</v>
      </c>
      <c r="N279" s="1014"/>
      <c r="O279" s="1004">
        <f t="shared" si="50"/>
        <v>1</v>
      </c>
      <c r="P279" s="1014"/>
      <c r="Q279" s="1004">
        <f t="shared" si="51"/>
        <v>0</v>
      </c>
      <c r="R279" s="1064">
        <f t="shared" si="52"/>
        <v>0</v>
      </c>
      <c r="S279" s="1003">
        <f t="shared" si="53"/>
        <v>0</v>
      </c>
    </row>
    <row r="280" spans="1:19">
      <c r="A280" s="1012"/>
      <c r="B280" s="1013"/>
      <c r="C280" s="1004">
        <f t="shared" si="44"/>
        <v>1</v>
      </c>
      <c r="D280" s="1014"/>
      <c r="E280" s="1004">
        <f t="shared" si="45"/>
        <v>1</v>
      </c>
      <c r="F280" s="1014"/>
      <c r="G280" s="1004">
        <f t="shared" si="46"/>
        <v>1</v>
      </c>
      <c r="H280" s="1014"/>
      <c r="I280" s="1004">
        <f t="shared" si="47"/>
        <v>1</v>
      </c>
      <c r="J280" s="1014"/>
      <c r="K280" s="1004">
        <f t="shared" si="48"/>
        <v>1</v>
      </c>
      <c r="L280" s="1014"/>
      <c r="M280" s="1004">
        <f t="shared" si="49"/>
        <v>1</v>
      </c>
      <c r="N280" s="1014"/>
      <c r="O280" s="1004">
        <f t="shared" si="50"/>
        <v>1</v>
      </c>
      <c r="P280" s="1014"/>
      <c r="Q280" s="1004">
        <f t="shared" si="51"/>
        <v>0</v>
      </c>
      <c r="R280" s="1064">
        <f t="shared" si="52"/>
        <v>0</v>
      </c>
      <c r="S280" s="1003">
        <f t="shared" si="53"/>
        <v>0</v>
      </c>
    </row>
    <row r="281" spans="1:19">
      <c r="A281" s="1012"/>
      <c r="B281" s="1013"/>
      <c r="C281" s="1004">
        <f t="shared" si="44"/>
        <v>1</v>
      </c>
      <c r="D281" s="1014"/>
      <c r="E281" s="1004">
        <f t="shared" si="45"/>
        <v>1</v>
      </c>
      <c r="F281" s="1014"/>
      <c r="G281" s="1004">
        <f t="shared" si="46"/>
        <v>1</v>
      </c>
      <c r="H281" s="1014"/>
      <c r="I281" s="1004">
        <f t="shared" si="47"/>
        <v>1</v>
      </c>
      <c r="J281" s="1014"/>
      <c r="K281" s="1004">
        <f t="shared" si="48"/>
        <v>1</v>
      </c>
      <c r="L281" s="1014"/>
      <c r="M281" s="1004">
        <f t="shared" si="49"/>
        <v>1</v>
      </c>
      <c r="N281" s="1014"/>
      <c r="O281" s="1004">
        <f t="shared" si="50"/>
        <v>1</v>
      </c>
      <c r="P281" s="1014"/>
      <c r="Q281" s="1004">
        <f t="shared" si="51"/>
        <v>0</v>
      </c>
      <c r="R281" s="1064">
        <f t="shared" si="52"/>
        <v>0</v>
      </c>
      <c r="S281" s="1003">
        <f t="shared" si="53"/>
        <v>0</v>
      </c>
    </row>
    <row r="282" spans="1:19">
      <c r="A282" s="1012"/>
      <c r="B282" s="1013"/>
      <c r="C282" s="1004">
        <f t="shared" ref="C282:C345" si="54">IF(B282="",1,(LOOKUP(B282,$3:$3,$4:$4)-LOOKUP($B$24,$3:$3,$4:$4)+100)/100)</f>
        <v>1</v>
      </c>
      <c r="D282" s="1014"/>
      <c r="E282" s="1004">
        <f t="shared" ref="E282:E345" si="55">(SUMIF($5:$5,D282,$6:$6)-SUMIF($5:$5,$D$24,$6:$6)+100)/100</f>
        <v>1</v>
      </c>
      <c r="F282" s="1014"/>
      <c r="G282" s="1004">
        <f t="shared" ref="G282:G345" si="56">(SUMIF($7:$7,F282,$8:$8)-SUMIF($7:$7,$F$24,$8:$8)+100)/100</f>
        <v>1</v>
      </c>
      <c r="H282" s="1014"/>
      <c r="I282" s="1004">
        <f t="shared" ref="I282:I345" si="57">(SUMIF($9:$9,H282,$10:$10)-SUMIF($9:$9,$H$24,$10:$10)+100)/100</f>
        <v>1</v>
      </c>
      <c r="J282" s="1014"/>
      <c r="K282" s="1004">
        <f t="shared" ref="K282:K345" si="58">(SUMIF($11:$11,J282,$12:$12)-SUMIF($11:$11,$J$24,$12:$12)+100)/100</f>
        <v>1</v>
      </c>
      <c r="L282" s="1014"/>
      <c r="M282" s="1004">
        <f t="shared" ref="M282:M345" si="59">(SUMIF($13:$13,L282,$14:$14)-SUMIF($13:$13,$L$24,$14:$14)+100)/100</f>
        <v>1</v>
      </c>
      <c r="N282" s="1014"/>
      <c r="O282" s="1004">
        <f t="shared" ref="O282:O345" si="60">(SUMIF($15:$15,N282,$16:$16)-SUMIF($15:$15,$N$24,$16:$16)+100)/100</f>
        <v>1</v>
      </c>
      <c r="P282" s="1014"/>
      <c r="Q282" s="1004">
        <f t="shared" ref="Q282:Q345" si="61">(SUMIF($17:$17,P282,$18:$18)-SUMIF($17:$17,$P$24,$18:$18)+100)/100</f>
        <v>0</v>
      </c>
      <c r="R282" s="1064">
        <f t="shared" ref="R282:R345" si="62">IF(B282="",0,ROUND($R$24*C282*E282*G282*I282*K282*M282*O282*Q282,0))</f>
        <v>0</v>
      </c>
      <c r="S282" s="1003">
        <f t="shared" si="53"/>
        <v>0</v>
      </c>
    </row>
    <row r="283" spans="1:19">
      <c r="A283" s="1012"/>
      <c r="B283" s="1013"/>
      <c r="C283" s="1004">
        <f t="shared" si="54"/>
        <v>1</v>
      </c>
      <c r="D283" s="1014"/>
      <c r="E283" s="1004">
        <f t="shared" si="55"/>
        <v>1</v>
      </c>
      <c r="F283" s="1014"/>
      <c r="G283" s="1004">
        <f t="shared" si="56"/>
        <v>1</v>
      </c>
      <c r="H283" s="1014"/>
      <c r="I283" s="1004">
        <f t="shared" si="57"/>
        <v>1</v>
      </c>
      <c r="J283" s="1014"/>
      <c r="K283" s="1004">
        <f t="shared" si="58"/>
        <v>1</v>
      </c>
      <c r="L283" s="1014"/>
      <c r="M283" s="1004">
        <f t="shared" si="59"/>
        <v>1</v>
      </c>
      <c r="N283" s="1014"/>
      <c r="O283" s="1004">
        <f t="shared" si="60"/>
        <v>1</v>
      </c>
      <c r="P283" s="1014"/>
      <c r="Q283" s="1004">
        <f t="shared" si="61"/>
        <v>0</v>
      </c>
      <c r="R283" s="1064">
        <f t="shared" si="62"/>
        <v>0</v>
      </c>
      <c r="S283" s="1003">
        <f t="shared" si="53"/>
        <v>0</v>
      </c>
    </row>
    <row r="284" spans="1:19">
      <c r="A284" s="1012"/>
      <c r="B284" s="1013"/>
      <c r="C284" s="1004">
        <f t="shared" si="54"/>
        <v>1</v>
      </c>
      <c r="D284" s="1014"/>
      <c r="E284" s="1004">
        <f t="shared" si="55"/>
        <v>1</v>
      </c>
      <c r="F284" s="1014"/>
      <c r="G284" s="1004">
        <f t="shared" si="56"/>
        <v>1</v>
      </c>
      <c r="H284" s="1014"/>
      <c r="I284" s="1004">
        <f t="shared" si="57"/>
        <v>1</v>
      </c>
      <c r="J284" s="1014"/>
      <c r="K284" s="1004">
        <f t="shared" si="58"/>
        <v>1</v>
      </c>
      <c r="L284" s="1014"/>
      <c r="M284" s="1004">
        <f t="shared" si="59"/>
        <v>1</v>
      </c>
      <c r="N284" s="1014"/>
      <c r="O284" s="1004">
        <f t="shared" si="60"/>
        <v>1</v>
      </c>
      <c r="P284" s="1014"/>
      <c r="Q284" s="1004">
        <f t="shared" si="61"/>
        <v>0</v>
      </c>
      <c r="R284" s="1064">
        <f t="shared" si="62"/>
        <v>0</v>
      </c>
      <c r="S284" s="1003">
        <f t="shared" si="53"/>
        <v>0</v>
      </c>
    </row>
    <row r="285" spans="1:19">
      <c r="A285" s="1012"/>
      <c r="B285" s="1013"/>
      <c r="C285" s="1004">
        <f t="shared" si="54"/>
        <v>1</v>
      </c>
      <c r="D285" s="1014"/>
      <c r="E285" s="1004">
        <f t="shared" si="55"/>
        <v>1</v>
      </c>
      <c r="F285" s="1014"/>
      <c r="G285" s="1004">
        <f t="shared" si="56"/>
        <v>1</v>
      </c>
      <c r="H285" s="1014"/>
      <c r="I285" s="1004">
        <f t="shared" si="57"/>
        <v>1</v>
      </c>
      <c r="J285" s="1014"/>
      <c r="K285" s="1004">
        <f t="shared" si="58"/>
        <v>1</v>
      </c>
      <c r="L285" s="1014"/>
      <c r="M285" s="1004">
        <f t="shared" si="59"/>
        <v>1</v>
      </c>
      <c r="N285" s="1014"/>
      <c r="O285" s="1004">
        <f t="shared" si="60"/>
        <v>1</v>
      </c>
      <c r="P285" s="1014"/>
      <c r="Q285" s="1004">
        <f t="shared" si="61"/>
        <v>0</v>
      </c>
      <c r="R285" s="1064">
        <f t="shared" si="62"/>
        <v>0</v>
      </c>
      <c r="S285" s="1003">
        <f t="shared" si="53"/>
        <v>0</v>
      </c>
    </row>
    <row r="286" spans="1:19">
      <c r="A286" s="1012"/>
      <c r="B286" s="1013"/>
      <c r="C286" s="1004">
        <f t="shared" si="54"/>
        <v>1</v>
      </c>
      <c r="D286" s="1014"/>
      <c r="E286" s="1004">
        <f t="shared" si="55"/>
        <v>1</v>
      </c>
      <c r="F286" s="1014"/>
      <c r="G286" s="1004">
        <f t="shared" si="56"/>
        <v>1</v>
      </c>
      <c r="H286" s="1014"/>
      <c r="I286" s="1004">
        <f t="shared" si="57"/>
        <v>1</v>
      </c>
      <c r="J286" s="1014"/>
      <c r="K286" s="1004">
        <f t="shared" si="58"/>
        <v>1</v>
      </c>
      <c r="L286" s="1014"/>
      <c r="M286" s="1004">
        <f t="shared" si="59"/>
        <v>1</v>
      </c>
      <c r="N286" s="1014"/>
      <c r="O286" s="1004">
        <f t="shared" si="60"/>
        <v>1</v>
      </c>
      <c r="P286" s="1014"/>
      <c r="Q286" s="1004">
        <f t="shared" si="61"/>
        <v>0</v>
      </c>
      <c r="R286" s="1064">
        <f t="shared" si="62"/>
        <v>0</v>
      </c>
      <c r="S286" s="1003">
        <f t="shared" si="53"/>
        <v>0</v>
      </c>
    </row>
    <row r="287" spans="1:19">
      <c r="A287" s="1012"/>
      <c r="B287" s="1013"/>
      <c r="C287" s="1004">
        <f t="shared" si="54"/>
        <v>1</v>
      </c>
      <c r="D287" s="1014"/>
      <c r="E287" s="1004">
        <f t="shared" si="55"/>
        <v>1</v>
      </c>
      <c r="F287" s="1014"/>
      <c r="G287" s="1004">
        <f t="shared" si="56"/>
        <v>1</v>
      </c>
      <c r="H287" s="1014"/>
      <c r="I287" s="1004">
        <f t="shared" si="57"/>
        <v>1</v>
      </c>
      <c r="J287" s="1014"/>
      <c r="K287" s="1004">
        <f t="shared" si="58"/>
        <v>1</v>
      </c>
      <c r="L287" s="1014"/>
      <c r="M287" s="1004">
        <f t="shared" si="59"/>
        <v>1</v>
      </c>
      <c r="N287" s="1014"/>
      <c r="O287" s="1004">
        <f t="shared" si="60"/>
        <v>1</v>
      </c>
      <c r="P287" s="1014"/>
      <c r="Q287" s="1004">
        <f t="shared" si="61"/>
        <v>0</v>
      </c>
      <c r="R287" s="1064">
        <f t="shared" si="62"/>
        <v>0</v>
      </c>
      <c r="S287" s="1003">
        <f t="shared" ref="S287:S320" si="63">ROUND(R287*B287/10000,0)</f>
        <v>0</v>
      </c>
    </row>
    <row r="288" spans="1:19">
      <c r="A288" s="1012"/>
      <c r="B288" s="1013"/>
      <c r="C288" s="1004">
        <f t="shared" si="54"/>
        <v>1</v>
      </c>
      <c r="D288" s="1014"/>
      <c r="E288" s="1004">
        <f t="shared" si="55"/>
        <v>1</v>
      </c>
      <c r="F288" s="1014"/>
      <c r="G288" s="1004">
        <f t="shared" si="56"/>
        <v>1</v>
      </c>
      <c r="H288" s="1014"/>
      <c r="I288" s="1004">
        <f t="shared" si="57"/>
        <v>1</v>
      </c>
      <c r="J288" s="1014"/>
      <c r="K288" s="1004">
        <f t="shared" si="58"/>
        <v>1</v>
      </c>
      <c r="L288" s="1014"/>
      <c r="M288" s="1004">
        <f t="shared" si="59"/>
        <v>1</v>
      </c>
      <c r="N288" s="1014"/>
      <c r="O288" s="1004">
        <f t="shared" si="60"/>
        <v>1</v>
      </c>
      <c r="P288" s="1014"/>
      <c r="Q288" s="1004">
        <f t="shared" si="61"/>
        <v>0</v>
      </c>
      <c r="R288" s="1064">
        <f t="shared" si="62"/>
        <v>0</v>
      </c>
      <c r="S288" s="1003">
        <f t="shared" si="63"/>
        <v>0</v>
      </c>
    </row>
    <row r="289" spans="1:19">
      <c r="A289" s="1012"/>
      <c r="B289" s="1013"/>
      <c r="C289" s="1004">
        <f t="shared" si="54"/>
        <v>1</v>
      </c>
      <c r="D289" s="1014"/>
      <c r="E289" s="1004">
        <f t="shared" si="55"/>
        <v>1</v>
      </c>
      <c r="F289" s="1014"/>
      <c r="G289" s="1004">
        <f t="shared" si="56"/>
        <v>1</v>
      </c>
      <c r="H289" s="1014"/>
      <c r="I289" s="1004">
        <f t="shared" si="57"/>
        <v>1</v>
      </c>
      <c r="J289" s="1014"/>
      <c r="K289" s="1004">
        <f t="shared" si="58"/>
        <v>1</v>
      </c>
      <c r="L289" s="1014"/>
      <c r="M289" s="1004">
        <f t="shared" si="59"/>
        <v>1</v>
      </c>
      <c r="N289" s="1014"/>
      <c r="O289" s="1004">
        <f t="shared" si="60"/>
        <v>1</v>
      </c>
      <c r="P289" s="1014"/>
      <c r="Q289" s="1004">
        <f t="shared" si="61"/>
        <v>0</v>
      </c>
      <c r="R289" s="1064">
        <f t="shared" si="62"/>
        <v>0</v>
      </c>
      <c r="S289" s="1003">
        <f t="shared" si="63"/>
        <v>0</v>
      </c>
    </row>
    <row r="290" spans="1:19">
      <c r="A290" s="1012"/>
      <c r="B290" s="1013"/>
      <c r="C290" s="1004">
        <f t="shared" si="54"/>
        <v>1</v>
      </c>
      <c r="D290" s="1014"/>
      <c r="E290" s="1004">
        <f t="shared" si="55"/>
        <v>1</v>
      </c>
      <c r="F290" s="1014"/>
      <c r="G290" s="1004">
        <f t="shared" si="56"/>
        <v>1</v>
      </c>
      <c r="H290" s="1014"/>
      <c r="I290" s="1004">
        <f t="shared" si="57"/>
        <v>1</v>
      </c>
      <c r="J290" s="1014"/>
      <c r="K290" s="1004">
        <f t="shared" si="58"/>
        <v>1</v>
      </c>
      <c r="L290" s="1014"/>
      <c r="M290" s="1004">
        <f t="shared" si="59"/>
        <v>1</v>
      </c>
      <c r="N290" s="1014"/>
      <c r="O290" s="1004">
        <f t="shared" si="60"/>
        <v>1</v>
      </c>
      <c r="P290" s="1014"/>
      <c r="Q290" s="1004">
        <f t="shared" si="61"/>
        <v>0</v>
      </c>
      <c r="R290" s="1064">
        <f t="shared" si="62"/>
        <v>0</v>
      </c>
      <c r="S290" s="1003">
        <f t="shared" si="63"/>
        <v>0</v>
      </c>
    </row>
    <row r="291" spans="1:19">
      <c r="A291" s="1012"/>
      <c r="B291" s="1013"/>
      <c r="C291" s="1004">
        <f t="shared" si="54"/>
        <v>1</v>
      </c>
      <c r="D291" s="1014"/>
      <c r="E291" s="1004">
        <f t="shared" si="55"/>
        <v>1</v>
      </c>
      <c r="F291" s="1014"/>
      <c r="G291" s="1004">
        <f t="shared" si="56"/>
        <v>1</v>
      </c>
      <c r="H291" s="1014"/>
      <c r="I291" s="1004">
        <f t="shared" si="57"/>
        <v>1</v>
      </c>
      <c r="J291" s="1014"/>
      <c r="K291" s="1004">
        <f t="shared" si="58"/>
        <v>1</v>
      </c>
      <c r="L291" s="1014"/>
      <c r="M291" s="1004">
        <f t="shared" si="59"/>
        <v>1</v>
      </c>
      <c r="N291" s="1014"/>
      <c r="O291" s="1004">
        <f t="shared" si="60"/>
        <v>1</v>
      </c>
      <c r="P291" s="1014"/>
      <c r="Q291" s="1004">
        <f t="shared" si="61"/>
        <v>0</v>
      </c>
      <c r="R291" s="1064">
        <f t="shared" si="62"/>
        <v>0</v>
      </c>
      <c r="S291" s="1003">
        <f t="shared" si="63"/>
        <v>0</v>
      </c>
    </row>
    <row r="292" spans="1:19">
      <c r="A292" s="1012"/>
      <c r="B292" s="1013"/>
      <c r="C292" s="1004">
        <f t="shared" si="54"/>
        <v>1</v>
      </c>
      <c r="D292" s="1014"/>
      <c r="E292" s="1004">
        <f t="shared" si="55"/>
        <v>1</v>
      </c>
      <c r="F292" s="1014"/>
      <c r="G292" s="1004">
        <f t="shared" si="56"/>
        <v>1</v>
      </c>
      <c r="H292" s="1014"/>
      <c r="I292" s="1004">
        <f t="shared" si="57"/>
        <v>1</v>
      </c>
      <c r="J292" s="1014"/>
      <c r="K292" s="1004">
        <f t="shared" si="58"/>
        <v>1</v>
      </c>
      <c r="L292" s="1014"/>
      <c r="M292" s="1004">
        <f t="shared" si="59"/>
        <v>1</v>
      </c>
      <c r="N292" s="1014"/>
      <c r="O292" s="1004">
        <f t="shared" si="60"/>
        <v>1</v>
      </c>
      <c r="P292" s="1014"/>
      <c r="Q292" s="1004">
        <f t="shared" si="61"/>
        <v>0</v>
      </c>
      <c r="R292" s="1064">
        <f t="shared" si="62"/>
        <v>0</v>
      </c>
      <c r="S292" s="1003">
        <f t="shared" si="63"/>
        <v>0</v>
      </c>
    </row>
    <row r="293" spans="1:19">
      <c r="A293" s="1012"/>
      <c r="B293" s="1013"/>
      <c r="C293" s="1004">
        <f t="shared" si="54"/>
        <v>1</v>
      </c>
      <c r="D293" s="1014"/>
      <c r="E293" s="1004">
        <f t="shared" si="55"/>
        <v>1</v>
      </c>
      <c r="F293" s="1014"/>
      <c r="G293" s="1004">
        <f t="shared" si="56"/>
        <v>1</v>
      </c>
      <c r="H293" s="1014"/>
      <c r="I293" s="1004">
        <f t="shared" si="57"/>
        <v>1</v>
      </c>
      <c r="J293" s="1014"/>
      <c r="K293" s="1004">
        <f t="shared" si="58"/>
        <v>1</v>
      </c>
      <c r="L293" s="1014"/>
      <c r="M293" s="1004">
        <f t="shared" si="59"/>
        <v>1</v>
      </c>
      <c r="N293" s="1014"/>
      <c r="O293" s="1004">
        <f t="shared" si="60"/>
        <v>1</v>
      </c>
      <c r="P293" s="1014"/>
      <c r="Q293" s="1004">
        <f t="shared" si="61"/>
        <v>0</v>
      </c>
      <c r="R293" s="1064">
        <f t="shared" si="62"/>
        <v>0</v>
      </c>
      <c r="S293" s="1003">
        <f t="shared" si="63"/>
        <v>0</v>
      </c>
    </row>
    <row r="294" spans="1:19">
      <c r="A294" s="1012"/>
      <c r="B294" s="1013"/>
      <c r="C294" s="1004">
        <f t="shared" si="54"/>
        <v>1</v>
      </c>
      <c r="D294" s="1014"/>
      <c r="E294" s="1004">
        <f t="shared" si="55"/>
        <v>1</v>
      </c>
      <c r="F294" s="1014"/>
      <c r="G294" s="1004">
        <f t="shared" si="56"/>
        <v>1</v>
      </c>
      <c r="H294" s="1014"/>
      <c r="I294" s="1004">
        <f t="shared" si="57"/>
        <v>1</v>
      </c>
      <c r="J294" s="1014"/>
      <c r="K294" s="1004">
        <f t="shared" si="58"/>
        <v>1</v>
      </c>
      <c r="L294" s="1014"/>
      <c r="M294" s="1004">
        <f t="shared" si="59"/>
        <v>1</v>
      </c>
      <c r="N294" s="1014"/>
      <c r="O294" s="1004">
        <f t="shared" si="60"/>
        <v>1</v>
      </c>
      <c r="P294" s="1014"/>
      <c r="Q294" s="1004">
        <f t="shared" si="61"/>
        <v>0</v>
      </c>
      <c r="R294" s="1064">
        <f t="shared" si="62"/>
        <v>0</v>
      </c>
      <c r="S294" s="1003">
        <f t="shared" si="63"/>
        <v>0</v>
      </c>
    </row>
    <row r="295" spans="1:19">
      <c r="A295" s="1012"/>
      <c r="B295" s="1013"/>
      <c r="C295" s="1004">
        <f t="shared" si="54"/>
        <v>1</v>
      </c>
      <c r="D295" s="1014"/>
      <c r="E295" s="1004">
        <f t="shared" si="55"/>
        <v>1</v>
      </c>
      <c r="F295" s="1014"/>
      <c r="G295" s="1004">
        <f t="shared" si="56"/>
        <v>1</v>
      </c>
      <c r="H295" s="1014"/>
      <c r="I295" s="1004">
        <f t="shared" si="57"/>
        <v>1</v>
      </c>
      <c r="J295" s="1014"/>
      <c r="K295" s="1004">
        <f t="shared" si="58"/>
        <v>1</v>
      </c>
      <c r="L295" s="1014"/>
      <c r="M295" s="1004">
        <f t="shared" si="59"/>
        <v>1</v>
      </c>
      <c r="N295" s="1014"/>
      <c r="O295" s="1004">
        <f t="shared" si="60"/>
        <v>1</v>
      </c>
      <c r="P295" s="1014"/>
      <c r="Q295" s="1004">
        <f t="shared" si="61"/>
        <v>0</v>
      </c>
      <c r="R295" s="1064">
        <f t="shared" si="62"/>
        <v>0</v>
      </c>
      <c r="S295" s="1003">
        <f t="shared" si="63"/>
        <v>0</v>
      </c>
    </row>
    <row r="296" spans="1:19">
      <c r="A296" s="1012"/>
      <c r="B296" s="1013"/>
      <c r="C296" s="1004">
        <f t="shared" si="54"/>
        <v>1</v>
      </c>
      <c r="D296" s="1014"/>
      <c r="E296" s="1004">
        <f t="shared" si="55"/>
        <v>1</v>
      </c>
      <c r="F296" s="1014"/>
      <c r="G296" s="1004">
        <f t="shared" si="56"/>
        <v>1</v>
      </c>
      <c r="H296" s="1014"/>
      <c r="I296" s="1004">
        <f t="shared" si="57"/>
        <v>1</v>
      </c>
      <c r="J296" s="1014"/>
      <c r="K296" s="1004">
        <f t="shared" si="58"/>
        <v>1</v>
      </c>
      <c r="L296" s="1014"/>
      <c r="M296" s="1004">
        <f t="shared" si="59"/>
        <v>1</v>
      </c>
      <c r="N296" s="1014"/>
      <c r="O296" s="1004">
        <f t="shared" si="60"/>
        <v>1</v>
      </c>
      <c r="P296" s="1014"/>
      <c r="Q296" s="1004">
        <f t="shared" si="61"/>
        <v>0</v>
      </c>
      <c r="R296" s="1064">
        <f t="shared" si="62"/>
        <v>0</v>
      </c>
      <c r="S296" s="1003">
        <f t="shared" si="63"/>
        <v>0</v>
      </c>
    </row>
    <row r="297" spans="1:19">
      <c r="A297" s="1012"/>
      <c r="B297" s="1013"/>
      <c r="C297" s="1004">
        <f t="shared" si="54"/>
        <v>1</v>
      </c>
      <c r="D297" s="1014"/>
      <c r="E297" s="1004">
        <f t="shared" si="55"/>
        <v>1</v>
      </c>
      <c r="F297" s="1014"/>
      <c r="G297" s="1004">
        <f t="shared" si="56"/>
        <v>1</v>
      </c>
      <c r="H297" s="1014"/>
      <c r="I297" s="1004">
        <f t="shared" si="57"/>
        <v>1</v>
      </c>
      <c r="J297" s="1014"/>
      <c r="K297" s="1004">
        <f t="shared" si="58"/>
        <v>1</v>
      </c>
      <c r="L297" s="1014"/>
      <c r="M297" s="1004">
        <f t="shared" si="59"/>
        <v>1</v>
      </c>
      <c r="N297" s="1014"/>
      <c r="O297" s="1004">
        <f t="shared" si="60"/>
        <v>1</v>
      </c>
      <c r="P297" s="1014"/>
      <c r="Q297" s="1004">
        <f t="shared" si="61"/>
        <v>0</v>
      </c>
      <c r="R297" s="1064">
        <f t="shared" si="62"/>
        <v>0</v>
      </c>
      <c r="S297" s="1003">
        <f t="shared" si="63"/>
        <v>0</v>
      </c>
    </row>
    <row r="298" spans="1:19">
      <c r="A298" s="1012"/>
      <c r="B298" s="1013"/>
      <c r="C298" s="1004">
        <f t="shared" si="54"/>
        <v>1</v>
      </c>
      <c r="D298" s="1014"/>
      <c r="E298" s="1004">
        <f t="shared" si="55"/>
        <v>1</v>
      </c>
      <c r="F298" s="1014"/>
      <c r="G298" s="1004">
        <f t="shared" si="56"/>
        <v>1</v>
      </c>
      <c r="H298" s="1014"/>
      <c r="I298" s="1004">
        <f t="shared" si="57"/>
        <v>1</v>
      </c>
      <c r="J298" s="1014"/>
      <c r="K298" s="1004">
        <f t="shared" si="58"/>
        <v>1</v>
      </c>
      <c r="L298" s="1014"/>
      <c r="M298" s="1004">
        <f t="shared" si="59"/>
        <v>1</v>
      </c>
      <c r="N298" s="1014"/>
      <c r="O298" s="1004">
        <f t="shared" si="60"/>
        <v>1</v>
      </c>
      <c r="P298" s="1014"/>
      <c r="Q298" s="1004">
        <f t="shared" si="61"/>
        <v>0</v>
      </c>
      <c r="R298" s="1064">
        <f t="shared" si="62"/>
        <v>0</v>
      </c>
      <c r="S298" s="1003">
        <f t="shared" si="63"/>
        <v>0</v>
      </c>
    </row>
    <row r="299" spans="1:19">
      <c r="A299" s="1012"/>
      <c r="B299" s="1013"/>
      <c r="C299" s="1004">
        <f t="shared" si="54"/>
        <v>1</v>
      </c>
      <c r="D299" s="1014"/>
      <c r="E299" s="1004">
        <f t="shared" si="55"/>
        <v>1</v>
      </c>
      <c r="F299" s="1014"/>
      <c r="G299" s="1004">
        <f t="shared" si="56"/>
        <v>1</v>
      </c>
      <c r="H299" s="1014"/>
      <c r="I299" s="1004">
        <f t="shared" si="57"/>
        <v>1</v>
      </c>
      <c r="J299" s="1014"/>
      <c r="K299" s="1004">
        <f t="shared" si="58"/>
        <v>1</v>
      </c>
      <c r="L299" s="1014"/>
      <c r="M299" s="1004">
        <f t="shared" si="59"/>
        <v>1</v>
      </c>
      <c r="N299" s="1014"/>
      <c r="O299" s="1004">
        <f t="shared" si="60"/>
        <v>1</v>
      </c>
      <c r="P299" s="1014"/>
      <c r="Q299" s="1004">
        <f t="shared" si="61"/>
        <v>0</v>
      </c>
      <c r="R299" s="1064">
        <f t="shared" si="62"/>
        <v>0</v>
      </c>
      <c r="S299" s="1003">
        <f t="shared" si="63"/>
        <v>0</v>
      </c>
    </row>
    <row r="300" spans="1:19">
      <c r="A300" s="1012"/>
      <c r="B300" s="1013"/>
      <c r="C300" s="1004">
        <f t="shared" si="54"/>
        <v>1</v>
      </c>
      <c r="D300" s="1014"/>
      <c r="E300" s="1004">
        <f t="shared" si="55"/>
        <v>1</v>
      </c>
      <c r="F300" s="1014"/>
      <c r="G300" s="1004">
        <f t="shared" si="56"/>
        <v>1</v>
      </c>
      <c r="H300" s="1014"/>
      <c r="I300" s="1004">
        <f t="shared" si="57"/>
        <v>1</v>
      </c>
      <c r="J300" s="1014"/>
      <c r="K300" s="1004">
        <f t="shared" si="58"/>
        <v>1</v>
      </c>
      <c r="L300" s="1014"/>
      <c r="M300" s="1004">
        <f t="shared" si="59"/>
        <v>1</v>
      </c>
      <c r="N300" s="1014"/>
      <c r="O300" s="1004">
        <f t="shared" si="60"/>
        <v>1</v>
      </c>
      <c r="P300" s="1014"/>
      <c r="Q300" s="1004">
        <f t="shared" si="61"/>
        <v>0</v>
      </c>
      <c r="R300" s="1064">
        <f t="shared" si="62"/>
        <v>0</v>
      </c>
      <c r="S300" s="1003">
        <f t="shared" si="63"/>
        <v>0</v>
      </c>
    </row>
    <row r="301" spans="1:19">
      <c r="A301" s="1012"/>
      <c r="B301" s="1013"/>
      <c r="C301" s="1004">
        <f t="shared" si="54"/>
        <v>1</v>
      </c>
      <c r="D301" s="1014"/>
      <c r="E301" s="1004">
        <f t="shared" si="55"/>
        <v>1</v>
      </c>
      <c r="F301" s="1014"/>
      <c r="G301" s="1004">
        <f t="shared" si="56"/>
        <v>1</v>
      </c>
      <c r="H301" s="1014"/>
      <c r="I301" s="1004">
        <f t="shared" si="57"/>
        <v>1</v>
      </c>
      <c r="J301" s="1014"/>
      <c r="K301" s="1004">
        <f t="shared" si="58"/>
        <v>1</v>
      </c>
      <c r="L301" s="1014"/>
      <c r="M301" s="1004">
        <f t="shared" si="59"/>
        <v>1</v>
      </c>
      <c r="N301" s="1014"/>
      <c r="O301" s="1004">
        <f t="shared" si="60"/>
        <v>1</v>
      </c>
      <c r="P301" s="1014"/>
      <c r="Q301" s="1004">
        <f t="shared" si="61"/>
        <v>0</v>
      </c>
      <c r="R301" s="1064">
        <f t="shared" si="62"/>
        <v>0</v>
      </c>
      <c r="S301" s="1003">
        <f t="shared" si="63"/>
        <v>0</v>
      </c>
    </row>
    <row r="302" spans="1:19">
      <c r="A302" s="1012"/>
      <c r="B302" s="1013"/>
      <c r="C302" s="1004">
        <f t="shared" si="54"/>
        <v>1</v>
      </c>
      <c r="D302" s="1014"/>
      <c r="E302" s="1004">
        <f t="shared" si="55"/>
        <v>1</v>
      </c>
      <c r="F302" s="1014"/>
      <c r="G302" s="1004">
        <f t="shared" si="56"/>
        <v>1</v>
      </c>
      <c r="H302" s="1014"/>
      <c r="I302" s="1004">
        <f t="shared" si="57"/>
        <v>1</v>
      </c>
      <c r="J302" s="1014"/>
      <c r="K302" s="1004">
        <f t="shared" si="58"/>
        <v>1</v>
      </c>
      <c r="L302" s="1014"/>
      <c r="M302" s="1004">
        <f t="shared" si="59"/>
        <v>1</v>
      </c>
      <c r="N302" s="1014"/>
      <c r="O302" s="1004">
        <f t="shared" si="60"/>
        <v>1</v>
      </c>
      <c r="P302" s="1014"/>
      <c r="Q302" s="1004">
        <f t="shared" si="61"/>
        <v>0</v>
      </c>
      <c r="R302" s="1064">
        <f t="shared" si="62"/>
        <v>0</v>
      </c>
      <c r="S302" s="1003">
        <f t="shared" si="63"/>
        <v>0</v>
      </c>
    </row>
    <row r="303" spans="1:19">
      <c r="A303" s="1012"/>
      <c r="B303" s="1013"/>
      <c r="C303" s="1004">
        <f t="shared" si="54"/>
        <v>1</v>
      </c>
      <c r="D303" s="1014"/>
      <c r="E303" s="1004">
        <f t="shared" si="55"/>
        <v>1</v>
      </c>
      <c r="F303" s="1014"/>
      <c r="G303" s="1004">
        <f t="shared" si="56"/>
        <v>1</v>
      </c>
      <c r="H303" s="1014"/>
      <c r="I303" s="1004">
        <f t="shared" si="57"/>
        <v>1</v>
      </c>
      <c r="J303" s="1014"/>
      <c r="K303" s="1004">
        <f t="shared" si="58"/>
        <v>1</v>
      </c>
      <c r="L303" s="1014"/>
      <c r="M303" s="1004">
        <f t="shared" si="59"/>
        <v>1</v>
      </c>
      <c r="N303" s="1014"/>
      <c r="O303" s="1004">
        <f t="shared" si="60"/>
        <v>1</v>
      </c>
      <c r="P303" s="1014"/>
      <c r="Q303" s="1004">
        <f t="shared" si="61"/>
        <v>0</v>
      </c>
      <c r="R303" s="1064">
        <f t="shared" si="62"/>
        <v>0</v>
      </c>
      <c r="S303" s="1003">
        <f t="shared" si="63"/>
        <v>0</v>
      </c>
    </row>
    <row r="304" spans="1:19">
      <c r="A304" s="1012"/>
      <c r="B304" s="1013"/>
      <c r="C304" s="1004">
        <f t="shared" si="54"/>
        <v>1</v>
      </c>
      <c r="D304" s="1014"/>
      <c r="E304" s="1004">
        <f t="shared" si="55"/>
        <v>1</v>
      </c>
      <c r="F304" s="1014"/>
      <c r="G304" s="1004">
        <f t="shared" si="56"/>
        <v>1</v>
      </c>
      <c r="H304" s="1014"/>
      <c r="I304" s="1004">
        <f t="shared" si="57"/>
        <v>1</v>
      </c>
      <c r="J304" s="1014"/>
      <c r="K304" s="1004">
        <f t="shared" si="58"/>
        <v>1</v>
      </c>
      <c r="L304" s="1014"/>
      <c r="M304" s="1004">
        <f t="shared" si="59"/>
        <v>1</v>
      </c>
      <c r="N304" s="1014"/>
      <c r="O304" s="1004">
        <f t="shared" si="60"/>
        <v>1</v>
      </c>
      <c r="P304" s="1014"/>
      <c r="Q304" s="1004">
        <f t="shared" si="61"/>
        <v>0</v>
      </c>
      <c r="R304" s="1064">
        <f t="shared" si="62"/>
        <v>0</v>
      </c>
      <c r="S304" s="1003">
        <f t="shared" si="63"/>
        <v>0</v>
      </c>
    </row>
    <row r="305" spans="1:19">
      <c r="A305" s="1012"/>
      <c r="B305" s="1013"/>
      <c r="C305" s="1004">
        <f t="shared" si="54"/>
        <v>1</v>
      </c>
      <c r="D305" s="1014"/>
      <c r="E305" s="1004">
        <f t="shared" si="55"/>
        <v>1</v>
      </c>
      <c r="F305" s="1014"/>
      <c r="G305" s="1004">
        <f t="shared" si="56"/>
        <v>1</v>
      </c>
      <c r="H305" s="1014"/>
      <c r="I305" s="1004">
        <f t="shared" si="57"/>
        <v>1</v>
      </c>
      <c r="J305" s="1014"/>
      <c r="K305" s="1004">
        <f t="shared" si="58"/>
        <v>1</v>
      </c>
      <c r="L305" s="1014"/>
      <c r="M305" s="1004">
        <f t="shared" si="59"/>
        <v>1</v>
      </c>
      <c r="N305" s="1014"/>
      <c r="O305" s="1004">
        <f t="shared" si="60"/>
        <v>1</v>
      </c>
      <c r="P305" s="1014"/>
      <c r="Q305" s="1004">
        <f t="shared" si="61"/>
        <v>0</v>
      </c>
      <c r="R305" s="1064">
        <f t="shared" si="62"/>
        <v>0</v>
      </c>
      <c r="S305" s="1003">
        <f t="shared" si="63"/>
        <v>0</v>
      </c>
    </row>
    <row r="306" spans="1:19">
      <c r="A306" s="1012"/>
      <c r="B306" s="1013"/>
      <c r="C306" s="1004">
        <f t="shared" si="54"/>
        <v>1</v>
      </c>
      <c r="D306" s="1014"/>
      <c r="E306" s="1004">
        <f t="shared" si="55"/>
        <v>1</v>
      </c>
      <c r="F306" s="1014"/>
      <c r="G306" s="1004">
        <f t="shared" si="56"/>
        <v>1</v>
      </c>
      <c r="H306" s="1014"/>
      <c r="I306" s="1004">
        <f t="shared" si="57"/>
        <v>1</v>
      </c>
      <c r="J306" s="1014"/>
      <c r="K306" s="1004">
        <f t="shared" si="58"/>
        <v>1</v>
      </c>
      <c r="L306" s="1014"/>
      <c r="M306" s="1004">
        <f t="shared" si="59"/>
        <v>1</v>
      </c>
      <c r="N306" s="1014"/>
      <c r="O306" s="1004">
        <f t="shared" si="60"/>
        <v>1</v>
      </c>
      <c r="P306" s="1014"/>
      <c r="Q306" s="1004">
        <f t="shared" si="61"/>
        <v>0</v>
      </c>
      <c r="R306" s="1064">
        <f t="shared" si="62"/>
        <v>0</v>
      </c>
      <c r="S306" s="1003">
        <f t="shared" si="63"/>
        <v>0</v>
      </c>
    </row>
    <row r="307" spans="1:19">
      <c r="A307" s="1012"/>
      <c r="B307" s="1013"/>
      <c r="C307" s="1004">
        <f t="shared" si="54"/>
        <v>1</v>
      </c>
      <c r="D307" s="1014"/>
      <c r="E307" s="1004">
        <f t="shared" si="55"/>
        <v>1</v>
      </c>
      <c r="F307" s="1014"/>
      <c r="G307" s="1004">
        <f t="shared" si="56"/>
        <v>1</v>
      </c>
      <c r="H307" s="1014"/>
      <c r="I307" s="1004">
        <f t="shared" si="57"/>
        <v>1</v>
      </c>
      <c r="J307" s="1014"/>
      <c r="K307" s="1004">
        <f t="shared" si="58"/>
        <v>1</v>
      </c>
      <c r="L307" s="1014"/>
      <c r="M307" s="1004">
        <f t="shared" si="59"/>
        <v>1</v>
      </c>
      <c r="N307" s="1014"/>
      <c r="O307" s="1004">
        <f t="shared" si="60"/>
        <v>1</v>
      </c>
      <c r="P307" s="1014"/>
      <c r="Q307" s="1004">
        <f t="shared" si="61"/>
        <v>0</v>
      </c>
      <c r="R307" s="1064">
        <f t="shared" si="62"/>
        <v>0</v>
      </c>
      <c r="S307" s="1003">
        <f t="shared" si="63"/>
        <v>0</v>
      </c>
    </row>
    <row r="308" spans="1:19">
      <c r="A308" s="1012"/>
      <c r="B308" s="1013"/>
      <c r="C308" s="1004">
        <f t="shared" si="54"/>
        <v>1</v>
      </c>
      <c r="D308" s="1014"/>
      <c r="E308" s="1004">
        <f t="shared" si="55"/>
        <v>1</v>
      </c>
      <c r="F308" s="1014"/>
      <c r="G308" s="1004">
        <f t="shared" si="56"/>
        <v>1</v>
      </c>
      <c r="H308" s="1014"/>
      <c r="I308" s="1004">
        <f t="shared" si="57"/>
        <v>1</v>
      </c>
      <c r="J308" s="1014"/>
      <c r="K308" s="1004">
        <f t="shared" si="58"/>
        <v>1</v>
      </c>
      <c r="L308" s="1014"/>
      <c r="M308" s="1004">
        <f t="shared" si="59"/>
        <v>1</v>
      </c>
      <c r="N308" s="1014"/>
      <c r="O308" s="1004">
        <f t="shared" si="60"/>
        <v>1</v>
      </c>
      <c r="P308" s="1014"/>
      <c r="Q308" s="1004">
        <f t="shared" si="61"/>
        <v>0</v>
      </c>
      <c r="R308" s="1064">
        <f t="shared" si="62"/>
        <v>0</v>
      </c>
      <c r="S308" s="1003">
        <f t="shared" si="63"/>
        <v>0</v>
      </c>
    </row>
    <row r="309" spans="1:19">
      <c r="A309" s="1012"/>
      <c r="B309" s="1013"/>
      <c r="C309" s="1004">
        <f t="shared" si="54"/>
        <v>1</v>
      </c>
      <c r="D309" s="1014"/>
      <c r="E309" s="1004">
        <f t="shared" si="55"/>
        <v>1</v>
      </c>
      <c r="F309" s="1014"/>
      <c r="G309" s="1004">
        <f t="shared" si="56"/>
        <v>1</v>
      </c>
      <c r="H309" s="1014"/>
      <c r="I309" s="1004">
        <f t="shared" si="57"/>
        <v>1</v>
      </c>
      <c r="J309" s="1014"/>
      <c r="K309" s="1004">
        <f t="shared" si="58"/>
        <v>1</v>
      </c>
      <c r="L309" s="1014"/>
      <c r="M309" s="1004">
        <f t="shared" si="59"/>
        <v>1</v>
      </c>
      <c r="N309" s="1014"/>
      <c r="O309" s="1004">
        <f t="shared" si="60"/>
        <v>1</v>
      </c>
      <c r="P309" s="1014"/>
      <c r="Q309" s="1004">
        <f t="shared" si="61"/>
        <v>0</v>
      </c>
      <c r="R309" s="1064">
        <f t="shared" si="62"/>
        <v>0</v>
      </c>
      <c r="S309" s="1003">
        <f t="shared" si="63"/>
        <v>0</v>
      </c>
    </row>
    <row r="310" spans="1:19">
      <c r="A310" s="1012"/>
      <c r="B310" s="1013"/>
      <c r="C310" s="1004">
        <f t="shared" si="54"/>
        <v>1</v>
      </c>
      <c r="D310" s="1014"/>
      <c r="E310" s="1004">
        <f t="shared" si="55"/>
        <v>1</v>
      </c>
      <c r="F310" s="1014"/>
      <c r="G310" s="1004">
        <f t="shared" si="56"/>
        <v>1</v>
      </c>
      <c r="H310" s="1014"/>
      <c r="I310" s="1004">
        <f t="shared" si="57"/>
        <v>1</v>
      </c>
      <c r="J310" s="1014"/>
      <c r="K310" s="1004">
        <f t="shared" si="58"/>
        <v>1</v>
      </c>
      <c r="L310" s="1014"/>
      <c r="M310" s="1004">
        <f t="shared" si="59"/>
        <v>1</v>
      </c>
      <c r="N310" s="1014"/>
      <c r="O310" s="1004">
        <f t="shared" si="60"/>
        <v>1</v>
      </c>
      <c r="P310" s="1014"/>
      <c r="Q310" s="1004">
        <f t="shared" si="61"/>
        <v>0</v>
      </c>
      <c r="R310" s="1064">
        <f t="shared" si="62"/>
        <v>0</v>
      </c>
      <c r="S310" s="1003">
        <f t="shared" si="63"/>
        <v>0</v>
      </c>
    </row>
    <row r="311" spans="1:19">
      <c r="A311" s="1012"/>
      <c r="B311" s="1013"/>
      <c r="C311" s="1004">
        <f t="shared" si="54"/>
        <v>1</v>
      </c>
      <c r="D311" s="1014"/>
      <c r="E311" s="1004">
        <f t="shared" si="55"/>
        <v>1</v>
      </c>
      <c r="F311" s="1014"/>
      <c r="G311" s="1004">
        <f t="shared" si="56"/>
        <v>1</v>
      </c>
      <c r="H311" s="1014"/>
      <c r="I311" s="1004">
        <f t="shared" si="57"/>
        <v>1</v>
      </c>
      <c r="J311" s="1014"/>
      <c r="K311" s="1004">
        <f t="shared" si="58"/>
        <v>1</v>
      </c>
      <c r="L311" s="1014"/>
      <c r="M311" s="1004">
        <f t="shared" si="59"/>
        <v>1</v>
      </c>
      <c r="N311" s="1014"/>
      <c r="O311" s="1004">
        <f t="shared" si="60"/>
        <v>1</v>
      </c>
      <c r="P311" s="1014"/>
      <c r="Q311" s="1004">
        <f t="shared" si="61"/>
        <v>0</v>
      </c>
      <c r="R311" s="1064">
        <f t="shared" si="62"/>
        <v>0</v>
      </c>
      <c r="S311" s="1003">
        <f t="shared" si="63"/>
        <v>0</v>
      </c>
    </row>
    <row r="312" spans="1:19">
      <c r="A312" s="1012"/>
      <c r="B312" s="1013"/>
      <c r="C312" s="1004">
        <f t="shared" si="54"/>
        <v>1</v>
      </c>
      <c r="D312" s="1014"/>
      <c r="E312" s="1004">
        <f t="shared" si="55"/>
        <v>1</v>
      </c>
      <c r="F312" s="1014"/>
      <c r="G312" s="1004">
        <f t="shared" si="56"/>
        <v>1</v>
      </c>
      <c r="H312" s="1014"/>
      <c r="I312" s="1004">
        <f t="shared" si="57"/>
        <v>1</v>
      </c>
      <c r="J312" s="1014"/>
      <c r="K312" s="1004">
        <f t="shared" si="58"/>
        <v>1</v>
      </c>
      <c r="L312" s="1014"/>
      <c r="M312" s="1004">
        <f t="shared" si="59"/>
        <v>1</v>
      </c>
      <c r="N312" s="1014"/>
      <c r="O312" s="1004">
        <f t="shared" si="60"/>
        <v>1</v>
      </c>
      <c r="P312" s="1014"/>
      <c r="Q312" s="1004">
        <f t="shared" si="61"/>
        <v>0</v>
      </c>
      <c r="R312" s="1064">
        <f t="shared" si="62"/>
        <v>0</v>
      </c>
      <c r="S312" s="1003">
        <f t="shared" si="63"/>
        <v>0</v>
      </c>
    </row>
    <row r="313" spans="1:19">
      <c r="A313" s="1012"/>
      <c r="B313" s="1013"/>
      <c r="C313" s="1004">
        <f t="shared" si="54"/>
        <v>1</v>
      </c>
      <c r="D313" s="1014"/>
      <c r="E313" s="1004">
        <f t="shared" si="55"/>
        <v>1</v>
      </c>
      <c r="F313" s="1014"/>
      <c r="G313" s="1004">
        <f t="shared" si="56"/>
        <v>1</v>
      </c>
      <c r="H313" s="1014"/>
      <c r="I313" s="1004">
        <f t="shared" si="57"/>
        <v>1</v>
      </c>
      <c r="J313" s="1014"/>
      <c r="K313" s="1004">
        <f t="shared" si="58"/>
        <v>1</v>
      </c>
      <c r="L313" s="1014"/>
      <c r="M313" s="1004">
        <f t="shared" si="59"/>
        <v>1</v>
      </c>
      <c r="N313" s="1014"/>
      <c r="O313" s="1004">
        <f t="shared" si="60"/>
        <v>1</v>
      </c>
      <c r="P313" s="1014"/>
      <c r="Q313" s="1004">
        <f t="shared" si="61"/>
        <v>0</v>
      </c>
      <c r="R313" s="1064">
        <f t="shared" si="62"/>
        <v>0</v>
      </c>
      <c r="S313" s="1003">
        <f t="shared" si="63"/>
        <v>0</v>
      </c>
    </row>
    <row r="314" spans="1:19">
      <c r="A314" s="1012"/>
      <c r="B314" s="1013"/>
      <c r="C314" s="1004">
        <f t="shared" si="54"/>
        <v>1</v>
      </c>
      <c r="D314" s="1014"/>
      <c r="E314" s="1004">
        <f t="shared" si="55"/>
        <v>1</v>
      </c>
      <c r="F314" s="1014"/>
      <c r="G314" s="1004">
        <f t="shared" si="56"/>
        <v>1</v>
      </c>
      <c r="H314" s="1014"/>
      <c r="I314" s="1004">
        <f t="shared" si="57"/>
        <v>1</v>
      </c>
      <c r="J314" s="1014"/>
      <c r="K314" s="1004">
        <f t="shared" si="58"/>
        <v>1</v>
      </c>
      <c r="L314" s="1014"/>
      <c r="M314" s="1004">
        <f t="shared" si="59"/>
        <v>1</v>
      </c>
      <c r="N314" s="1014"/>
      <c r="O314" s="1004">
        <f t="shared" si="60"/>
        <v>1</v>
      </c>
      <c r="P314" s="1014"/>
      <c r="Q314" s="1004">
        <f t="shared" si="61"/>
        <v>0</v>
      </c>
      <c r="R314" s="1064">
        <f t="shared" si="62"/>
        <v>0</v>
      </c>
      <c r="S314" s="1003">
        <f t="shared" si="63"/>
        <v>0</v>
      </c>
    </row>
    <row r="315" spans="1:19">
      <c r="A315" s="1012"/>
      <c r="B315" s="1013"/>
      <c r="C315" s="1004">
        <f t="shared" si="54"/>
        <v>1</v>
      </c>
      <c r="D315" s="1014"/>
      <c r="E315" s="1004">
        <f t="shared" si="55"/>
        <v>1</v>
      </c>
      <c r="F315" s="1014"/>
      <c r="G315" s="1004">
        <f t="shared" si="56"/>
        <v>1</v>
      </c>
      <c r="H315" s="1014"/>
      <c r="I315" s="1004">
        <f t="shared" si="57"/>
        <v>1</v>
      </c>
      <c r="J315" s="1014"/>
      <c r="K315" s="1004">
        <f t="shared" si="58"/>
        <v>1</v>
      </c>
      <c r="L315" s="1014"/>
      <c r="M315" s="1004">
        <f t="shared" si="59"/>
        <v>1</v>
      </c>
      <c r="N315" s="1014"/>
      <c r="O315" s="1004">
        <f t="shared" si="60"/>
        <v>1</v>
      </c>
      <c r="P315" s="1014"/>
      <c r="Q315" s="1004">
        <f t="shared" si="61"/>
        <v>0</v>
      </c>
      <c r="R315" s="1064">
        <f t="shared" si="62"/>
        <v>0</v>
      </c>
      <c r="S315" s="1003">
        <f t="shared" si="63"/>
        <v>0</v>
      </c>
    </row>
    <row r="316" spans="1:19">
      <c r="A316" s="1012"/>
      <c r="B316" s="1013"/>
      <c r="C316" s="1004">
        <f t="shared" si="54"/>
        <v>1</v>
      </c>
      <c r="D316" s="1014"/>
      <c r="E316" s="1004">
        <f t="shared" si="55"/>
        <v>1</v>
      </c>
      <c r="F316" s="1014"/>
      <c r="G316" s="1004">
        <f t="shared" si="56"/>
        <v>1</v>
      </c>
      <c r="H316" s="1014"/>
      <c r="I316" s="1004">
        <f t="shared" si="57"/>
        <v>1</v>
      </c>
      <c r="J316" s="1014"/>
      <c r="K316" s="1004">
        <f t="shared" si="58"/>
        <v>1</v>
      </c>
      <c r="L316" s="1014"/>
      <c r="M316" s="1004">
        <f t="shared" si="59"/>
        <v>1</v>
      </c>
      <c r="N316" s="1014"/>
      <c r="O316" s="1004">
        <f t="shared" si="60"/>
        <v>1</v>
      </c>
      <c r="P316" s="1014"/>
      <c r="Q316" s="1004">
        <f t="shared" si="61"/>
        <v>0</v>
      </c>
      <c r="R316" s="1064">
        <f t="shared" si="62"/>
        <v>0</v>
      </c>
      <c r="S316" s="1003">
        <f t="shared" si="63"/>
        <v>0</v>
      </c>
    </row>
    <row r="317" spans="1:19">
      <c r="A317" s="1012"/>
      <c r="B317" s="1013"/>
      <c r="C317" s="1004">
        <f t="shared" si="54"/>
        <v>1</v>
      </c>
      <c r="D317" s="1014"/>
      <c r="E317" s="1004">
        <f t="shared" si="55"/>
        <v>1</v>
      </c>
      <c r="F317" s="1014"/>
      <c r="G317" s="1004">
        <f t="shared" si="56"/>
        <v>1</v>
      </c>
      <c r="H317" s="1014"/>
      <c r="I317" s="1004">
        <f t="shared" si="57"/>
        <v>1</v>
      </c>
      <c r="J317" s="1014"/>
      <c r="K317" s="1004">
        <f t="shared" si="58"/>
        <v>1</v>
      </c>
      <c r="L317" s="1014"/>
      <c r="M317" s="1004">
        <f t="shared" si="59"/>
        <v>1</v>
      </c>
      <c r="N317" s="1014"/>
      <c r="O317" s="1004">
        <f t="shared" si="60"/>
        <v>1</v>
      </c>
      <c r="P317" s="1014"/>
      <c r="Q317" s="1004">
        <f t="shared" si="61"/>
        <v>0</v>
      </c>
      <c r="R317" s="1064">
        <f t="shared" si="62"/>
        <v>0</v>
      </c>
      <c r="S317" s="1003">
        <f t="shared" si="63"/>
        <v>0</v>
      </c>
    </row>
    <row r="318" spans="1:19">
      <c r="A318" s="1012"/>
      <c r="B318" s="1013"/>
      <c r="C318" s="1004">
        <f t="shared" si="54"/>
        <v>1</v>
      </c>
      <c r="D318" s="1014"/>
      <c r="E318" s="1004">
        <f t="shared" si="55"/>
        <v>1</v>
      </c>
      <c r="F318" s="1014"/>
      <c r="G318" s="1004">
        <f t="shared" si="56"/>
        <v>1</v>
      </c>
      <c r="H318" s="1014"/>
      <c r="I318" s="1004">
        <f t="shared" si="57"/>
        <v>1</v>
      </c>
      <c r="J318" s="1014"/>
      <c r="K318" s="1004">
        <f t="shared" si="58"/>
        <v>1</v>
      </c>
      <c r="L318" s="1014"/>
      <c r="M318" s="1004">
        <f t="shared" si="59"/>
        <v>1</v>
      </c>
      <c r="N318" s="1014"/>
      <c r="O318" s="1004">
        <f t="shared" si="60"/>
        <v>1</v>
      </c>
      <c r="P318" s="1014"/>
      <c r="Q318" s="1004">
        <f t="shared" si="61"/>
        <v>0</v>
      </c>
      <c r="R318" s="1064">
        <f t="shared" si="62"/>
        <v>0</v>
      </c>
      <c r="S318" s="1003">
        <f t="shared" si="63"/>
        <v>0</v>
      </c>
    </row>
    <row r="319" spans="1:19">
      <c r="A319" s="1012"/>
      <c r="B319" s="1013"/>
      <c r="C319" s="1004">
        <f t="shared" si="54"/>
        <v>1</v>
      </c>
      <c r="D319" s="1014"/>
      <c r="E319" s="1004">
        <f t="shared" si="55"/>
        <v>1</v>
      </c>
      <c r="F319" s="1014"/>
      <c r="G319" s="1004">
        <f t="shared" si="56"/>
        <v>1</v>
      </c>
      <c r="H319" s="1014"/>
      <c r="I319" s="1004">
        <f t="shared" si="57"/>
        <v>1</v>
      </c>
      <c r="J319" s="1014"/>
      <c r="K319" s="1004">
        <f t="shared" si="58"/>
        <v>1</v>
      </c>
      <c r="L319" s="1014"/>
      <c r="M319" s="1004">
        <f t="shared" si="59"/>
        <v>1</v>
      </c>
      <c r="N319" s="1014"/>
      <c r="O319" s="1004">
        <f t="shared" si="60"/>
        <v>1</v>
      </c>
      <c r="P319" s="1014"/>
      <c r="Q319" s="1004">
        <f t="shared" si="61"/>
        <v>0</v>
      </c>
      <c r="R319" s="1064">
        <f t="shared" si="62"/>
        <v>0</v>
      </c>
      <c r="S319" s="1003">
        <f t="shared" si="63"/>
        <v>0</v>
      </c>
    </row>
    <row r="320" spans="1:19">
      <c r="A320" s="1012"/>
      <c r="B320" s="1013"/>
      <c r="C320" s="1004">
        <f t="shared" si="54"/>
        <v>1</v>
      </c>
      <c r="D320" s="1014"/>
      <c r="E320" s="1004">
        <f t="shared" si="55"/>
        <v>1</v>
      </c>
      <c r="F320" s="1014"/>
      <c r="G320" s="1004">
        <f t="shared" si="56"/>
        <v>1</v>
      </c>
      <c r="H320" s="1014"/>
      <c r="I320" s="1004">
        <f t="shared" si="57"/>
        <v>1</v>
      </c>
      <c r="J320" s="1014"/>
      <c r="K320" s="1004">
        <f t="shared" si="58"/>
        <v>1</v>
      </c>
      <c r="L320" s="1014"/>
      <c r="M320" s="1004">
        <f t="shared" si="59"/>
        <v>1</v>
      </c>
      <c r="N320" s="1014"/>
      <c r="O320" s="1004">
        <f t="shared" si="60"/>
        <v>1</v>
      </c>
      <c r="P320" s="1014"/>
      <c r="Q320" s="1004">
        <f t="shared" si="61"/>
        <v>0</v>
      </c>
      <c r="R320" s="1064">
        <f t="shared" si="62"/>
        <v>0</v>
      </c>
      <c r="S320" s="1003">
        <f t="shared" si="63"/>
        <v>0</v>
      </c>
    </row>
    <row r="321" spans="1:19">
      <c r="A321" s="1012"/>
      <c r="B321" s="1013"/>
      <c r="C321" s="1004">
        <f t="shared" si="54"/>
        <v>1</v>
      </c>
      <c r="D321" s="1014"/>
      <c r="E321" s="1004">
        <f t="shared" si="55"/>
        <v>1</v>
      </c>
      <c r="F321" s="1014"/>
      <c r="G321" s="1004">
        <f t="shared" si="56"/>
        <v>1</v>
      </c>
      <c r="H321" s="1014"/>
      <c r="I321" s="1004">
        <f t="shared" si="57"/>
        <v>1</v>
      </c>
      <c r="J321" s="1014"/>
      <c r="K321" s="1004">
        <f t="shared" si="58"/>
        <v>1</v>
      </c>
      <c r="L321" s="1014"/>
      <c r="M321" s="1004">
        <f t="shared" si="59"/>
        <v>1</v>
      </c>
      <c r="N321" s="1014"/>
      <c r="O321" s="1004">
        <f t="shared" si="60"/>
        <v>1</v>
      </c>
      <c r="P321" s="1014"/>
      <c r="Q321" s="1004">
        <f t="shared" si="61"/>
        <v>0</v>
      </c>
      <c r="R321" s="1064">
        <f t="shared" si="62"/>
        <v>0</v>
      </c>
      <c r="S321" s="1003">
        <f t="shared" ref="S321:S384" si="64">ROUND(R321*B321/10000,0)</f>
        <v>0</v>
      </c>
    </row>
    <row r="322" spans="1:19">
      <c r="A322" s="1012"/>
      <c r="B322" s="1013"/>
      <c r="C322" s="1004">
        <f t="shared" si="54"/>
        <v>1</v>
      </c>
      <c r="D322" s="1014"/>
      <c r="E322" s="1004">
        <f t="shared" si="55"/>
        <v>1</v>
      </c>
      <c r="F322" s="1014"/>
      <c r="G322" s="1004">
        <f t="shared" si="56"/>
        <v>1</v>
      </c>
      <c r="H322" s="1014"/>
      <c r="I322" s="1004">
        <f t="shared" si="57"/>
        <v>1</v>
      </c>
      <c r="J322" s="1014"/>
      <c r="K322" s="1004">
        <f t="shared" si="58"/>
        <v>1</v>
      </c>
      <c r="L322" s="1014"/>
      <c r="M322" s="1004">
        <f t="shared" si="59"/>
        <v>1</v>
      </c>
      <c r="N322" s="1014"/>
      <c r="O322" s="1004">
        <f t="shared" si="60"/>
        <v>1</v>
      </c>
      <c r="P322" s="1014"/>
      <c r="Q322" s="1004">
        <f t="shared" si="61"/>
        <v>0</v>
      </c>
      <c r="R322" s="1064">
        <f t="shared" si="62"/>
        <v>0</v>
      </c>
      <c r="S322" s="1003">
        <f t="shared" si="64"/>
        <v>0</v>
      </c>
    </row>
    <row r="323" spans="1:19">
      <c r="A323" s="1012"/>
      <c r="B323" s="1013"/>
      <c r="C323" s="1004">
        <f t="shared" si="54"/>
        <v>1</v>
      </c>
      <c r="D323" s="1014"/>
      <c r="E323" s="1004">
        <f t="shared" si="55"/>
        <v>1</v>
      </c>
      <c r="F323" s="1014"/>
      <c r="G323" s="1004">
        <f t="shared" si="56"/>
        <v>1</v>
      </c>
      <c r="H323" s="1014"/>
      <c r="I323" s="1004">
        <f t="shared" si="57"/>
        <v>1</v>
      </c>
      <c r="J323" s="1014"/>
      <c r="K323" s="1004">
        <f t="shared" si="58"/>
        <v>1</v>
      </c>
      <c r="L323" s="1014"/>
      <c r="M323" s="1004">
        <f t="shared" si="59"/>
        <v>1</v>
      </c>
      <c r="N323" s="1014"/>
      <c r="O323" s="1004">
        <f t="shared" si="60"/>
        <v>1</v>
      </c>
      <c r="P323" s="1014"/>
      <c r="Q323" s="1004">
        <f t="shared" si="61"/>
        <v>0</v>
      </c>
      <c r="R323" s="1064">
        <f t="shared" si="62"/>
        <v>0</v>
      </c>
      <c r="S323" s="1003">
        <f t="shared" si="64"/>
        <v>0</v>
      </c>
    </row>
    <row r="324" spans="1:19">
      <c r="A324" s="1012"/>
      <c r="B324" s="1013"/>
      <c r="C324" s="1004">
        <f t="shared" si="54"/>
        <v>1</v>
      </c>
      <c r="D324" s="1014"/>
      <c r="E324" s="1004">
        <f t="shared" si="55"/>
        <v>1</v>
      </c>
      <c r="F324" s="1014"/>
      <c r="G324" s="1004">
        <f t="shared" si="56"/>
        <v>1</v>
      </c>
      <c r="H324" s="1014"/>
      <c r="I324" s="1004">
        <f t="shared" si="57"/>
        <v>1</v>
      </c>
      <c r="J324" s="1014"/>
      <c r="K324" s="1004">
        <f t="shared" si="58"/>
        <v>1</v>
      </c>
      <c r="L324" s="1014"/>
      <c r="M324" s="1004">
        <f t="shared" si="59"/>
        <v>1</v>
      </c>
      <c r="N324" s="1014"/>
      <c r="O324" s="1004">
        <f t="shared" si="60"/>
        <v>1</v>
      </c>
      <c r="P324" s="1014"/>
      <c r="Q324" s="1004">
        <f t="shared" si="61"/>
        <v>0</v>
      </c>
      <c r="R324" s="1064">
        <f t="shared" si="62"/>
        <v>0</v>
      </c>
      <c r="S324" s="1003">
        <f t="shared" si="64"/>
        <v>0</v>
      </c>
    </row>
    <row r="325" spans="1:19">
      <c r="A325" s="1012"/>
      <c r="B325" s="1013"/>
      <c r="C325" s="1004">
        <f t="shared" si="54"/>
        <v>1</v>
      </c>
      <c r="D325" s="1014"/>
      <c r="E325" s="1004">
        <f t="shared" si="55"/>
        <v>1</v>
      </c>
      <c r="F325" s="1014"/>
      <c r="G325" s="1004">
        <f t="shared" si="56"/>
        <v>1</v>
      </c>
      <c r="H325" s="1014"/>
      <c r="I325" s="1004">
        <f t="shared" si="57"/>
        <v>1</v>
      </c>
      <c r="J325" s="1014"/>
      <c r="K325" s="1004">
        <f t="shared" si="58"/>
        <v>1</v>
      </c>
      <c r="L325" s="1014"/>
      <c r="M325" s="1004">
        <f t="shared" si="59"/>
        <v>1</v>
      </c>
      <c r="N325" s="1014"/>
      <c r="O325" s="1004">
        <f t="shared" si="60"/>
        <v>1</v>
      </c>
      <c r="P325" s="1014"/>
      <c r="Q325" s="1004">
        <f t="shared" si="61"/>
        <v>0</v>
      </c>
      <c r="R325" s="1064">
        <f t="shared" si="62"/>
        <v>0</v>
      </c>
      <c r="S325" s="1003">
        <f t="shared" si="64"/>
        <v>0</v>
      </c>
    </row>
    <row r="326" spans="1:19">
      <c r="A326" s="1012"/>
      <c r="B326" s="1013"/>
      <c r="C326" s="1004">
        <f t="shared" si="54"/>
        <v>1</v>
      </c>
      <c r="D326" s="1014"/>
      <c r="E326" s="1004">
        <f t="shared" si="55"/>
        <v>1</v>
      </c>
      <c r="F326" s="1014"/>
      <c r="G326" s="1004">
        <f t="shared" si="56"/>
        <v>1</v>
      </c>
      <c r="H326" s="1014"/>
      <c r="I326" s="1004">
        <f t="shared" si="57"/>
        <v>1</v>
      </c>
      <c r="J326" s="1014"/>
      <c r="K326" s="1004">
        <f t="shared" si="58"/>
        <v>1</v>
      </c>
      <c r="L326" s="1014"/>
      <c r="M326" s="1004">
        <f t="shared" si="59"/>
        <v>1</v>
      </c>
      <c r="N326" s="1014"/>
      <c r="O326" s="1004">
        <f t="shared" si="60"/>
        <v>1</v>
      </c>
      <c r="P326" s="1014"/>
      <c r="Q326" s="1004">
        <f t="shared" si="61"/>
        <v>0</v>
      </c>
      <c r="R326" s="1064">
        <f t="shared" si="62"/>
        <v>0</v>
      </c>
      <c r="S326" s="1003">
        <f t="shared" si="64"/>
        <v>0</v>
      </c>
    </row>
    <row r="327" spans="1:19">
      <c r="A327" s="1012"/>
      <c r="B327" s="1013"/>
      <c r="C327" s="1004">
        <f t="shared" si="54"/>
        <v>1</v>
      </c>
      <c r="D327" s="1014"/>
      <c r="E327" s="1004">
        <f t="shared" si="55"/>
        <v>1</v>
      </c>
      <c r="F327" s="1014"/>
      <c r="G327" s="1004">
        <f t="shared" si="56"/>
        <v>1</v>
      </c>
      <c r="H327" s="1014"/>
      <c r="I327" s="1004">
        <f t="shared" si="57"/>
        <v>1</v>
      </c>
      <c r="J327" s="1014"/>
      <c r="K327" s="1004">
        <f t="shared" si="58"/>
        <v>1</v>
      </c>
      <c r="L327" s="1014"/>
      <c r="M327" s="1004">
        <f t="shared" si="59"/>
        <v>1</v>
      </c>
      <c r="N327" s="1014"/>
      <c r="O327" s="1004">
        <f t="shared" si="60"/>
        <v>1</v>
      </c>
      <c r="P327" s="1014"/>
      <c r="Q327" s="1004">
        <f t="shared" si="61"/>
        <v>0</v>
      </c>
      <c r="R327" s="1064">
        <f t="shared" si="62"/>
        <v>0</v>
      </c>
      <c r="S327" s="1003">
        <f t="shared" si="64"/>
        <v>0</v>
      </c>
    </row>
    <row r="328" spans="1:19">
      <c r="A328" s="1012"/>
      <c r="B328" s="1013"/>
      <c r="C328" s="1004">
        <f t="shared" si="54"/>
        <v>1</v>
      </c>
      <c r="D328" s="1014"/>
      <c r="E328" s="1004">
        <f t="shared" si="55"/>
        <v>1</v>
      </c>
      <c r="F328" s="1014"/>
      <c r="G328" s="1004">
        <f t="shared" si="56"/>
        <v>1</v>
      </c>
      <c r="H328" s="1014"/>
      <c r="I328" s="1004">
        <f t="shared" si="57"/>
        <v>1</v>
      </c>
      <c r="J328" s="1014"/>
      <c r="K328" s="1004">
        <f t="shared" si="58"/>
        <v>1</v>
      </c>
      <c r="L328" s="1014"/>
      <c r="M328" s="1004">
        <f t="shared" si="59"/>
        <v>1</v>
      </c>
      <c r="N328" s="1014"/>
      <c r="O328" s="1004">
        <f t="shared" si="60"/>
        <v>1</v>
      </c>
      <c r="P328" s="1014"/>
      <c r="Q328" s="1004">
        <f t="shared" si="61"/>
        <v>0</v>
      </c>
      <c r="R328" s="1064">
        <f t="shared" si="62"/>
        <v>0</v>
      </c>
      <c r="S328" s="1003">
        <f t="shared" si="64"/>
        <v>0</v>
      </c>
    </row>
    <row r="329" spans="1:19">
      <c r="A329" s="1012"/>
      <c r="B329" s="1013"/>
      <c r="C329" s="1004">
        <f t="shared" si="54"/>
        <v>1</v>
      </c>
      <c r="D329" s="1014"/>
      <c r="E329" s="1004">
        <f t="shared" si="55"/>
        <v>1</v>
      </c>
      <c r="F329" s="1014"/>
      <c r="G329" s="1004">
        <f t="shared" si="56"/>
        <v>1</v>
      </c>
      <c r="H329" s="1014"/>
      <c r="I329" s="1004">
        <f t="shared" si="57"/>
        <v>1</v>
      </c>
      <c r="J329" s="1014"/>
      <c r="K329" s="1004">
        <f t="shared" si="58"/>
        <v>1</v>
      </c>
      <c r="L329" s="1014"/>
      <c r="M329" s="1004">
        <f t="shared" si="59"/>
        <v>1</v>
      </c>
      <c r="N329" s="1014"/>
      <c r="O329" s="1004">
        <f t="shared" si="60"/>
        <v>1</v>
      </c>
      <c r="P329" s="1014"/>
      <c r="Q329" s="1004">
        <f t="shared" si="61"/>
        <v>0</v>
      </c>
      <c r="R329" s="1064">
        <f t="shared" si="62"/>
        <v>0</v>
      </c>
      <c r="S329" s="1003">
        <f t="shared" si="64"/>
        <v>0</v>
      </c>
    </row>
    <row r="330" spans="1:19">
      <c r="A330" s="1012"/>
      <c r="B330" s="1013"/>
      <c r="C330" s="1004">
        <f t="shared" si="54"/>
        <v>1</v>
      </c>
      <c r="D330" s="1014"/>
      <c r="E330" s="1004">
        <f t="shared" si="55"/>
        <v>1</v>
      </c>
      <c r="F330" s="1014"/>
      <c r="G330" s="1004">
        <f t="shared" si="56"/>
        <v>1</v>
      </c>
      <c r="H330" s="1014"/>
      <c r="I330" s="1004">
        <f t="shared" si="57"/>
        <v>1</v>
      </c>
      <c r="J330" s="1014"/>
      <c r="K330" s="1004">
        <f t="shared" si="58"/>
        <v>1</v>
      </c>
      <c r="L330" s="1014"/>
      <c r="M330" s="1004">
        <f t="shared" si="59"/>
        <v>1</v>
      </c>
      <c r="N330" s="1014"/>
      <c r="O330" s="1004">
        <f t="shared" si="60"/>
        <v>1</v>
      </c>
      <c r="P330" s="1014"/>
      <c r="Q330" s="1004">
        <f t="shared" si="61"/>
        <v>0</v>
      </c>
      <c r="R330" s="1064">
        <f t="shared" si="62"/>
        <v>0</v>
      </c>
      <c r="S330" s="1003">
        <f t="shared" si="64"/>
        <v>0</v>
      </c>
    </row>
    <row r="331" spans="1:19">
      <c r="A331" s="1012"/>
      <c r="B331" s="1013"/>
      <c r="C331" s="1004">
        <f t="shared" si="54"/>
        <v>1</v>
      </c>
      <c r="D331" s="1014"/>
      <c r="E331" s="1004">
        <f t="shared" si="55"/>
        <v>1</v>
      </c>
      <c r="F331" s="1014"/>
      <c r="G331" s="1004">
        <f t="shared" si="56"/>
        <v>1</v>
      </c>
      <c r="H331" s="1014"/>
      <c r="I331" s="1004">
        <f t="shared" si="57"/>
        <v>1</v>
      </c>
      <c r="J331" s="1014"/>
      <c r="K331" s="1004">
        <f t="shared" si="58"/>
        <v>1</v>
      </c>
      <c r="L331" s="1014"/>
      <c r="M331" s="1004">
        <f t="shared" si="59"/>
        <v>1</v>
      </c>
      <c r="N331" s="1014"/>
      <c r="O331" s="1004">
        <f t="shared" si="60"/>
        <v>1</v>
      </c>
      <c r="P331" s="1014"/>
      <c r="Q331" s="1004">
        <f t="shared" si="61"/>
        <v>0</v>
      </c>
      <c r="R331" s="1064">
        <f t="shared" si="62"/>
        <v>0</v>
      </c>
      <c r="S331" s="1003">
        <f t="shared" si="64"/>
        <v>0</v>
      </c>
    </row>
    <row r="332" spans="1:19">
      <c r="A332" s="1012"/>
      <c r="B332" s="1013"/>
      <c r="C332" s="1004">
        <f t="shared" si="54"/>
        <v>1</v>
      </c>
      <c r="D332" s="1014"/>
      <c r="E332" s="1004">
        <f t="shared" si="55"/>
        <v>1</v>
      </c>
      <c r="F332" s="1014"/>
      <c r="G332" s="1004">
        <f t="shared" si="56"/>
        <v>1</v>
      </c>
      <c r="H332" s="1014"/>
      <c r="I332" s="1004">
        <f t="shared" si="57"/>
        <v>1</v>
      </c>
      <c r="J332" s="1014"/>
      <c r="K332" s="1004">
        <f t="shared" si="58"/>
        <v>1</v>
      </c>
      <c r="L332" s="1014"/>
      <c r="M332" s="1004">
        <f t="shared" si="59"/>
        <v>1</v>
      </c>
      <c r="N332" s="1014"/>
      <c r="O332" s="1004">
        <f t="shared" si="60"/>
        <v>1</v>
      </c>
      <c r="P332" s="1014"/>
      <c r="Q332" s="1004">
        <f t="shared" si="61"/>
        <v>0</v>
      </c>
      <c r="R332" s="1064">
        <f t="shared" si="62"/>
        <v>0</v>
      </c>
      <c r="S332" s="1003">
        <f t="shared" si="64"/>
        <v>0</v>
      </c>
    </row>
    <row r="333" spans="1:19">
      <c r="A333" s="1012"/>
      <c r="B333" s="1013"/>
      <c r="C333" s="1004">
        <f t="shared" si="54"/>
        <v>1</v>
      </c>
      <c r="D333" s="1014"/>
      <c r="E333" s="1004">
        <f t="shared" si="55"/>
        <v>1</v>
      </c>
      <c r="F333" s="1014"/>
      <c r="G333" s="1004">
        <f t="shared" si="56"/>
        <v>1</v>
      </c>
      <c r="H333" s="1014"/>
      <c r="I333" s="1004">
        <f t="shared" si="57"/>
        <v>1</v>
      </c>
      <c r="J333" s="1014"/>
      <c r="K333" s="1004">
        <f t="shared" si="58"/>
        <v>1</v>
      </c>
      <c r="L333" s="1014"/>
      <c r="M333" s="1004">
        <f t="shared" si="59"/>
        <v>1</v>
      </c>
      <c r="N333" s="1014"/>
      <c r="O333" s="1004">
        <f t="shared" si="60"/>
        <v>1</v>
      </c>
      <c r="P333" s="1014"/>
      <c r="Q333" s="1004">
        <f t="shared" si="61"/>
        <v>0</v>
      </c>
      <c r="R333" s="1064">
        <f t="shared" si="62"/>
        <v>0</v>
      </c>
      <c r="S333" s="1003">
        <f t="shared" si="64"/>
        <v>0</v>
      </c>
    </row>
    <row r="334" spans="1:19">
      <c r="A334" s="1012"/>
      <c r="B334" s="1013"/>
      <c r="C334" s="1004">
        <f t="shared" si="54"/>
        <v>1</v>
      </c>
      <c r="D334" s="1014"/>
      <c r="E334" s="1004">
        <f t="shared" si="55"/>
        <v>1</v>
      </c>
      <c r="F334" s="1014"/>
      <c r="G334" s="1004">
        <f t="shared" si="56"/>
        <v>1</v>
      </c>
      <c r="H334" s="1014"/>
      <c r="I334" s="1004">
        <f t="shared" si="57"/>
        <v>1</v>
      </c>
      <c r="J334" s="1014"/>
      <c r="K334" s="1004">
        <f t="shared" si="58"/>
        <v>1</v>
      </c>
      <c r="L334" s="1014"/>
      <c r="M334" s="1004">
        <f t="shared" si="59"/>
        <v>1</v>
      </c>
      <c r="N334" s="1014"/>
      <c r="O334" s="1004">
        <f t="shared" si="60"/>
        <v>1</v>
      </c>
      <c r="P334" s="1014"/>
      <c r="Q334" s="1004">
        <f t="shared" si="61"/>
        <v>0</v>
      </c>
      <c r="R334" s="1064">
        <f t="shared" si="62"/>
        <v>0</v>
      </c>
      <c r="S334" s="1003">
        <f t="shared" si="64"/>
        <v>0</v>
      </c>
    </row>
    <row r="335" spans="1:19">
      <c r="A335" s="1012"/>
      <c r="B335" s="1013"/>
      <c r="C335" s="1004">
        <f t="shared" si="54"/>
        <v>1</v>
      </c>
      <c r="D335" s="1014"/>
      <c r="E335" s="1004">
        <f t="shared" si="55"/>
        <v>1</v>
      </c>
      <c r="F335" s="1014"/>
      <c r="G335" s="1004">
        <f t="shared" si="56"/>
        <v>1</v>
      </c>
      <c r="H335" s="1014"/>
      <c r="I335" s="1004">
        <f t="shared" si="57"/>
        <v>1</v>
      </c>
      <c r="J335" s="1014"/>
      <c r="K335" s="1004">
        <f t="shared" si="58"/>
        <v>1</v>
      </c>
      <c r="L335" s="1014"/>
      <c r="M335" s="1004">
        <f t="shared" si="59"/>
        <v>1</v>
      </c>
      <c r="N335" s="1014"/>
      <c r="O335" s="1004">
        <f t="shared" si="60"/>
        <v>1</v>
      </c>
      <c r="P335" s="1014"/>
      <c r="Q335" s="1004">
        <f t="shared" si="61"/>
        <v>0</v>
      </c>
      <c r="R335" s="1064">
        <f t="shared" si="62"/>
        <v>0</v>
      </c>
      <c r="S335" s="1003">
        <f t="shared" si="64"/>
        <v>0</v>
      </c>
    </row>
    <row r="336" spans="1:19">
      <c r="A336" s="1012"/>
      <c r="B336" s="1013"/>
      <c r="C336" s="1004">
        <f t="shared" si="54"/>
        <v>1</v>
      </c>
      <c r="D336" s="1014"/>
      <c r="E336" s="1004">
        <f t="shared" si="55"/>
        <v>1</v>
      </c>
      <c r="F336" s="1014"/>
      <c r="G336" s="1004">
        <f t="shared" si="56"/>
        <v>1</v>
      </c>
      <c r="H336" s="1014"/>
      <c r="I336" s="1004">
        <f t="shared" si="57"/>
        <v>1</v>
      </c>
      <c r="J336" s="1014"/>
      <c r="K336" s="1004">
        <f t="shared" si="58"/>
        <v>1</v>
      </c>
      <c r="L336" s="1014"/>
      <c r="M336" s="1004">
        <f t="shared" si="59"/>
        <v>1</v>
      </c>
      <c r="N336" s="1014"/>
      <c r="O336" s="1004">
        <f t="shared" si="60"/>
        <v>1</v>
      </c>
      <c r="P336" s="1014"/>
      <c r="Q336" s="1004">
        <f t="shared" si="61"/>
        <v>0</v>
      </c>
      <c r="R336" s="1064">
        <f t="shared" si="62"/>
        <v>0</v>
      </c>
      <c r="S336" s="1003">
        <f t="shared" si="64"/>
        <v>0</v>
      </c>
    </row>
    <row r="337" spans="1:19">
      <c r="A337" s="1012"/>
      <c r="B337" s="1013"/>
      <c r="C337" s="1004">
        <f t="shared" si="54"/>
        <v>1</v>
      </c>
      <c r="D337" s="1014"/>
      <c r="E337" s="1004">
        <f t="shared" si="55"/>
        <v>1</v>
      </c>
      <c r="F337" s="1014"/>
      <c r="G337" s="1004">
        <f t="shared" si="56"/>
        <v>1</v>
      </c>
      <c r="H337" s="1014"/>
      <c r="I337" s="1004">
        <f t="shared" si="57"/>
        <v>1</v>
      </c>
      <c r="J337" s="1014"/>
      <c r="K337" s="1004">
        <f t="shared" si="58"/>
        <v>1</v>
      </c>
      <c r="L337" s="1014"/>
      <c r="M337" s="1004">
        <f t="shared" si="59"/>
        <v>1</v>
      </c>
      <c r="N337" s="1014"/>
      <c r="O337" s="1004">
        <f t="shared" si="60"/>
        <v>1</v>
      </c>
      <c r="P337" s="1014"/>
      <c r="Q337" s="1004">
        <f t="shared" si="61"/>
        <v>0</v>
      </c>
      <c r="R337" s="1064">
        <f t="shared" si="62"/>
        <v>0</v>
      </c>
      <c r="S337" s="1003">
        <f t="shared" si="64"/>
        <v>0</v>
      </c>
    </row>
    <row r="338" spans="1:19">
      <c r="A338" s="1012"/>
      <c r="B338" s="1013"/>
      <c r="C338" s="1004">
        <f t="shared" si="54"/>
        <v>1</v>
      </c>
      <c r="D338" s="1014"/>
      <c r="E338" s="1004">
        <f t="shared" si="55"/>
        <v>1</v>
      </c>
      <c r="F338" s="1014"/>
      <c r="G338" s="1004">
        <f t="shared" si="56"/>
        <v>1</v>
      </c>
      <c r="H338" s="1014"/>
      <c r="I338" s="1004">
        <f t="shared" si="57"/>
        <v>1</v>
      </c>
      <c r="J338" s="1014"/>
      <c r="K338" s="1004">
        <f t="shared" si="58"/>
        <v>1</v>
      </c>
      <c r="L338" s="1014"/>
      <c r="M338" s="1004">
        <f t="shared" si="59"/>
        <v>1</v>
      </c>
      <c r="N338" s="1014"/>
      <c r="O338" s="1004">
        <f t="shared" si="60"/>
        <v>1</v>
      </c>
      <c r="P338" s="1014"/>
      <c r="Q338" s="1004">
        <f t="shared" si="61"/>
        <v>0</v>
      </c>
      <c r="R338" s="1064">
        <f t="shared" si="62"/>
        <v>0</v>
      </c>
      <c r="S338" s="1003">
        <f t="shared" si="64"/>
        <v>0</v>
      </c>
    </row>
    <row r="339" spans="1:19">
      <c r="A339" s="1012"/>
      <c r="B339" s="1013"/>
      <c r="C339" s="1004">
        <f t="shared" si="54"/>
        <v>1</v>
      </c>
      <c r="D339" s="1014"/>
      <c r="E339" s="1004">
        <f t="shared" si="55"/>
        <v>1</v>
      </c>
      <c r="F339" s="1014"/>
      <c r="G339" s="1004">
        <f t="shared" si="56"/>
        <v>1</v>
      </c>
      <c r="H339" s="1014"/>
      <c r="I339" s="1004">
        <f t="shared" si="57"/>
        <v>1</v>
      </c>
      <c r="J339" s="1014"/>
      <c r="K339" s="1004">
        <f t="shared" si="58"/>
        <v>1</v>
      </c>
      <c r="L339" s="1014"/>
      <c r="M339" s="1004">
        <f t="shared" si="59"/>
        <v>1</v>
      </c>
      <c r="N339" s="1014"/>
      <c r="O339" s="1004">
        <f t="shared" si="60"/>
        <v>1</v>
      </c>
      <c r="P339" s="1014"/>
      <c r="Q339" s="1004">
        <f t="shared" si="61"/>
        <v>0</v>
      </c>
      <c r="R339" s="1064">
        <f t="shared" si="62"/>
        <v>0</v>
      </c>
      <c r="S339" s="1003">
        <f t="shared" si="64"/>
        <v>0</v>
      </c>
    </row>
    <row r="340" spans="1:19">
      <c r="A340" s="1012"/>
      <c r="B340" s="1013"/>
      <c r="C340" s="1004">
        <f t="shared" si="54"/>
        <v>1</v>
      </c>
      <c r="D340" s="1014"/>
      <c r="E340" s="1004">
        <f t="shared" si="55"/>
        <v>1</v>
      </c>
      <c r="F340" s="1014"/>
      <c r="G340" s="1004">
        <f t="shared" si="56"/>
        <v>1</v>
      </c>
      <c r="H340" s="1014"/>
      <c r="I340" s="1004">
        <f t="shared" si="57"/>
        <v>1</v>
      </c>
      <c r="J340" s="1014"/>
      <c r="K340" s="1004">
        <f t="shared" si="58"/>
        <v>1</v>
      </c>
      <c r="L340" s="1014"/>
      <c r="M340" s="1004">
        <f t="shared" si="59"/>
        <v>1</v>
      </c>
      <c r="N340" s="1014"/>
      <c r="O340" s="1004">
        <f t="shared" si="60"/>
        <v>1</v>
      </c>
      <c r="P340" s="1014"/>
      <c r="Q340" s="1004">
        <f t="shared" si="61"/>
        <v>0</v>
      </c>
      <c r="R340" s="1064">
        <f t="shared" si="62"/>
        <v>0</v>
      </c>
      <c r="S340" s="1003">
        <f t="shared" si="64"/>
        <v>0</v>
      </c>
    </row>
    <row r="341" spans="1:19">
      <c r="A341" s="1012"/>
      <c r="B341" s="1013"/>
      <c r="C341" s="1004">
        <f t="shared" si="54"/>
        <v>1</v>
      </c>
      <c r="D341" s="1014"/>
      <c r="E341" s="1004">
        <f t="shared" si="55"/>
        <v>1</v>
      </c>
      <c r="F341" s="1014"/>
      <c r="G341" s="1004">
        <f t="shared" si="56"/>
        <v>1</v>
      </c>
      <c r="H341" s="1014"/>
      <c r="I341" s="1004">
        <f t="shared" si="57"/>
        <v>1</v>
      </c>
      <c r="J341" s="1014"/>
      <c r="K341" s="1004">
        <f t="shared" si="58"/>
        <v>1</v>
      </c>
      <c r="L341" s="1014"/>
      <c r="M341" s="1004">
        <f t="shared" si="59"/>
        <v>1</v>
      </c>
      <c r="N341" s="1014"/>
      <c r="O341" s="1004">
        <f t="shared" si="60"/>
        <v>1</v>
      </c>
      <c r="P341" s="1014"/>
      <c r="Q341" s="1004">
        <f t="shared" si="61"/>
        <v>0</v>
      </c>
      <c r="R341" s="1064">
        <f t="shared" si="62"/>
        <v>0</v>
      </c>
      <c r="S341" s="1003">
        <f t="shared" si="64"/>
        <v>0</v>
      </c>
    </row>
    <row r="342" spans="1:19">
      <c r="A342" s="1012"/>
      <c r="B342" s="1013"/>
      <c r="C342" s="1004">
        <f t="shared" si="54"/>
        <v>1</v>
      </c>
      <c r="D342" s="1014"/>
      <c r="E342" s="1004">
        <f t="shared" si="55"/>
        <v>1</v>
      </c>
      <c r="F342" s="1014"/>
      <c r="G342" s="1004">
        <f t="shared" si="56"/>
        <v>1</v>
      </c>
      <c r="H342" s="1014"/>
      <c r="I342" s="1004">
        <f t="shared" si="57"/>
        <v>1</v>
      </c>
      <c r="J342" s="1014"/>
      <c r="K342" s="1004">
        <f t="shared" si="58"/>
        <v>1</v>
      </c>
      <c r="L342" s="1014"/>
      <c r="M342" s="1004">
        <f t="shared" si="59"/>
        <v>1</v>
      </c>
      <c r="N342" s="1014"/>
      <c r="O342" s="1004">
        <f t="shared" si="60"/>
        <v>1</v>
      </c>
      <c r="P342" s="1014"/>
      <c r="Q342" s="1004">
        <f t="shared" si="61"/>
        <v>0</v>
      </c>
      <c r="R342" s="1064">
        <f t="shared" si="62"/>
        <v>0</v>
      </c>
      <c r="S342" s="1003">
        <f t="shared" si="64"/>
        <v>0</v>
      </c>
    </row>
    <row r="343" spans="1:19">
      <c r="A343" s="1012"/>
      <c r="B343" s="1013"/>
      <c r="C343" s="1004">
        <f t="shared" si="54"/>
        <v>1</v>
      </c>
      <c r="D343" s="1014"/>
      <c r="E343" s="1004">
        <f t="shared" si="55"/>
        <v>1</v>
      </c>
      <c r="F343" s="1014"/>
      <c r="G343" s="1004">
        <f t="shared" si="56"/>
        <v>1</v>
      </c>
      <c r="H343" s="1014"/>
      <c r="I343" s="1004">
        <f t="shared" si="57"/>
        <v>1</v>
      </c>
      <c r="J343" s="1014"/>
      <c r="K343" s="1004">
        <f t="shared" si="58"/>
        <v>1</v>
      </c>
      <c r="L343" s="1014"/>
      <c r="M343" s="1004">
        <f t="shared" si="59"/>
        <v>1</v>
      </c>
      <c r="N343" s="1014"/>
      <c r="O343" s="1004">
        <f t="shared" si="60"/>
        <v>1</v>
      </c>
      <c r="P343" s="1014"/>
      <c r="Q343" s="1004">
        <f t="shared" si="61"/>
        <v>0</v>
      </c>
      <c r="R343" s="1064">
        <f t="shared" si="62"/>
        <v>0</v>
      </c>
      <c r="S343" s="1003">
        <f t="shared" si="64"/>
        <v>0</v>
      </c>
    </row>
    <row r="344" spans="1:19">
      <c r="A344" s="1012"/>
      <c r="B344" s="1013"/>
      <c r="C344" s="1004">
        <f t="shared" si="54"/>
        <v>1</v>
      </c>
      <c r="D344" s="1014"/>
      <c r="E344" s="1004">
        <f t="shared" si="55"/>
        <v>1</v>
      </c>
      <c r="F344" s="1014"/>
      <c r="G344" s="1004">
        <f t="shared" si="56"/>
        <v>1</v>
      </c>
      <c r="H344" s="1014"/>
      <c r="I344" s="1004">
        <f t="shared" si="57"/>
        <v>1</v>
      </c>
      <c r="J344" s="1014"/>
      <c r="K344" s="1004">
        <f t="shared" si="58"/>
        <v>1</v>
      </c>
      <c r="L344" s="1014"/>
      <c r="M344" s="1004">
        <f t="shared" si="59"/>
        <v>1</v>
      </c>
      <c r="N344" s="1014"/>
      <c r="O344" s="1004">
        <f t="shared" si="60"/>
        <v>1</v>
      </c>
      <c r="P344" s="1014"/>
      <c r="Q344" s="1004">
        <f t="shared" si="61"/>
        <v>0</v>
      </c>
      <c r="R344" s="1064">
        <f t="shared" si="62"/>
        <v>0</v>
      </c>
      <c r="S344" s="1003">
        <f t="shared" si="64"/>
        <v>0</v>
      </c>
    </row>
    <row r="345" spans="1:19">
      <c r="A345" s="1012"/>
      <c r="B345" s="1013"/>
      <c r="C345" s="1004">
        <f t="shared" si="54"/>
        <v>1</v>
      </c>
      <c r="D345" s="1014"/>
      <c r="E345" s="1004">
        <f t="shared" si="55"/>
        <v>1</v>
      </c>
      <c r="F345" s="1014"/>
      <c r="G345" s="1004">
        <f t="shared" si="56"/>
        <v>1</v>
      </c>
      <c r="H345" s="1014"/>
      <c r="I345" s="1004">
        <f t="shared" si="57"/>
        <v>1</v>
      </c>
      <c r="J345" s="1014"/>
      <c r="K345" s="1004">
        <f t="shared" si="58"/>
        <v>1</v>
      </c>
      <c r="L345" s="1014"/>
      <c r="M345" s="1004">
        <f t="shared" si="59"/>
        <v>1</v>
      </c>
      <c r="N345" s="1014"/>
      <c r="O345" s="1004">
        <f t="shared" si="60"/>
        <v>1</v>
      </c>
      <c r="P345" s="1014"/>
      <c r="Q345" s="1004">
        <f t="shared" si="61"/>
        <v>0</v>
      </c>
      <c r="R345" s="1064">
        <f t="shared" si="62"/>
        <v>0</v>
      </c>
      <c r="S345" s="1003">
        <f t="shared" si="64"/>
        <v>0</v>
      </c>
    </row>
    <row r="346" spans="1:19">
      <c r="A346" s="1012"/>
      <c r="B346" s="1013"/>
      <c r="C346" s="1004">
        <f t="shared" ref="C346:C409" si="65">IF(B346="",1,(LOOKUP(B346,$3:$3,$4:$4)-LOOKUP($B$24,$3:$3,$4:$4)+100)/100)</f>
        <v>1</v>
      </c>
      <c r="D346" s="1014"/>
      <c r="E346" s="1004">
        <f t="shared" ref="E346:E409" si="66">(SUMIF($5:$5,D346,$6:$6)-SUMIF($5:$5,$D$24,$6:$6)+100)/100</f>
        <v>1</v>
      </c>
      <c r="F346" s="1014"/>
      <c r="G346" s="1004">
        <f t="shared" ref="G346:G409" si="67">(SUMIF($7:$7,F346,$8:$8)-SUMIF($7:$7,$F$24,$8:$8)+100)/100</f>
        <v>1</v>
      </c>
      <c r="H346" s="1014"/>
      <c r="I346" s="1004">
        <f t="shared" ref="I346:I409" si="68">(SUMIF($9:$9,H346,$10:$10)-SUMIF($9:$9,$H$24,$10:$10)+100)/100</f>
        <v>1</v>
      </c>
      <c r="J346" s="1014"/>
      <c r="K346" s="1004">
        <f t="shared" ref="K346:K409" si="69">(SUMIF($11:$11,J346,$12:$12)-SUMIF($11:$11,$J$24,$12:$12)+100)/100</f>
        <v>1</v>
      </c>
      <c r="L346" s="1014"/>
      <c r="M346" s="1004">
        <f t="shared" ref="M346:M409" si="70">(SUMIF($13:$13,L346,$14:$14)-SUMIF($13:$13,$L$24,$14:$14)+100)/100</f>
        <v>1</v>
      </c>
      <c r="N346" s="1014"/>
      <c r="O346" s="1004">
        <f t="shared" ref="O346:O409" si="71">(SUMIF($15:$15,N346,$16:$16)-SUMIF($15:$15,$N$24,$16:$16)+100)/100</f>
        <v>1</v>
      </c>
      <c r="P346" s="1014"/>
      <c r="Q346" s="1004">
        <f t="shared" ref="Q346:Q409" si="72">(SUMIF($17:$17,P346,$18:$18)-SUMIF($17:$17,$P$24,$18:$18)+100)/100</f>
        <v>0</v>
      </c>
      <c r="R346" s="1064">
        <f t="shared" ref="R346:R409" si="73">IF(B346="",0,ROUND($R$24*C346*E346*G346*I346*K346*M346*O346*Q346,0))</f>
        <v>0</v>
      </c>
      <c r="S346" s="1003">
        <f t="shared" si="64"/>
        <v>0</v>
      </c>
    </row>
    <row r="347" spans="1:19">
      <c r="A347" s="1012"/>
      <c r="B347" s="1013"/>
      <c r="C347" s="1004">
        <f t="shared" si="65"/>
        <v>1</v>
      </c>
      <c r="D347" s="1014"/>
      <c r="E347" s="1004">
        <f t="shared" si="66"/>
        <v>1</v>
      </c>
      <c r="F347" s="1014"/>
      <c r="G347" s="1004">
        <f t="shared" si="67"/>
        <v>1</v>
      </c>
      <c r="H347" s="1014"/>
      <c r="I347" s="1004">
        <f t="shared" si="68"/>
        <v>1</v>
      </c>
      <c r="J347" s="1014"/>
      <c r="K347" s="1004">
        <f t="shared" si="69"/>
        <v>1</v>
      </c>
      <c r="L347" s="1014"/>
      <c r="M347" s="1004">
        <f t="shared" si="70"/>
        <v>1</v>
      </c>
      <c r="N347" s="1014"/>
      <c r="O347" s="1004">
        <f t="shared" si="71"/>
        <v>1</v>
      </c>
      <c r="P347" s="1014"/>
      <c r="Q347" s="1004">
        <f t="shared" si="72"/>
        <v>0</v>
      </c>
      <c r="R347" s="1064">
        <f t="shared" si="73"/>
        <v>0</v>
      </c>
      <c r="S347" s="1003">
        <f t="shared" si="64"/>
        <v>0</v>
      </c>
    </row>
    <row r="348" spans="1:19">
      <c r="A348" s="1012"/>
      <c r="B348" s="1013"/>
      <c r="C348" s="1004">
        <f t="shared" si="65"/>
        <v>1</v>
      </c>
      <c r="D348" s="1014"/>
      <c r="E348" s="1004">
        <f t="shared" si="66"/>
        <v>1</v>
      </c>
      <c r="F348" s="1014"/>
      <c r="G348" s="1004">
        <f t="shared" si="67"/>
        <v>1</v>
      </c>
      <c r="H348" s="1014"/>
      <c r="I348" s="1004">
        <f t="shared" si="68"/>
        <v>1</v>
      </c>
      <c r="J348" s="1014"/>
      <c r="K348" s="1004">
        <f t="shared" si="69"/>
        <v>1</v>
      </c>
      <c r="L348" s="1014"/>
      <c r="M348" s="1004">
        <f t="shared" si="70"/>
        <v>1</v>
      </c>
      <c r="N348" s="1014"/>
      <c r="O348" s="1004">
        <f t="shared" si="71"/>
        <v>1</v>
      </c>
      <c r="P348" s="1014"/>
      <c r="Q348" s="1004">
        <f t="shared" si="72"/>
        <v>0</v>
      </c>
      <c r="R348" s="1064">
        <f t="shared" si="73"/>
        <v>0</v>
      </c>
      <c r="S348" s="1003">
        <f t="shared" si="64"/>
        <v>0</v>
      </c>
    </row>
    <row r="349" spans="1:19">
      <c r="A349" s="1012"/>
      <c r="B349" s="1013"/>
      <c r="C349" s="1004">
        <f t="shared" si="65"/>
        <v>1</v>
      </c>
      <c r="D349" s="1014"/>
      <c r="E349" s="1004">
        <f t="shared" si="66"/>
        <v>1</v>
      </c>
      <c r="F349" s="1014"/>
      <c r="G349" s="1004">
        <f t="shared" si="67"/>
        <v>1</v>
      </c>
      <c r="H349" s="1014"/>
      <c r="I349" s="1004">
        <f t="shared" si="68"/>
        <v>1</v>
      </c>
      <c r="J349" s="1014"/>
      <c r="K349" s="1004">
        <f t="shared" si="69"/>
        <v>1</v>
      </c>
      <c r="L349" s="1014"/>
      <c r="M349" s="1004">
        <f t="shared" si="70"/>
        <v>1</v>
      </c>
      <c r="N349" s="1014"/>
      <c r="O349" s="1004">
        <f t="shared" si="71"/>
        <v>1</v>
      </c>
      <c r="P349" s="1014"/>
      <c r="Q349" s="1004">
        <f t="shared" si="72"/>
        <v>0</v>
      </c>
      <c r="R349" s="1064">
        <f t="shared" si="73"/>
        <v>0</v>
      </c>
      <c r="S349" s="1003">
        <f t="shared" si="64"/>
        <v>0</v>
      </c>
    </row>
    <row r="350" spans="1:19">
      <c r="A350" s="1012"/>
      <c r="B350" s="1013"/>
      <c r="C350" s="1004">
        <f t="shared" si="65"/>
        <v>1</v>
      </c>
      <c r="D350" s="1014"/>
      <c r="E350" s="1004">
        <f t="shared" si="66"/>
        <v>1</v>
      </c>
      <c r="F350" s="1014"/>
      <c r="G350" s="1004">
        <f t="shared" si="67"/>
        <v>1</v>
      </c>
      <c r="H350" s="1014"/>
      <c r="I350" s="1004">
        <f t="shared" si="68"/>
        <v>1</v>
      </c>
      <c r="J350" s="1014"/>
      <c r="K350" s="1004">
        <f t="shared" si="69"/>
        <v>1</v>
      </c>
      <c r="L350" s="1014"/>
      <c r="M350" s="1004">
        <f t="shared" si="70"/>
        <v>1</v>
      </c>
      <c r="N350" s="1014"/>
      <c r="O350" s="1004">
        <f t="shared" si="71"/>
        <v>1</v>
      </c>
      <c r="P350" s="1014"/>
      <c r="Q350" s="1004">
        <f t="shared" si="72"/>
        <v>0</v>
      </c>
      <c r="R350" s="1064">
        <f t="shared" si="73"/>
        <v>0</v>
      </c>
      <c r="S350" s="1003">
        <f t="shared" si="64"/>
        <v>0</v>
      </c>
    </row>
    <row r="351" spans="1:19">
      <c r="A351" s="1012"/>
      <c r="B351" s="1013"/>
      <c r="C351" s="1004">
        <f t="shared" si="65"/>
        <v>1</v>
      </c>
      <c r="D351" s="1014"/>
      <c r="E351" s="1004">
        <f t="shared" si="66"/>
        <v>1</v>
      </c>
      <c r="F351" s="1014"/>
      <c r="G351" s="1004">
        <f t="shared" si="67"/>
        <v>1</v>
      </c>
      <c r="H351" s="1014"/>
      <c r="I351" s="1004">
        <f t="shared" si="68"/>
        <v>1</v>
      </c>
      <c r="J351" s="1014"/>
      <c r="K351" s="1004">
        <f t="shared" si="69"/>
        <v>1</v>
      </c>
      <c r="L351" s="1014"/>
      <c r="M351" s="1004">
        <f t="shared" si="70"/>
        <v>1</v>
      </c>
      <c r="N351" s="1014"/>
      <c r="O351" s="1004">
        <f t="shared" si="71"/>
        <v>1</v>
      </c>
      <c r="P351" s="1014"/>
      <c r="Q351" s="1004">
        <f t="shared" si="72"/>
        <v>0</v>
      </c>
      <c r="R351" s="1064">
        <f t="shared" si="73"/>
        <v>0</v>
      </c>
      <c r="S351" s="1003">
        <f t="shared" si="64"/>
        <v>0</v>
      </c>
    </row>
    <row r="352" spans="1:19">
      <c r="A352" s="1012"/>
      <c r="B352" s="1013"/>
      <c r="C352" s="1004">
        <f t="shared" si="65"/>
        <v>1</v>
      </c>
      <c r="D352" s="1014"/>
      <c r="E352" s="1004">
        <f t="shared" si="66"/>
        <v>1</v>
      </c>
      <c r="F352" s="1014"/>
      <c r="G352" s="1004">
        <f t="shared" si="67"/>
        <v>1</v>
      </c>
      <c r="H352" s="1014"/>
      <c r="I352" s="1004">
        <f t="shared" si="68"/>
        <v>1</v>
      </c>
      <c r="J352" s="1014"/>
      <c r="K352" s="1004">
        <f t="shared" si="69"/>
        <v>1</v>
      </c>
      <c r="L352" s="1014"/>
      <c r="M352" s="1004">
        <f t="shared" si="70"/>
        <v>1</v>
      </c>
      <c r="N352" s="1014"/>
      <c r="O352" s="1004">
        <f t="shared" si="71"/>
        <v>1</v>
      </c>
      <c r="P352" s="1014"/>
      <c r="Q352" s="1004">
        <f t="shared" si="72"/>
        <v>0</v>
      </c>
      <c r="R352" s="1064">
        <f t="shared" si="73"/>
        <v>0</v>
      </c>
      <c r="S352" s="1003">
        <f t="shared" si="64"/>
        <v>0</v>
      </c>
    </row>
    <row r="353" spans="1:19">
      <c r="A353" s="1012"/>
      <c r="B353" s="1013"/>
      <c r="C353" s="1004">
        <f t="shared" si="65"/>
        <v>1</v>
      </c>
      <c r="D353" s="1014"/>
      <c r="E353" s="1004">
        <f t="shared" si="66"/>
        <v>1</v>
      </c>
      <c r="F353" s="1014"/>
      <c r="G353" s="1004">
        <f t="shared" si="67"/>
        <v>1</v>
      </c>
      <c r="H353" s="1014"/>
      <c r="I353" s="1004">
        <f t="shared" si="68"/>
        <v>1</v>
      </c>
      <c r="J353" s="1014"/>
      <c r="K353" s="1004">
        <f t="shared" si="69"/>
        <v>1</v>
      </c>
      <c r="L353" s="1014"/>
      <c r="M353" s="1004">
        <f t="shared" si="70"/>
        <v>1</v>
      </c>
      <c r="N353" s="1014"/>
      <c r="O353" s="1004">
        <f t="shared" si="71"/>
        <v>1</v>
      </c>
      <c r="P353" s="1014"/>
      <c r="Q353" s="1004">
        <f t="shared" si="72"/>
        <v>0</v>
      </c>
      <c r="R353" s="1064">
        <f t="shared" si="73"/>
        <v>0</v>
      </c>
      <c r="S353" s="1003">
        <f t="shared" si="64"/>
        <v>0</v>
      </c>
    </row>
    <row r="354" spans="1:19">
      <c r="A354" s="1012"/>
      <c r="B354" s="1013"/>
      <c r="C354" s="1004">
        <f t="shared" si="65"/>
        <v>1</v>
      </c>
      <c r="D354" s="1014"/>
      <c r="E354" s="1004">
        <f t="shared" si="66"/>
        <v>1</v>
      </c>
      <c r="F354" s="1014"/>
      <c r="G354" s="1004">
        <f t="shared" si="67"/>
        <v>1</v>
      </c>
      <c r="H354" s="1014"/>
      <c r="I354" s="1004">
        <f t="shared" si="68"/>
        <v>1</v>
      </c>
      <c r="J354" s="1014"/>
      <c r="K354" s="1004">
        <f t="shared" si="69"/>
        <v>1</v>
      </c>
      <c r="L354" s="1014"/>
      <c r="M354" s="1004">
        <f t="shared" si="70"/>
        <v>1</v>
      </c>
      <c r="N354" s="1014"/>
      <c r="O354" s="1004">
        <f t="shared" si="71"/>
        <v>1</v>
      </c>
      <c r="P354" s="1014"/>
      <c r="Q354" s="1004">
        <f t="shared" si="72"/>
        <v>0</v>
      </c>
      <c r="R354" s="1064">
        <f t="shared" si="73"/>
        <v>0</v>
      </c>
      <c r="S354" s="1003">
        <f t="shared" si="64"/>
        <v>0</v>
      </c>
    </row>
    <row r="355" spans="1:19">
      <c r="A355" s="1012"/>
      <c r="B355" s="1013"/>
      <c r="C355" s="1004">
        <f t="shared" si="65"/>
        <v>1</v>
      </c>
      <c r="D355" s="1014"/>
      <c r="E355" s="1004">
        <f t="shared" si="66"/>
        <v>1</v>
      </c>
      <c r="F355" s="1014"/>
      <c r="G355" s="1004">
        <f t="shared" si="67"/>
        <v>1</v>
      </c>
      <c r="H355" s="1014"/>
      <c r="I355" s="1004">
        <f t="shared" si="68"/>
        <v>1</v>
      </c>
      <c r="J355" s="1014"/>
      <c r="K355" s="1004">
        <f t="shared" si="69"/>
        <v>1</v>
      </c>
      <c r="L355" s="1014"/>
      <c r="M355" s="1004">
        <f t="shared" si="70"/>
        <v>1</v>
      </c>
      <c r="N355" s="1014"/>
      <c r="O355" s="1004">
        <f t="shared" si="71"/>
        <v>1</v>
      </c>
      <c r="P355" s="1014"/>
      <c r="Q355" s="1004">
        <f t="shared" si="72"/>
        <v>0</v>
      </c>
      <c r="R355" s="1064">
        <f t="shared" si="73"/>
        <v>0</v>
      </c>
      <c r="S355" s="1003">
        <f t="shared" si="64"/>
        <v>0</v>
      </c>
    </row>
    <row r="356" spans="1:19">
      <c r="A356" s="1012"/>
      <c r="B356" s="1013"/>
      <c r="C356" s="1004">
        <f t="shared" si="65"/>
        <v>1</v>
      </c>
      <c r="D356" s="1014"/>
      <c r="E356" s="1004">
        <f t="shared" si="66"/>
        <v>1</v>
      </c>
      <c r="F356" s="1014"/>
      <c r="G356" s="1004">
        <f t="shared" si="67"/>
        <v>1</v>
      </c>
      <c r="H356" s="1014"/>
      <c r="I356" s="1004">
        <f t="shared" si="68"/>
        <v>1</v>
      </c>
      <c r="J356" s="1014"/>
      <c r="K356" s="1004">
        <f t="shared" si="69"/>
        <v>1</v>
      </c>
      <c r="L356" s="1014"/>
      <c r="M356" s="1004">
        <f t="shared" si="70"/>
        <v>1</v>
      </c>
      <c r="N356" s="1014"/>
      <c r="O356" s="1004">
        <f t="shared" si="71"/>
        <v>1</v>
      </c>
      <c r="P356" s="1014"/>
      <c r="Q356" s="1004">
        <f t="shared" si="72"/>
        <v>0</v>
      </c>
      <c r="R356" s="1064">
        <f t="shared" si="73"/>
        <v>0</v>
      </c>
      <c r="S356" s="1003">
        <f t="shared" si="64"/>
        <v>0</v>
      </c>
    </row>
    <row r="357" spans="1:19">
      <c r="A357" s="1012"/>
      <c r="B357" s="1013"/>
      <c r="C357" s="1004">
        <f t="shared" si="65"/>
        <v>1</v>
      </c>
      <c r="D357" s="1014"/>
      <c r="E357" s="1004">
        <f t="shared" si="66"/>
        <v>1</v>
      </c>
      <c r="F357" s="1014"/>
      <c r="G357" s="1004">
        <f t="shared" si="67"/>
        <v>1</v>
      </c>
      <c r="H357" s="1014"/>
      <c r="I357" s="1004">
        <f t="shared" si="68"/>
        <v>1</v>
      </c>
      <c r="J357" s="1014"/>
      <c r="K357" s="1004">
        <f t="shared" si="69"/>
        <v>1</v>
      </c>
      <c r="L357" s="1014"/>
      <c r="M357" s="1004">
        <f t="shared" si="70"/>
        <v>1</v>
      </c>
      <c r="N357" s="1014"/>
      <c r="O357" s="1004">
        <f t="shared" si="71"/>
        <v>1</v>
      </c>
      <c r="P357" s="1014"/>
      <c r="Q357" s="1004">
        <f t="shared" si="72"/>
        <v>0</v>
      </c>
      <c r="R357" s="1064">
        <f t="shared" si="73"/>
        <v>0</v>
      </c>
      <c r="S357" s="1003">
        <f t="shared" si="64"/>
        <v>0</v>
      </c>
    </row>
    <row r="358" spans="1:19">
      <c r="A358" s="1012"/>
      <c r="B358" s="1013"/>
      <c r="C358" s="1004">
        <f t="shared" si="65"/>
        <v>1</v>
      </c>
      <c r="D358" s="1014"/>
      <c r="E358" s="1004">
        <f t="shared" si="66"/>
        <v>1</v>
      </c>
      <c r="F358" s="1014"/>
      <c r="G358" s="1004">
        <f t="shared" si="67"/>
        <v>1</v>
      </c>
      <c r="H358" s="1014"/>
      <c r="I358" s="1004">
        <f t="shared" si="68"/>
        <v>1</v>
      </c>
      <c r="J358" s="1014"/>
      <c r="K358" s="1004">
        <f t="shared" si="69"/>
        <v>1</v>
      </c>
      <c r="L358" s="1014"/>
      <c r="M358" s="1004">
        <f t="shared" si="70"/>
        <v>1</v>
      </c>
      <c r="N358" s="1014"/>
      <c r="O358" s="1004">
        <f t="shared" si="71"/>
        <v>1</v>
      </c>
      <c r="P358" s="1014"/>
      <c r="Q358" s="1004">
        <f t="shared" si="72"/>
        <v>0</v>
      </c>
      <c r="R358" s="1064">
        <f t="shared" si="73"/>
        <v>0</v>
      </c>
      <c r="S358" s="1003">
        <f t="shared" si="64"/>
        <v>0</v>
      </c>
    </row>
    <row r="359" spans="1:19">
      <c r="A359" s="1012"/>
      <c r="B359" s="1013"/>
      <c r="C359" s="1004">
        <f t="shared" si="65"/>
        <v>1</v>
      </c>
      <c r="D359" s="1014"/>
      <c r="E359" s="1004">
        <f t="shared" si="66"/>
        <v>1</v>
      </c>
      <c r="F359" s="1014"/>
      <c r="G359" s="1004">
        <f t="shared" si="67"/>
        <v>1</v>
      </c>
      <c r="H359" s="1014"/>
      <c r="I359" s="1004">
        <f t="shared" si="68"/>
        <v>1</v>
      </c>
      <c r="J359" s="1014"/>
      <c r="K359" s="1004">
        <f t="shared" si="69"/>
        <v>1</v>
      </c>
      <c r="L359" s="1014"/>
      <c r="M359" s="1004">
        <f t="shared" si="70"/>
        <v>1</v>
      </c>
      <c r="N359" s="1014"/>
      <c r="O359" s="1004">
        <f t="shared" si="71"/>
        <v>1</v>
      </c>
      <c r="P359" s="1014"/>
      <c r="Q359" s="1004">
        <f t="shared" si="72"/>
        <v>0</v>
      </c>
      <c r="R359" s="1064">
        <f t="shared" si="73"/>
        <v>0</v>
      </c>
      <c r="S359" s="1003">
        <f t="shared" si="64"/>
        <v>0</v>
      </c>
    </row>
    <row r="360" spans="1:19">
      <c r="A360" s="1012"/>
      <c r="B360" s="1013"/>
      <c r="C360" s="1004">
        <f t="shared" si="65"/>
        <v>1</v>
      </c>
      <c r="D360" s="1014"/>
      <c r="E360" s="1004">
        <f t="shared" si="66"/>
        <v>1</v>
      </c>
      <c r="F360" s="1014"/>
      <c r="G360" s="1004">
        <f t="shared" si="67"/>
        <v>1</v>
      </c>
      <c r="H360" s="1014"/>
      <c r="I360" s="1004">
        <f t="shared" si="68"/>
        <v>1</v>
      </c>
      <c r="J360" s="1014"/>
      <c r="K360" s="1004">
        <f t="shared" si="69"/>
        <v>1</v>
      </c>
      <c r="L360" s="1014"/>
      <c r="M360" s="1004">
        <f t="shared" si="70"/>
        <v>1</v>
      </c>
      <c r="N360" s="1014"/>
      <c r="O360" s="1004">
        <f t="shared" si="71"/>
        <v>1</v>
      </c>
      <c r="P360" s="1014"/>
      <c r="Q360" s="1004">
        <f t="shared" si="72"/>
        <v>0</v>
      </c>
      <c r="R360" s="1064">
        <f t="shared" si="73"/>
        <v>0</v>
      </c>
      <c r="S360" s="1003">
        <f t="shared" si="64"/>
        <v>0</v>
      </c>
    </row>
    <row r="361" spans="1:19">
      <c r="A361" s="1012"/>
      <c r="B361" s="1013"/>
      <c r="C361" s="1004">
        <f t="shared" si="65"/>
        <v>1</v>
      </c>
      <c r="D361" s="1014"/>
      <c r="E361" s="1004">
        <f t="shared" si="66"/>
        <v>1</v>
      </c>
      <c r="F361" s="1014"/>
      <c r="G361" s="1004">
        <f t="shared" si="67"/>
        <v>1</v>
      </c>
      <c r="H361" s="1014"/>
      <c r="I361" s="1004">
        <f t="shared" si="68"/>
        <v>1</v>
      </c>
      <c r="J361" s="1014"/>
      <c r="K361" s="1004">
        <f t="shared" si="69"/>
        <v>1</v>
      </c>
      <c r="L361" s="1014"/>
      <c r="M361" s="1004">
        <f t="shared" si="70"/>
        <v>1</v>
      </c>
      <c r="N361" s="1014"/>
      <c r="O361" s="1004">
        <f t="shared" si="71"/>
        <v>1</v>
      </c>
      <c r="P361" s="1014"/>
      <c r="Q361" s="1004">
        <f t="shared" si="72"/>
        <v>0</v>
      </c>
      <c r="R361" s="1064">
        <f t="shared" si="73"/>
        <v>0</v>
      </c>
      <c r="S361" s="1003">
        <f t="shared" si="64"/>
        <v>0</v>
      </c>
    </row>
    <row r="362" spans="1:19">
      <c r="A362" s="1012"/>
      <c r="B362" s="1013"/>
      <c r="C362" s="1004">
        <f t="shared" si="65"/>
        <v>1</v>
      </c>
      <c r="D362" s="1014"/>
      <c r="E362" s="1004">
        <f t="shared" si="66"/>
        <v>1</v>
      </c>
      <c r="F362" s="1014"/>
      <c r="G362" s="1004">
        <f t="shared" si="67"/>
        <v>1</v>
      </c>
      <c r="H362" s="1014"/>
      <c r="I362" s="1004">
        <f t="shared" si="68"/>
        <v>1</v>
      </c>
      <c r="J362" s="1014"/>
      <c r="K362" s="1004">
        <f t="shared" si="69"/>
        <v>1</v>
      </c>
      <c r="L362" s="1014"/>
      <c r="M362" s="1004">
        <f t="shared" si="70"/>
        <v>1</v>
      </c>
      <c r="N362" s="1014"/>
      <c r="O362" s="1004">
        <f t="shared" si="71"/>
        <v>1</v>
      </c>
      <c r="P362" s="1014"/>
      <c r="Q362" s="1004">
        <f t="shared" si="72"/>
        <v>0</v>
      </c>
      <c r="R362" s="1064">
        <f t="shared" si="73"/>
        <v>0</v>
      </c>
      <c r="S362" s="1003">
        <f t="shared" si="64"/>
        <v>0</v>
      </c>
    </row>
    <row r="363" spans="1:19">
      <c r="A363" s="1012"/>
      <c r="B363" s="1013"/>
      <c r="C363" s="1004">
        <f t="shared" si="65"/>
        <v>1</v>
      </c>
      <c r="D363" s="1014"/>
      <c r="E363" s="1004">
        <f t="shared" si="66"/>
        <v>1</v>
      </c>
      <c r="F363" s="1014"/>
      <c r="G363" s="1004">
        <f t="shared" si="67"/>
        <v>1</v>
      </c>
      <c r="H363" s="1014"/>
      <c r="I363" s="1004">
        <f t="shared" si="68"/>
        <v>1</v>
      </c>
      <c r="J363" s="1014"/>
      <c r="K363" s="1004">
        <f t="shared" si="69"/>
        <v>1</v>
      </c>
      <c r="L363" s="1014"/>
      <c r="M363" s="1004">
        <f t="shared" si="70"/>
        <v>1</v>
      </c>
      <c r="N363" s="1014"/>
      <c r="O363" s="1004">
        <f t="shared" si="71"/>
        <v>1</v>
      </c>
      <c r="P363" s="1014"/>
      <c r="Q363" s="1004">
        <f t="shared" si="72"/>
        <v>0</v>
      </c>
      <c r="R363" s="1064">
        <f t="shared" si="73"/>
        <v>0</v>
      </c>
      <c r="S363" s="1003">
        <f t="shared" si="64"/>
        <v>0</v>
      </c>
    </row>
    <row r="364" spans="1:19">
      <c r="A364" s="1012"/>
      <c r="B364" s="1013"/>
      <c r="C364" s="1004">
        <f t="shared" si="65"/>
        <v>1</v>
      </c>
      <c r="D364" s="1014"/>
      <c r="E364" s="1004">
        <f t="shared" si="66"/>
        <v>1</v>
      </c>
      <c r="F364" s="1014"/>
      <c r="G364" s="1004">
        <f t="shared" si="67"/>
        <v>1</v>
      </c>
      <c r="H364" s="1014"/>
      <c r="I364" s="1004">
        <f t="shared" si="68"/>
        <v>1</v>
      </c>
      <c r="J364" s="1014"/>
      <c r="K364" s="1004">
        <f t="shared" si="69"/>
        <v>1</v>
      </c>
      <c r="L364" s="1014"/>
      <c r="M364" s="1004">
        <f t="shared" si="70"/>
        <v>1</v>
      </c>
      <c r="N364" s="1014"/>
      <c r="O364" s="1004">
        <f t="shared" si="71"/>
        <v>1</v>
      </c>
      <c r="P364" s="1014"/>
      <c r="Q364" s="1004">
        <f t="shared" si="72"/>
        <v>0</v>
      </c>
      <c r="R364" s="1064">
        <f t="shared" si="73"/>
        <v>0</v>
      </c>
      <c r="S364" s="1003">
        <f t="shared" si="64"/>
        <v>0</v>
      </c>
    </row>
    <row r="365" spans="1:19">
      <c r="A365" s="1012"/>
      <c r="B365" s="1013"/>
      <c r="C365" s="1004">
        <f t="shared" si="65"/>
        <v>1</v>
      </c>
      <c r="D365" s="1014"/>
      <c r="E365" s="1004">
        <f t="shared" si="66"/>
        <v>1</v>
      </c>
      <c r="F365" s="1014"/>
      <c r="G365" s="1004">
        <f t="shared" si="67"/>
        <v>1</v>
      </c>
      <c r="H365" s="1014"/>
      <c r="I365" s="1004">
        <f t="shared" si="68"/>
        <v>1</v>
      </c>
      <c r="J365" s="1014"/>
      <c r="K365" s="1004">
        <f t="shared" si="69"/>
        <v>1</v>
      </c>
      <c r="L365" s="1014"/>
      <c r="M365" s="1004">
        <f t="shared" si="70"/>
        <v>1</v>
      </c>
      <c r="N365" s="1014"/>
      <c r="O365" s="1004">
        <f t="shared" si="71"/>
        <v>1</v>
      </c>
      <c r="P365" s="1014"/>
      <c r="Q365" s="1004">
        <f t="shared" si="72"/>
        <v>0</v>
      </c>
      <c r="R365" s="1064">
        <f t="shared" si="73"/>
        <v>0</v>
      </c>
      <c r="S365" s="1003">
        <f t="shared" si="64"/>
        <v>0</v>
      </c>
    </row>
    <row r="366" spans="1:19">
      <c r="A366" s="1012"/>
      <c r="B366" s="1013"/>
      <c r="C366" s="1004">
        <f t="shared" si="65"/>
        <v>1</v>
      </c>
      <c r="D366" s="1014"/>
      <c r="E366" s="1004">
        <f t="shared" si="66"/>
        <v>1</v>
      </c>
      <c r="F366" s="1014"/>
      <c r="G366" s="1004">
        <f t="shared" si="67"/>
        <v>1</v>
      </c>
      <c r="H366" s="1014"/>
      <c r="I366" s="1004">
        <f t="shared" si="68"/>
        <v>1</v>
      </c>
      <c r="J366" s="1014"/>
      <c r="K366" s="1004">
        <f t="shared" si="69"/>
        <v>1</v>
      </c>
      <c r="L366" s="1014"/>
      <c r="M366" s="1004">
        <f t="shared" si="70"/>
        <v>1</v>
      </c>
      <c r="N366" s="1014"/>
      <c r="O366" s="1004">
        <f t="shared" si="71"/>
        <v>1</v>
      </c>
      <c r="P366" s="1014"/>
      <c r="Q366" s="1004">
        <f t="shared" si="72"/>
        <v>0</v>
      </c>
      <c r="R366" s="1064">
        <f t="shared" si="73"/>
        <v>0</v>
      </c>
      <c r="S366" s="1003">
        <f t="shared" si="64"/>
        <v>0</v>
      </c>
    </row>
    <row r="367" spans="1:19">
      <c r="A367" s="1012"/>
      <c r="B367" s="1013"/>
      <c r="C367" s="1004">
        <f t="shared" si="65"/>
        <v>1</v>
      </c>
      <c r="D367" s="1014"/>
      <c r="E367" s="1004">
        <f t="shared" si="66"/>
        <v>1</v>
      </c>
      <c r="F367" s="1014"/>
      <c r="G367" s="1004">
        <f t="shared" si="67"/>
        <v>1</v>
      </c>
      <c r="H367" s="1014"/>
      <c r="I367" s="1004">
        <f t="shared" si="68"/>
        <v>1</v>
      </c>
      <c r="J367" s="1014"/>
      <c r="K367" s="1004">
        <f t="shared" si="69"/>
        <v>1</v>
      </c>
      <c r="L367" s="1014"/>
      <c r="M367" s="1004">
        <f t="shared" si="70"/>
        <v>1</v>
      </c>
      <c r="N367" s="1014"/>
      <c r="O367" s="1004">
        <f t="shared" si="71"/>
        <v>1</v>
      </c>
      <c r="P367" s="1014"/>
      <c r="Q367" s="1004">
        <f t="shared" si="72"/>
        <v>0</v>
      </c>
      <c r="R367" s="1064">
        <f t="shared" si="73"/>
        <v>0</v>
      </c>
      <c r="S367" s="1003">
        <f t="shared" si="64"/>
        <v>0</v>
      </c>
    </row>
    <row r="368" spans="1:19">
      <c r="A368" s="1012"/>
      <c r="B368" s="1013"/>
      <c r="C368" s="1004">
        <f t="shared" si="65"/>
        <v>1</v>
      </c>
      <c r="D368" s="1014"/>
      <c r="E368" s="1004">
        <f t="shared" si="66"/>
        <v>1</v>
      </c>
      <c r="F368" s="1014"/>
      <c r="G368" s="1004">
        <f t="shared" si="67"/>
        <v>1</v>
      </c>
      <c r="H368" s="1014"/>
      <c r="I368" s="1004">
        <f t="shared" si="68"/>
        <v>1</v>
      </c>
      <c r="J368" s="1014"/>
      <c r="K368" s="1004">
        <f t="shared" si="69"/>
        <v>1</v>
      </c>
      <c r="L368" s="1014"/>
      <c r="M368" s="1004">
        <f t="shared" si="70"/>
        <v>1</v>
      </c>
      <c r="N368" s="1014"/>
      <c r="O368" s="1004">
        <f t="shared" si="71"/>
        <v>1</v>
      </c>
      <c r="P368" s="1014"/>
      <c r="Q368" s="1004">
        <f t="shared" si="72"/>
        <v>0</v>
      </c>
      <c r="R368" s="1064">
        <f t="shared" si="73"/>
        <v>0</v>
      </c>
      <c r="S368" s="1003">
        <f t="shared" si="64"/>
        <v>0</v>
      </c>
    </row>
    <row r="369" spans="1:19">
      <c r="A369" s="1012"/>
      <c r="B369" s="1013"/>
      <c r="C369" s="1004">
        <f t="shared" si="65"/>
        <v>1</v>
      </c>
      <c r="D369" s="1014"/>
      <c r="E369" s="1004">
        <f t="shared" si="66"/>
        <v>1</v>
      </c>
      <c r="F369" s="1014"/>
      <c r="G369" s="1004">
        <f t="shared" si="67"/>
        <v>1</v>
      </c>
      <c r="H369" s="1014"/>
      <c r="I369" s="1004">
        <f t="shared" si="68"/>
        <v>1</v>
      </c>
      <c r="J369" s="1014"/>
      <c r="K369" s="1004">
        <f t="shared" si="69"/>
        <v>1</v>
      </c>
      <c r="L369" s="1014"/>
      <c r="M369" s="1004">
        <f t="shared" si="70"/>
        <v>1</v>
      </c>
      <c r="N369" s="1014"/>
      <c r="O369" s="1004">
        <f t="shared" si="71"/>
        <v>1</v>
      </c>
      <c r="P369" s="1014"/>
      <c r="Q369" s="1004">
        <f t="shared" si="72"/>
        <v>0</v>
      </c>
      <c r="R369" s="1064">
        <f t="shared" si="73"/>
        <v>0</v>
      </c>
      <c r="S369" s="1003">
        <f t="shared" si="64"/>
        <v>0</v>
      </c>
    </row>
    <row r="370" spans="1:19">
      <c r="A370" s="1012"/>
      <c r="B370" s="1013"/>
      <c r="C370" s="1004">
        <f t="shared" si="65"/>
        <v>1</v>
      </c>
      <c r="D370" s="1014"/>
      <c r="E370" s="1004">
        <f t="shared" si="66"/>
        <v>1</v>
      </c>
      <c r="F370" s="1014"/>
      <c r="G370" s="1004">
        <f t="shared" si="67"/>
        <v>1</v>
      </c>
      <c r="H370" s="1014"/>
      <c r="I370" s="1004">
        <f t="shared" si="68"/>
        <v>1</v>
      </c>
      <c r="J370" s="1014"/>
      <c r="K370" s="1004">
        <f t="shared" si="69"/>
        <v>1</v>
      </c>
      <c r="L370" s="1014"/>
      <c r="M370" s="1004">
        <f t="shared" si="70"/>
        <v>1</v>
      </c>
      <c r="N370" s="1014"/>
      <c r="O370" s="1004">
        <f t="shared" si="71"/>
        <v>1</v>
      </c>
      <c r="P370" s="1014"/>
      <c r="Q370" s="1004">
        <f t="shared" si="72"/>
        <v>0</v>
      </c>
      <c r="R370" s="1064">
        <f t="shared" si="73"/>
        <v>0</v>
      </c>
      <c r="S370" s="1003">
        <f t="shared" si="64"/>
        <v>0</v>
      </c>
    </row>
    <row r="371" spans="1:19">
      <c r="A371" s="1012"/>
      <c r="B371" s="1013"/>
      <c r="C371" s="1004">
        <f t="shared" si="65"/>
        <v>1</v>
      </c>
      <c r="D371" s="1014"/>
      <c r="E371" s="1004">
        <f t="shared" si="66"/>
        <v>1</v>
      </c>
      <c r="F371" s="1014"/>
      <c r="G371" s="1004">
        <f t="shared" si="67"/>
        <v>1</v>
      </c>
      <c r="H371" s="1014"/>
      <c r="I371" s="1004">
        <f t="shared" si="68"/>
        <v>1</v>
      </c>
      <c r="J371" s="1014"/>
      <c r="K371" s="1004">
        <f t="shared" si="69"/>
        <v>1</v>
      </c>
      <c r="L371" s="1014"/>
      <c r="M371" s="1004">
        <f t="shared" si="70"/>
        <v>1</v>
      </c>
      <c r="N371" s="1014"/>
      <c r="O371" s="1004">
        <f t="shared" si="71"/>
        <v>1</v>
      </c>
      <c r="P371" s="1014"/>
      <c r="Q371" s="1004">
        <f t="shared" si="72"/>
        <v>0</v>
      </c>
      <c r="R371" s="1064">
        <f t="shared" si="73"/>
        <v>0</v>
      </c>
      <c r="S371" s="1003">
        <f t="shared" si="64"/>
        <v>0</v>
      </c>
    </row>
    <row r="372" spans="1:19">
      <c r="A372" s="1012"/>
      <c r="B372" s="1013"/>
      <c r="C372" s="1004">
        <f t="shared" si="65"/>
        <v>1</v>
      </c>
      <c r="D372" s="1014"/>
      <c r="E372" s="1004">
        <f t="shared" si="66"/>
        <v>1</v>
      </c>
      <c r="F372" s="1014"/>
      <c r="G372" s="1004">
        <f t="shared" si="67"/>
        <v>1</v>
      </c>
      <c r="H372" s="1014"/>
      <c r="I372" s="1004">
        <f t="shared" si="68"/>
        <v>1</v>
      </c>
      <c r="J372" s="1014"/>
      <c r="K372" s="1004">
        <f t="shared" si="69"/>
        <v>1</v>
      </c>
      <c r="L372" s="1014"/>
      <c r="M372" s="1004">
        <f t="shared" si="70"/>
        <v>1</v>
      </c>
      <c r="N372" s="1014"/>
      <c r="O372" s="1004">
        <f t="shared" si="71"/>
        <v>1</v>
      </c>
      <c r="P372" s="1014"/>
      <c r="Q372" s="1004">
        <f t="shared" si="72"/>
        <v>0</v>
      </c>
      <c r="R372" s="1064">
        <f t="shared" si="73"/>
        <v>0</v>
      </c>
      <c r="S372" s="1003">
        <f t="shared" si="64"/>
        <v>0</v>
      </c>
    </row>
    <row r="373" spans="1:19">
      <c r="A373" s="1012"/>
      <c r="B373" s="1013"/>
      <c r="C373" s="1004">
        <f t="shared" si="65"/>
        <v>1</v>
      </c>
      <c r="D373" s="1014"/>
      <c r="E373" s="1004">
        <f t="shared" si="66"/>
        <v>1</v>
      </c>
      <c r="F373" s="1014"/>
      <c r="G373" s="1004">
        <f t="shared" si="67"/>
        <v>1</v>
      </c>
      <c r="H373" s="1014"/>
      <c r="I373" s="1004">
        <f t="shared" si="68"/>
        <v>1</v>
      </c>
      <c r="J373" s="1014"/>
      <c r="K373" s="1004">
        <f t="shared" si="69"/>
        <v>1</v>
      </c>
      <c r="L373" s="1014"/>
      <c r="M373" s="1004">
        <f t="shared" si="70"/>
        <v>1</v>
      </c>
      <c r="N373" s="1014"/>
      <c r="O373" s="1004">
        <f t="shared" si="71"/>
        <v>1</v>
      </c>
      <c r="P373" s="1014"/>
      <c r="Q373" s="1004">
        <f t="shared" si="72"/>
        <v>0</v>
      </c>
      <c r="R373" s="1064">
        <f t="shared" si="73"/>
        <v>0</v>
      </c>
      <c r="S373" s="1003">
        <f t="shared" si="64"/>
        <v>0</v>
      </c>
    </row>
    <row r="374" spans="1:19">
      <c r="A374" s="1012"/>
      <c r="B374" s="1013"/>
      <c r="C374" s="1004">
        <f t="shared" si="65"/>
        <v>1</v>
      </c>
      <c r="D374" s="1014"/>
      <c r="E374" s="1004">
        <f t="shared" si="66"/>
        <v>1</v>
      </c>
      <c r="F374" s="1014"/>
      <c r="G374" s="1004">
        <f t="shared" si="67"/>
        <v>1</v>
      </c>
      <c r="H374" s="1014"/>
      <c r="I374" s="1004">
        <f t="shared" si="68"/>
        <v>1</v>
      </c>
      <c r="J374" s="1014"/>
      <c r="K374" s="1004">
        <f t="shared" si="69"/>
        <v>1</v>
      </c>
      <c r="L374" s="1014"/>
      <c r="M374" s="1004">
        <f t="shared" si="70"/>
        <v>1</v>
      </c>
      <c r="N374" s="1014"/>
      <c r="O374" s="1004">
        <f t="shared" si="71"/>
        <v>1</v>
      </c>
      <c r="P374" s="1014"/>
      <c r="Q374" s="1004">
        <f t="shared" si="72"/>
        <v>0</v>
      </c>
      <c r="R374" s="1064">
        <f t="shared" si="73"/>
        <v>0</v>
      </c>
      <c r="S374" s="1003">
        <f t="shared" si="64"/>
        <v>0</v>
      </c>
    </row>
    <row r="375" spans="1:19">
      <c r="A375" s="1012"/>
      <c r="B375" s="1013"/>
      <c r="C375" s="1004">
        <f t="shared" si="65"/>
        <v>1</v>
      </c>
      <c r="D375" s="1014"/>
      <c r="E375" s="1004">
        <f t="shared" si="66"/>
        <v>1</v>
      </c>
      <c r="F375" s="1014"/>
      <c r="G375" s="1004">
        <f t="shared" si="67"/>
        <v>1</v>
      </c>
      <c r="H375" s="1014"/>
      <c r="I375" s="1004">
        <f t="shared" si="68"/>
        <v>1</v>
      </c>
      <c r="J375" s="1014"/>
      <c r="K375" s="1004">
        <f t="shared" si="69"/>
        <v>1</v>
      </c>
      <c r="L375" s="1014"/>
      <c r="M375" s="1004">
        <f t="shared" si="70"/>
        <v>1</v>
      </c>
      <c r="N375" s="1014"/>
      <c r="O375" s="1004">
        <f t="shared" si="71"/>
        <v>1</v>
      </c>
      <c r="P375" s="1014"/>
      <c r="Q375" s="1004">
        <f t="shared" si="72"/>
        <v>0</v>
      </c>
      <c r="R375" s="1064">
        <f t="shared" si="73"/>
        <v>0</v>
      </c>
      <c r="S375" s="1003">
        <f t="shared" si="64"/>
        <v>0</v>
      </c>
    </row>
    <row r="376" spans="1:19">
      <c r="A376" s="1012"/>
      <c r="B376" s="1013"/>
      <c r="C376" s="1004">
        <f t="shared" si="65"/>
        <v>1</v>
      </c>
      <c r="D376" s="1014"/>
      <c r="E376" s="1004">
        <f t="shared" si="66"/>
        <v>1</v>
      </c>
      <c r="F376" s="1014"/>
      <c r="G376" s="1004">
        <f t="shared" si="67"/>
        <v>1</v>
      </c>
      <c r="H376" s="1014"/>
      <c r="I376" s="1004">
        <f t="shared" si="68"/>
        <v>1</v>
      </c>
      <c r="J376" s="1014"/>
      <c r="K376" s="1004">
        <f t="shared" si="69"/>
        <v>1</v>
      </c>
      <c r="L376" s="1014"/>
      <c r="M376" s="1004">
        <f t="shared" si="70"/>
        <v>1</v>
      </c>
      <c r="N376" s="1014"/>
      <c r="O376" s="1004">
        <f t="shared" si="71"/>
        <v>1</v>
      </c>
      <c r="P376" s="1014"/>
      <c r="Q376" s="1004">
        <f t="shared" si="72"/>
        <v>0</v>
      </c>
      <c r="R376" s="1064">
        <f t="shared" si="73"/>
        <v>0</v>
      </c>
      <c r="S376" s="1003">
        <f t="shared" si="64"/>
        <v>0</v>
      </c>
    </row>
    <row r="377" spans="1:19">
      <c r="A377" s="1012"/>
      <c r="B377" s="1013"/>
      <c r="C377" s="1004">
        <f t="shared" si="65"/>
        <v>1</v>
      </c>
      <c r="D377" s="1014"/>
      <c r="E377" s="1004">
        <f t="shared" si="66"/>
        <v>1</v>
      </c>
      <c r="F377" s="1014"/>
      <c r="G377" s="1004">
        <f t="shared" si="67"/>
        <v>1</v>
      </c>
      <c r="H377" s="1014"/>
      <c r="I377" s="1004">
        <f t="shared" si="68"/>
        <v>1</v>
      </c>
      <c r="J377" s="1014"/>
      <c r="K377" s="1004">
        <f t="shared" si="69"/>
        <v>1</v>
      </c>
      <c r="L377" s="1014"/>
      <c r="M377" s="1004">
        <f t="shared" si="70"/>
        <v>1</v>
      </c>
      <c r="N377" s="1014"/>
      <c r="O377" s="1004">
        <f t="shared" si="71"/>
        <v>1</v>
      </c>
      <c r="P377" s="1014"/>
      <c r="Q377" s="1004">
        <f t="shared" si="72"/>
        <v>0</v>
      </c>
      <c r="R377" s="1064">
        <f t="shared" si="73"/>
        <v>0</v>
      </c>
      <c r="S377" s="1003">
        <f t="shared" si="64"/>
        <v>0</v>
      </c>
    </row>
    <row r="378" spans="1:19">
      <c r="A378" s="1012"/>
      <c r="B378" s="1013"/>
      <c r="C378" s="1004">
        <f t="shared" si="65"/>
        <v>1</v>
      </c>
      <c r="D378" s="1014"/>
      <c r="E378" s="1004">
        <f t="shared" si="66"/>
        <v>1</v>
      </c>
      <c r="F378" s="1014"/>
      <c r="G378" s="1004">
        <f t="shared" si="67"/>
        <v>1</v>
      </c>
      <c r="H378" s="1014"/>
      <c r="I378" s="1004">
        <f t="shared" si="68"/>
        <v>1</v>
      </c>
      <c r="J378" s="1014"/>
      <c r="K378" s="1004">
        <f t="shared" si="69"/>
        <v>1</v>
      </c>
      <c r="L378" s="1014"/>
      <c r="M378" s="1004">
        <f t="shared" si="70"/>
        <v>1</v>
      </c>
      <c r="N378" s="1014"/>
      <c r="O378" s="1004">
        <f t="shared" si="71"/>
        <v>1</v>
      </c>
      <c r="P378" s="1014"/>
      <c r="Q378" s="1004">
        <f t="shared" si="72"/>
        <v>0</v>
      </c>
      <c r="R378" s="1064">
        <f t="shared" si="73"/>
        <v>0</v>
      </c>
      <c r="S378" s="1003">
        <f t="shared" si="64"/>
        <v>0</v>
      </c>
    </row>
    <row r="379" spans="1:19">
      <c r="A379" s="1012"/>
      <c r="B379" s="1013"/>
      <c r="C379" s="1004">
        <f t="shared" si="65"/>
        <v>1</v>
      </c>
      <c r="D379" s="1014"/>
      <c r="E379" s="1004">
        <f t="shared" si="66"/>
        <v>1</v>
      </c>
      <c r="F379" s="1014"/>
      <c r="G379" s="1004">
        <f t="shared" si="67"/>
        <v>1</v>
      </c>
      <c r="H379" s="1014"/>
      <c r="I379" s="1004">
        <f t="shared" si="68"/>
        <v>1</v>
      </c>
      <c r="J379" s="1014"/>
      <c r="K379" s="1004">
        <f t="shared" si="69"/>
        <v>1</v>
      </c>
      <c r="L379" s="1014"/>
      <c r="M379" s="1004">
        <f t="shared" si="70"/>
        <v>1</v>
      </c>
      <c r="N379" s="1014"/>
      <c r="O379" s="1004">
        <f t="shared" si="71"/>
        <v>1</v>
      </c>
      <c r="P379" s="1014"/>
      <c r="Q379" s="1004">
        <f t="shared" si="72"/>
        <v>0</v>
      </c>
      <c r="R379" s="1064">
        <f t="shared" si="73"/>
        <v>0</v>
      </c>
      <c r="S379" s="1003">
        <f t="shared" si="64"/>
        <v>0</v>
      </c>
    </row>
    <row r="380" spans="1:19">
      <c r="A380" s="1012"/>
      <c r="B380" s="1013"/>
      <c r="C380" s="1004">
        <f t="shared" si="65"/>
        <v>1</v>
      </c>
      <c r="D380" s="1014"/>
      <c r="E380" s="1004">
        <f t="shared" si="66"/>
        <v>1</v>
      </c>
      <c r="F380" s="1014"/>
      <c r="G380" s="1004">
        <f t="shared" si="67"/>
        <v>1</v>
      </c>
      <c r="H380" s="1014"/>
      <c r="I380" s="1004">
        <f t="shared" si="68"/>
        <v>1</v>
      </c>
      <c r="J380" s="1014"/>
      <c r="K380" s="1004">
        <f t="shared" si="69"/>
        <v>1</v>
      </c>
      <c r="L380" s="1014"/>
      <c r="M380" s="1004">
        <f t="shared" si="70"/>
        <v>1</v>
      </c>
      <c r="N380" s="1014"/>
      <c r="O380" s="1004">
        <f t="shared" si="71"/>
        <v>1</v>
      </c>
      <c r="P380" s="1014"/>
      <c r="Q380" s="1004">
        <f t="shared" si="72"/>
        <v>0</v>
      </c>
      <c r="R380" s="1064">
        <f t="shared" si="73"/>
        <v>0</v>
      </c>
      <c r="S380" s="1003">
        <f t="shared" si="64"/>
        <v>0</v>
      </c>
    </row>
    <row r="381" spans="1:19">
      <c r="A381" s="1012"/>
      <c r="B381" s="1013"/>
      <c r="C381" s="1004">
        <f t="shared" si="65"/>
        <v>1</v>
      </c>
      <c r="D381" s="1014"/>
      <c r="E381" s="1004">
        <f t="shared" si="66"/>
        <v>1</v>
      </c>
      <c r="F381" s="1014"/>
      <c r="G381" s="1004">
        <f t="shared" si="67"/>
        <v>1</v>
      </c>
      <c r="H381" s="1014"/>
      <c r="I381" s="1004">
        <f t="shared" si="68"/>
        <v>1</v>
      </c>
      <c r="J381" s="1014"/>
      <c r="K381" s="1004">
        <f t="shared" si="69"/>
        <v>1</v>
      </c>
      <c r="L381" s="1014"/>
      <c r="M381" s="1004">
        <f t="shared" si="70"/>
        <v>1</v>
      </c>
      <c r="N381" s="1014"/>
      <c r="O381" s="1004">
        <f t="shared" si="71"/>
        <v>1</v>
      </c>
      <c r="P381" s="1014"/>
      <c r="Q381" s="1004">
        <f t="shared" si="72"/>
        <v>0</v>
      </c>
      <c r="R381" s="1064">
        <f t="shared" si="73"/>
        <v>0</v>
      </c>
      <c r="S381" s="1003">
        <f t="shared" si="64"/>
        <v>0</v>
      </c>
    </row>
    <row r="382" spans="1:19">
      <c r="A382" s="1012"/>
      <c r="B382" s="1013"/>
      <c r="C382" s="1004">
        <f t="shared" si="65"/>
        <v>1</v>
      </c>
      <c r="D382" s="1014"/>
      <c r="E382" s="1004">
        <f t="shared" si="66"/>
        <v>1</v>
      </c>
      <c r="F382" s="1014"/>
      <c r="G382" s="1004">
        <f t="shared" si="67"/>
        <v>1</v>
      </c>
      <c r="H382" s="1014"/>
      <c r="I382" s="1004">
        <f t="shared" si="68"/>
        <v>1</v>
      </c>
      <c r="J382" s="1014"/>
      <c r="K382" s="1004">
        <f t="shared" si="69"/>
        <v>1</v>
      </c>
      <c r="L382" s="1014"/>
      <c r="M382" s="1004">
        <f t="shared" si="70"/>
        <v>1</v>
      </c>
      <c r="N382" s="1014"/>
      <c r="O382" s="1004">
        <f t="shared" si="71"/>
        <v>1</v>
      </c>
      <c r="P382" s="1014"/>
      <c r="Q382" s="1004">
        <f t="shared" si="72"/>
        <v>0</v>
      </c>
      <c r="R382" s="1064">
        <f t="shared" si="73"/>
        <v>0</v>
      </c>
      <c r="S382" s="1003">
        <f t="shared" si="64"/>
        <v>0</v>
      </c>
    </row>
    <row r="383" spans="1:19">
      <c r="A383" s="1012"/>
      <c r="B383" s="1013"/>
      <c r="C383" s="1004">
        <f t="shared" si="65"/>
        <v>1</v>
      </c>
      <c r="D383" s="1014"/>
      <c r="E383" s="1004">
        <f t="shared" si="66"/>
        <v>1</v>
      </c>
      <c r="F383" s="1014"/>
      <c r="G383" s="1004">
        <f t="shared" si="67"/>
        <v>1</v>
      </c>
      <c r="H383" s="1014"/>
      <c r="I383" s="1004">
        <f t="shared" si="68"/>
        <v>1</v>
      </c>
      <c r="J383" s="1014"/>
      <c r="K383" s="1004">
        <f t="shared" si="69"/>
        <v>1</v>
      </c>
      <c r="L383" s="1014"/>
      <c r="M383" s="1004">
        <f t="shared" si="70"/>
        <v>1</v>
      </c>
      <c r="N383" s="1014"/>
      <c r="O383" s="1004">
        <f t="shared" si="71"/>
        <v>1</v>
      </c>
      <c r="P383" s="1014"/>
      <c r="Q383" s="1004">
        <f t="shared" si="72"/>
        <v>0</v>
      </c>
      <c r="R383" s="1064">
        <f t="shared" si="73"/>
        <v>0</v>
      </c>
      <c r="S383" s="1003">
        <f t="shared" si="64"/>
        <v>0</v>
      </c>
    </row>
    <row r="384" spans="1:19">
      <c r="A384" s="1012"/>
      <c r="B384" s="1013"/>
      <c r="C384" s="1004">
        <f t="shared" si="65"/>
        <v>1</v>
      </c>
      <c r="D384" s="1014"/>
      <c r="E384" s="1004">
        <f t="shared" si="66"/>
        <v>1</v>
      </c>
      <c r="F384" s="1014"/>
      <c r="G384" s="1004">
        <f t="shared" si="67"/>
        <v>1</v>
      </c>
      <c r="H384" s="1014"/>
      <c r="I384" s="1004">
        <f t="shared" si="68"/>
        <v>1</v>
      </c>
      <c r="J384" s="1014"/>
      <c r="K384" s="1004">
        <f t="shared" si="69"/>
        <v>1</v>
      </c>
      <c r="L384" s="1014"/>
      <c r="M384" s="1004">
        <f t="shared" si="70"/>
        <v>1</v>
      </c>
      <c r="N384" s="1014"/>
      <c r="O384" s="1004">
        <f t="shared" si="71"/>
        <v>1</v>
      </c>
      <c r="P384" s="1014"/>
      <c r="Q384" s="1004">
        <f t="shared" si="72"/>
        <v>0</v>
      </c>
      <c r="R384" s="1064">
        <f t="shared" si="73"/>
        <v>0</v>
      </c>
      <c r="S384" s="1003">
        <f t="shared" si="64"/>
        <v>0</v>
      </c>
    </row>
    <row r="385" spans="1:19">
      <c r="A385" s="1012"/>
      <c r="B385" s="1013"/>
      <c r="C385" s="1004">
        <f t="shared" si="65"/>
        <v>1</v>
      </c>
      <c r="D385" s="1014"/>
      <c r="E385" s="1004">
        <f t="shared" si="66"/>
        <v>1</v>
      </c>
      <c r="F385" s="1014"/>
      <c r="G385" s="1004">
        <f t="shared" si="67"/>
        <v>1</v>
      </c>
      <c r="H385" s="1014"/>
      <c r="I385" s="1004">
        <f t="shared" si="68"/>
        <v>1</v>
      </c>
      <c r="J385" s="1014"/>
      <c r="K385" s="1004">
        <f t="shared" si="69"/>
        <v>1</v>
      </c>
      <c r="L385" s="1014"/>
      <c r="M385" s="1004">
        <f t="shared" si="70"/>
        <v>1</v>
      </c>
      <c r="N385" s="1014"/>
      <c r="O385" s="1004">
        <f t="shared" si="71"/>
        <v>1</v>
      </c>
      <c r="P385" s="1014"/>
      <c r="Q385" s="1004">
        <f t="shared" si="72"/>
        <v>0</v>
      </c>
      <c r="R385" s="1064">
        <f t="shared" si="73"/>
        <v>0</v>
      </c>
      <c r="S385" s="1003">
        <f t="shared" ref="S385:S422" si="74">ROUND(R385*B385/10000,0)</f>
        <v>0</v>
      </c>
    </row>
    <row r="386" spans="1:19">
      <c r="A386" s="1012"/>
      <c r="B386" s="1013"/>
      <c r="C386" s="1004">
        <f t="shared" si="65"/>
        <v>1</v>
      </c>
      <c r="D386" s="1014"/>
      <c r="E386" s="1004">
        <f t="shared" si="66"/>
        <v>1</v>
      </c>
      <c r="F386" s="1014"/>
      <c r="G386" s="1004">
        <f t="shared" si="67"/>
        <v>1</v>
      </c>
      <c r="H386" s="1014"/>
      <c r="I386" s="1004">
        <f t="shared" si="68"/>
        <v>1</v>
      </c>
      <c r="J386" s="1014"/>
      <c r="K386" s="1004">
        <f t="shared" si="69"/>
        <v>1</v>
      </c>
      <c r="L386" s="1014"/>
      <c r="M386" s="1004">
        <f t="shared" si="70"/>
        <v>1</v>
      </c>
      <c r="N386" s="1014"/>
      <c r="O386" s="1004">
        <f t="shared" si="71"/>
        <v>1</v>
      </c>
      <c r="P386" s="1014"/>
      <c r="Q386" s="1004">
        <f t="shared" si="72"/>
        <v>0</v>
      </c>
      <c r="R386" s="1064">
        <f t="shared" si="73"/>
        <v>0</v>
      </c>
      <c r="S386" s="1003">
        <f t="shared" si="74"/>
        <v>0</v>
      </c>
    </row>
    <row r="387" spans="1:19">
      <c r="A387" s="1012"/>
      <c r="B387" s="1013"/>
      <c r="C387" s="1004">
        <f t="shared" si="65"/>
        <v>1</v>
      </c>
      <c r="D387" s="1014"/>
      <c r="E387" s="1004">
        <f t="shared" si="66"/>
        <v>1</v>
      </c>
      <c r="F387" s="1014"/>
      <c r="G387" s="1004">
        <f t="shared" si="67"/>
        <v>1</v>
      </c>
      <c r="H387" s="1014"/>
      <c r="I387" s="1004">
        <f t="shared" si="68"/>
        <v>1</v>
      </c>
      <c r="J387" s="1014"/>
      <c r="K387" s="1004">
        <f t="shared" si="69"/>
        <v>1</v>
      </c>
      <c r="L387" s="1014"/>
      <c r="M387" s="1004">
        <f t="shared" si="70"/>
        <v>1</v>
      </c>
      <c r="N387" s="1014"/>
      <c r="O387" s="1004">
        <f t="shared" si="71"/>
        <v>1</v>
      </c>
      <c r="P387" s="1014"/>
      <c r="Q387" s="1004">
        <f t="shared" si="72"/>
        <v>0</v>
      </c>
      <c r="R387" s="1064">
        <f t="shared" si="73"/>
        <v>0</v>
      </c>
      <c r="S387" s="1003">
        <f t="shared" si="74"/>
        <v>0</v>
      </c>
    </row>
    <row r="388" spans="1:19">
      <c r="A388" s="1012"/>
      <c r="B388" s="1013"/>
      <c r="C388" s="1004">
        <f t="shared" si="65"/>
        <v>1</v>
      </c>
      <c r="D388" s="1014"/>
      <c r="E388" s="1004">
        <f t="shared" si="66"/>
        <v>1</v>
      </c>
      <c r="F388" s="1014"/>
      <c r="G388" s="1004">
        <f t="shared" si="67"/>
        <v>1</v>
      </c>
      <c r="H388" s="1014"/>
      <c r="I388" s="1004">
        <f t="shared" si="68"/>
        <v>1</v>
      </c>
      <c r="J388" s="1014"/>
      <c r="K388" s="1004">
        <f t="shared" si="69"/>
        <v>1</v>
      </c>
      <c r="L388" s="1014"/>
      <c r="M388" s="1004">
        <f t="shared" si="70"/>
        <v>1</v>
      </c>
      <c r="N388" s="1014"/>
      <c r="O388" s="1004">
        <f t="shared" si="71"/>
        <v>1</v>
      </c>
      <c r="P388" s="1014"/>
      <c r="Q388" s="1004">
        <f t="shared" si="72"/>
        <v>0</v>
      </c>
      <c r="R388" s="1064">
        <f t="shared" si="73"/>
        <v>0</v>
      </c>
      <c r="S388" s="1003">
        <f t="shared" si="74"/>
        <v>0</v>
      </c>
    </row>
    <row r="389" spans="1:19">
      <c r="A389" s="1012"/>
      <c r="B389" s="1013"/>
      <c r="C389" s="1004">
        <f t="shared" si="65"/>
        <v>1</v>
      </c>
      <c r="D389" s="1014"/>
      <c r="E389" s="1004">
        <f t="shared" si="66"/>
        <v>1</v>
      </c>
      <c r="F389" s="1014"/>
      <c r="G389" s="1004">
        <f t="shared" si="67"/>
        <v>1</v>
      </c>
      <c r="H389" s="1014"/>
      <c r="I389" s="1004">
        <f t="shared" si="68"/>
        <v>1</v>
      </c>
      <c r="J389" s="1014"/>
      <c r="K389" s="1004">
        <f t="shared" si="69"/>
        <v>1</v>
      </c>
      <c r="L389" s="1014"/>
      <c r="M389" s="1004">
        <f t="shared" si="70"/>
        <v>1</v>
      </c>
      <c r="N389" s="1014"/>
      <c r="O389" s="1004">
        <f t="shared" si="71"/>
        <v>1</v>
      </c>
      <c r="P389" s="1014"/>
      <c r="Q389" s="1004">
        <f t="shared" si="72"/>
        <v>0</v>
      </c>
      <c r="R389" s="1064">
        <f t="shared" si="73"/>
        <v>0</v>
      </c>
      <c r="S389" s="1003">
        <f t="shared" si="74"/>
        <v>0</v>
      </c>
    </row>
    <row r="390" spans="1:19">
      <c r="A390" s="1012"/>
      <c r="B390" s="1013"/>
      <c r="C390" s="1004">
        <f t="shared" si="65"/>
        <v>1</v>
      </c>
      <c r="D390" s="1014"/>
      <c r="E390" s="1004">
        <f t="shared" si="66"/>
        <v>1</v>
      </c>
      <c r="F390" s="1014"/>
      <c r="G390" s="1004">
        <f t="shared" si="67"/>
        <v>1</v>
      </c>
      <c r="H390" s="1014"/>
      <c r="I390" s="1004">
        <f t="shared" si="68"/>
        <v>1</v>
      </c>
      <c r="J390" s="1014"/>
      <c r="K390" s="1004">
        <f t="shared" si="69"/>
        <v>1</v>
      </c>
      <c r="L390" s="1014"/>
      <c r="M390" s="1004">
        <f t="shared" si="70"/>
        <v>1</v>
      </c>
      <c r="N390" s="1014"/>
      <c r="O390" s="1004">
        <f t="shared" si="71"/>
        <v>1</v>
      </c>
      <c r="P390" s="1014"/>
      <c r="Q390" s="1004">
        <f t="shared" si="72"/>
        <v>0</v>
      </c>
      <c r="R390" s="1064">
        <f t="shared" si="73"/>
        <v>0</v>
      </c>
      <c r="S390" s="1003">
        <f t="shared" si="74"/>
        <v>0</v>
      </c>
    </row>
    <row r="391" spans="1:19">
      <c r="A391" s="1012"/>
      <c r="B391" s="1013"/>
      <c r="C391" s="1004">
        <f t="shared" si="65"/>
        <v>1</v>
      </c>
      <c r="D391" s="1014"/>
      <c r="E391" s="1004">
        <f t="shared" si="66"/>
        <v>1</v>
      </c>
      <c r="F391" s="1014"/>
      <c r="G391" s="1004">
        <f t="shared" si="67"/>
        <v>1</v>
      </c>
      <c r="H391" s="1014"/>
      <c r="I391" s="1004">
        <f t="shared" si="68"/>
        <v>1</v>
      </c>
      <c r="J391" s="1014"/>
      <c r="K391" s="1004">
        <f t="shared" si="69"/>
        <v>1</v>
      </c>
      <c r="L391" s="1014"/>
      <c r="M391" s="1004">
        <f t="shared" si="70"/>
        <v>1</v>
      </c>
      <c r="N391" s="1014"/>
      <c r="O391" s="1004">
        <f t="shared" si="71"/>
        <v>1</v>
      </c>
      <c r="P391" s="1014"/>
      <c r="Q391" s="1004">
        <f t="shared" si="72"/>
        <v>0</v>
      </c>
      <c r="R391" s="1064">
        <f t="shared" si="73"/>
        <v>0</v>
      </c>
      <c r="S391" s="1003">
        <f t="shared" si="74"/>
        <v>0</v>
      </c>
    </row>
    <row r="392" spans="1:19">
      <c r="A392" s="1012"/>
      <c r="B392" s="1013"/>
      <c r="C392" s="1004">
        <f t="shared" si="65"/>
        <v>1</v>
      </c>
      <c r="D392" s="1014"/>
      <c r="E392" s="1004">
        <f t="shared" si="66"/>
        <v>1</v>
      </c>
      <c r="F392" s="1014"/>
      <c r="G392" s="1004">
        <f t="shared" si="67"/>
        <v>1</v>
      </c>
      <c r="H392" s="1014"/>
      <c r="I392" s="1004">
        <f t="shared" si="68"/>
        <v>1</v>
      </c>
      <c r="J392" s="1014"/>
      <c r="K392" s="1004">
        <f t="shared" si="69"/>
        <v>1</v>
      </c>
      <c r="L392" s="1014"/>
      <c r="M392" s="1004">
        <f t="shared" si="70"/>
        <v>1</v>
      </c>
      <c r="N392" s="1014"/>
      <c r="O392" s="1004">
        <f t="shared" si="71"/>
        <v>1</v>
      </c>
      <c r="P392" s="1014"/>
      <c r="Q392" s="1004">
        <f t="shared" si="72"/>
        <v>0</v>
      </c>
      <c r="R392" s="1064">
        <f t="shared" si="73"/>
        <v>0</v>
      </c>
      <c r="S392" s="1003">
        <f t="shared" si="74"/>
        <v>0</v>
      </c>
    </row>
    <row r="393" spans="1:19">
      <c r="A393" s="1012"/>
      <c r="B393" s="1013"/>
      <c r="C393" s="1004">
        <f t="shared" si="65"/>
        <v>1</v>
      </c>
      <c r="D393" s="1014"/>
      <c r="E393" s="1004">
        <f t="shared" si="66"/>
        <v>1</v>
      </c>
      <c r="F393" s="1014"/>
      <c r="G393" s="1004">
        <f t="shared" si="67"/>
        <v>1</v>
      </c>
      <c r="H393" s="1014"/>
      <c r="I393" s="1004">
        <f t="shared" si="68"/>
        <v>1</v>
      </c>
      <c r="J393" s="1014"/>
      <c r="K393" s="1004">
        <f t="shared" si="69"/>
        <v>1</v>
      </c>
      <c r="L393" s="1014"/>
      <c r="M393" s="1004">
        <f t="shared" si="70"/>
        <v>1</v>
      </c>
      <c r="N393" s="1014"/>
      <c r="O393" s="1004">
        <f t="shared" si="71"/>
        <v>1</v>
      </c>
      <c r="P393" s="1014"/>
      <c r="Q393" s="1004">
        <f t="shared" si="72"/>
        <v>0</v>
      </c>
      <c r="R393" s="1064">
        <f t="shared" si="73"/>
        <v>0</v>
      </c>
      <c r="S393" s="1003">
        <f t="shared" si="74"/>
        <v>0</v>
      </c>
    </row>
    <row r="394" spans="1:19">
      <c r="A394" s="1012"/>
      <c r="B394" s="1013"/>
      <c r="C394" s="1004">
        <f t="shared" si="65"/>
        <v>1</v>
      </c>
      <c r="D394" s="1014"/>
      <c r="E394" s="1004">
        <f t="shared" si="66"/>
        <v>1</v>
      </c>
      <c r="F394" s="1014"/>
      <c r="G394" s="1004">
        <f t="shared" si="67"/>
        <v>1</v>
      </c>
      <c r="H394" s="1014"/>
      <c r="I394" s="1004">
        <f t="shared" si="68"/>
        <v>1</v>
      </c>
      <c r="J394" s="1014"/>
      <c r="K394" s="1004">
        <f t="shared" si="69"/>
        <v>1</v>
      </c>
      <c r="L394" s="1014"/>
      <c r="M394" s="1004">
        <f t="shared" si="70"/>
        <v>1</v>
      </c>
      <c r="N394" s="1014"/>
      <c r="O394" s="1004">
        <f t="shared" si="71"/>
        <v>1</v>
      </c>
      <c r="P394" s="1014"/>
      <c r="Q394" s="1004">
        <f t="shared" si="72"/>
        <v>0</v>
      </c>
      <c r="R394" s="1064">
        <f t="shared" si="73"/>
        <v>0</v>
      </c>
      <c r="S394" s="1003">
        <f t="shared" si="74"/>
        <v>0</v>
      </c>
    </row>
    <row r="395" spans="1:19">
      <c r="A395" s="1012"/>
      <c r="B395" s="1013"/>
      <c r="C395" s="1004">
        <f t="shared" si="65"/>
        <v>1</v>
      </c>
      <c r="D395" s="1014"/>
      <c r="E395" s="1004">
        <f t="shared" si="66"/>
        <v>1</v>
      </c>
      <c r="F395" s="1014"/>
      <c r="G395" s="1004">
        <f t="shared" si="67"/>
        <v>1</v>
      </c>
      <c r="H395" s="1014"/>
      <c r="I395" s="1004">
        <f t="shared" si="68"/>
        <v>1</v>
      </c>
      <c r="J395" s="1014"/>
      <c r="K395" s="1004">
        <f t="shared" si="69"/>
        <v>1</v>
      </c>
      <c r="L395" s="1014"/>
      <c r="M395" s="1004">
        <f t="shared" si="70"/>
        <v>1</v>
      </c>
      <c r="N395" s="1014"/>
      <c r="O395" s="1004">
        <f t="shared" si="71"/>
        <v>1</v>
      </c>
      <c r="P395" s="1014"/>
      <c r="Q395" s="1004">
        <f t="shared" si="72"/>
        <v>0</v>
      </c>
      <c r="R395" s="1064">
        <f t="shared" si="73"/>
        <v>0</v>
      </c>
      <c r="S395" s="1003">
        <f t="shared" si="74"/>
        <v>0</v>
      </c>
    </row>
    <row r="396" spans="1:19">
      <c r="A396" s="1012"/>
      <c r="B396" s="1013"/>
      <c r="C396" s="1004">
        <f t="shared" si="65"/>
        <v>1</v>
      </c>
      <c r="D396" s="1014"/>
      <c r="E396" s="1004">
        <f t="shared" si="66"/>
        <v>1</v>
      </c>
      <c r="F396" s="1014"/>
      <c r="G396" s="1004">
        <f t="shared" si="67"/>
        <v>1</v>
      </c>
      <c r="H396" s="1014"/>
      <c r="I396" s="1004">
        <f t="shared" si="68"/>
        <v>1</v>
      </c>
      <c r="J396" s="1014"/>
      <c r="K396" s="1004">
        <f t="shared" si="69"/>
        <v>1</v>
      </c>
      <c r="L396" s="1014"/>
      <c r="M396" s="1004">
        <f t="shared" si="70"/>
        <v>1</v>
      </c>
      <c r="N396" s="1014"/>
      <c r="O396" s="1004">
        <f t="shared" si="71"/>
        <v>1</v>
      </c>
      <c r="P396" s="1014"/>
      <c r="Q396" s="1004">
        <f t="shared" si="72"/>
        <v>0</v>
      </c>
      <c r="R396" s="1064">
        <f t="shared" si="73"/>
        <v>0</v>
      </c>
      <c r="S396" s="1003">
        <f t="shared" si="74"/>
        <v>0</v>
      </c>
    </row>
    <row r="397" spans="1:19">
      <c r="A397" s="1012"/>
      <c r="B397" s="1013"/>
      <c r="C397" s="1004">
        <f t="shared" si="65"/>
        <v>1</v>
      </c>
      <c r="D397" s="1014"/>
      <c r="E397" s="1004">
        <f t="shared" si="66"/>
        <v>1</v>
      </c>
      <c r="F397" s="1014"/>
      <c r="G397" s="1004">
        <f t="shared" si="67"/>
        <v>1</v>
      </c>
      <c r="H397" s="1014"/>
      <c r="I397" s="1004">
        <f t="shared" si="68"/>
        <v>1</v>
      </c>
      <c r="J397" s="1014"/>
      <c r="K397" s="1004">
        <f t="shared" si="69"/>
        <v>1</v>
      </c>
      <c r="L397" s="1014"/>
      <c r="M397" s="1004">
        <f t="shared" si="70"/>
        <v>1</v>
      </c>
      <c r="N397" s="1014"/>
      <c r="O397" s="1004">
        <f t="shared" si="71"/>
        <v>1</v>
      </c>
      <c r="P397" s="1014"/>
      <c r="Q397" s="1004">
        <f t="shared" si="72"/>
        <v>0</v>
      </c>
      <c r="R397" s="1064">
        <f t="shared" si="73"/>
        <v>0</v>
      </c>
      <c r="S397" s="1003">
        <f t="shared" si="74"/>
        <v>0</v>
      </c>
    </row>
    <row r="398" spans="1:19">
      <c r="A398" s="1012"/>
      <c r="B398" s="1013"/>
      <c r="C398" s="1004">
        <f t="shared" si="65"/>
        <v>1</v>
      </c>
      <c r="D398" s="1014"/>
      <c r="E398" s="1004">
        <f t="shared" si="66"/>
        <v>1</v>
      </c>
      <c r="F398" s="1014"/>
      <c r="G398" s="1004">
        <f t="shared" si="67"/>
        <v>1</v>
      </c>
      <c r="H398" s="1014"/>
      <c r="I398" s="1004">
        <f t="shared" si="68"/>
        <v>1</v>
      </c>
      <c r="J398" s="1014"/>
      <c r="K398" s="1004">
        <f t="shared" si="69"/>
        <v>1</v>
      </c>
      <c r="L398" s="1014"/>
      <c r="M398" s="1004">
        <f t="shared" si="70"/>
        <v>1</v>
      </c>
      <c r="N398" s="1014"/>
      <c r="O398" s="1004">
        <f t="shared" si="71"/>
        <v>1</v>
      </c>
      <c r="P398" s="1014"/>
      <c r="Q398" s="1004">
        <f t="shared" si="72"/>
        <v>0</v>
      </c>
      <c r="R398" s="1064">
        <f t="shared" si="73"/>
        <v>0</v>
      </c>
      <c r="S398" s="1003">
        <f t="shared" si="74"/>
        <v>0</v>
      </c>
    </row>
    <row r="399" spans="1:19">
      <c r="A399" s="1012"/>
      <c r="B399" s="1013"/>
      <c r="C399" s="1004">
        <f t="shared" si="65"/>
        <v>1</v>
      </c>
      <c r="D399" s="1014"/>
      <c r="E399" s="1004">
        <f t="shared" si="66"/>
        <v>1</v>
      </c>
      <c r="F399" s="1014"/>
      <c r="G399" s="1004">
        <f t="shared" si="67"/>
        <v>1</v>
      </c>
      <c r="H399" s="1014"/>
      <c r="I399" s="1004">
        <f t="shared" si="68"/>
        <v>1</v>
      </c>
      <c r="J399" s="1014"/>
      <c r="K399" s="1004">
        <f t="shared" si="69"/>
        <v>1</v>
      </c>
      <c r="L399" s="1014"/>
      <c r="M399" s="1004">
        <f t="shared" si="70"/>
        <v>1</v>
      </c>
      <c r="N399" s="1014"/>
      <c r="O399" s="1004">
        <f t="shared" si="71"/>
        <v>1</v>
      </c>
      <c r="P399" s="1014"/>
      <c r="Q399" s="1004">
        <f t="shared" si="72"/>
        <v>0</v>
      </c>
      <c r="R399" s="1064">
        <f t="shared" si="73"/>
        <v>0</v>
      </c>
      <c r="S399" s="1003">
        <f t="shared" si="74"/>
        <v>0</v>
      </c>
    </row>
    <row r="400" spans="1:19">
      <c r="A400" s="1012"/>
      <c r="B400" s="1013"/>
      <c r="C400" s="1004">
        <f t="shared" si="65"/>
        <v>1</v>
      </c>
      <c r="D400" s="1014"/>
      <c r="E400" s="1004">
        <f t="shared" si="66"/>
        <v>1</v>
      </c>
      <c r="F400" s="1014"/>
      <c r="G400" s="1004">
        <f t="shared" si="67"/>
        <v>1</v>
      </c>
      <c r="H400" s="1014"/>
      <c r="I400" s="1004">
        <f t="shared" si="68"/>
        <v>1</v>
      </c>
      <c r="J400" s="1014"/>
      <c r="K400" s="1004">
        <f t="shared" si="69"/>
        <v>1</v>
      </c>
      <c r="L400" s="1014"/>
      <c r="M400" s="1004">
        <f t="shared" si="70"/>
        <v>1</v>
      </c>
      <c r="N400" s="1014"/>
      <c r="O400" s="1004">
        <f t="shared" si="71"/>
        <v>1</v>
      </c>
      <c r="P400" s="1014"/>
      <c r="Q400" s="1004">
        <f t="shared" si="72"/>
        <v>0</v>
      </c>
      <c r="R400" s="1064">
        <f t="shared" si="73"/>
        <v>0</v>
      </c>
      <c r="S400" s="1003">
        <f t="shared" si="74"/>
        <v>0</v>
      </c>
    </row>
    <row r="401" spans="1:19">
      <c r="A401" s="1012"/>
      <c r="B401" s="1013"/>
      <c r="C401" s="1004">
        <f t="shared" si="65"/>
        <v>1</v>
      </c>
      <c r="D401" s="1014"/>
      <c r="E401" s="1004">
        <f t="shared" si="66"/>
        <v>1</v>
      </c>
      <c r="F401" s="1014"/>
      <c r="G401" s="1004">
        <f t="shared" si="67"/>
        <v>1</v>
      </c>
      <c r="H401" s="1014"/>
      <c r="I401" s="1004">
        <f t="shared" si="68"/>
        <v>1</v>
      </c>
      <c r="J401" s="1014"/>
      <c r="K401" s="1004">
        <f t="shared" si="69"/>
        <v>1</v>
      </c>
      <c r="L401" s="1014"/>
      <c r="M401" s="1004">
        <f t="shared" si="70"/>
        <v>1</v>
      </c>
      <c r="N401" s="1014"/>
      <c r="O401" s="1004">
        <f t="shared" si="71"/>
        <v>1</v>
      </c>
      <c r="P401" s="1014"/>
      <c r="Q401" s="1004">
        <f t="shared" si="72"/>
        <v>0</v>
      </c>
      <c r="R401" s="1064">
        <f t="shared" si="73"/>
        <v>0</v>
      </c>
      <c r="S401" s="1003">
        <f t="shared" si="74"/>
        <v>0</v>
      </c>
    </row>
    <row r="402" spans="1:19">
      <c r="A402" s="1012"/>
      <c r="B402" s="1013"/>
      <c r="C402" s="1004">
        <f t="shared" si="65"/>
        <v>1</v>
      </c>
      <c r="D402" s="1014"/>
      <c r="E402" s="1004">
        <f t="shared" si="66"/>
        <v>1</v>
      </c>
      <c r="F402" s="1014"/>
      <c r="G402" s="1004">
        <f t="shared" si="67"/>
        <v>1</v>
      </c>
      <c r="H402" s="1014"/>
      <c r="I402" s="1004">
        <f t="shared" si="68"/>
        <v>1</v>
      </c>
      <c r="J402" s="1014"/>
      <c r="K402" s="1004">
        <f t="shared" si="69"/>
        <v>1</v>
      </c>
      <c r="L402" s="1014"/>
      <c r="M402" s="1004">
        <f t="shared" si="70"/>
        <v>1</v>
      </c>
      <c r="N402" s="1014"/>
      <c r="O402" s="1004">
        <f t="shared" si="71"/>
        <v>1</v>
      </c>
      <c r="P402" s="1014"/>
      <c r="Q402" s="1004">
        <f t="shared" si="72"/>
        <v>0</v>
      </c>
      <c r="R402" s="1064">
        <f t="shared" si="73"/>
        <v>0</v>
      </c>
      <c r="S402" s="1003">
        <f t="shared" si="74"/>
        <v>0</v>
      </c>
    </row>
    <row r="403" spans="1:19">
      <c r="A403" s="1012"/>
      <c r="B403" s="1013"/>
      <c r="C403" s="1004">
        <f t="shared" si="65"/>
        <v>1</v>
      </c>
      <c r="D403" s="1014"/>
      <c r="E403" s="1004">
        <f t="shared" si="66"/>
        <v>1</v>
      </c>
      <c r="F403" s="1014"/>
      <c r="G403" s="1004">
        <f t="shared" si="67"/>
        <v>1</v>
      </c>
      <c r="H403" s="1014"/>
      <c r="I403" s="1004">
        <f t="shared" si="68"/>
        <v>1</v>
      </c>
      <c r="J403" s="1014"/>
      <c r="K403" s="1004">
        <f t="shared" si="69"/>
        <v>1</v>
      </c>
      <c r="L403" s="1014"/>
      <c r="M403" s="1004">
        <f t="shared" si="70"/>
        <v>1</v>
      </c>
      <c r="N403" s="1014"/>
      <c r="O403" s="1004">
        <f t="shared" si="71"/>
        <v>1</v>
      </c>
      <c r="P403" s="1014"/>
      <c r="Q403" s="1004">
        <f t="shared" si="72"/>
        <v>0</v>
      </c>
      <c r="R403" s="1064">
        <f t="shared" si="73"/>
        <v>0</v>
      </c>
      <c r="S403" s="1003">
        <f t="shared" si="74"/>
        <v>0</v>
      </c>
    </row>
    <row r="404" spans="1:19">
      <c r="A404" s="1012"/>
      <c r="B404" s="1013"/>
      <c r="C404" s="1004">
        <f t="shared" si="65"/>
        <v>1</v>
      </c>
      <c r="D404" s="1014"/>
      <c r="E404" s="1004">
        <f t="shared" si="66"/>
        <v>1</v>
      </c>
      <c r="F404" s="1014"/>
      <c r="G404" s="1004">
        <f t="shared" si="67"/>
        <v>1</v>
      </c>
      <c r="H404" s="1014"/>
      <c r="I404" s="1004">
        <f t="shared" si="68"/>
        <v>1</v>
      </c>
      <c r="J404" s="1014"/>
      <c r="K404" s="1004">
        <f t="shared" si="69"/>
        <v>1</v>
      </c>
      <c r="L404" s="1014"/>
      <c r="M404" s="1004">
        <f t="shared" si="70"/>
        <v>1</v>
      </c>
      <c r="N404" s="1014"/>
      <c r="O404" s="1004">
        <f t="shared" si="71"/>
        <v>1</v>
      </c>
      <c r="P404" s="1014"/>
      <c r="Q404" s="1004">
        <f t="shared" si="72"/>
        <v>0</v>
      </c>
      <c r="R404" s="1064">
        <f t="shared" si="73"/>
        <v>0</v>
      </c>
      <c r="S404" s="1003">
        <f t="shared" si="74"/>
        <v>0</v>
      </c>
    </row>
    <row r="405" spans="1:19">
      <c r="A405" s="1012"/>
      <c r="B405" s="1013"/>
      <c r="C405" s="1004">
        <f t="shared" si="65"/>
        <v>1</v>
      </c>
      <c r="D405" s="1014"/>
      <c r="E405" s="1004">
        <f t="shared" si="66"/>
        <v>1</v>
      </c>
      <c r="F405" s="1014"/>
      <c r="G405" s="1004">
        <f t="shared" si="67"/>
        <v>1</v>
      </c>
      <c r="H405" s="1014"/>
      <c r="I405" s="1004">
        <f t="shared" si="68"/>
        <v>1</v>
      </c>
      <c r="J405" s="1014"/>
      <c r="K405" s="1004">
        <f t="shared" si="69"/>
        <v>1</v>
      </c>
      <c r="L405" s="1014"/>
      <c r="M405" s="1004">
        <f t="shared" si="70"/>
        <v>1</v>
      </c>
      <c r="N405" s="1014"/>
      <c r="O405" s="1004">
        <f t="shared" si="71"/>
        <v>1</v>
      </c>
      <c r="P405" s="1014"/>
      <c r="Q405" s="1004">
        <f t="shared" si="72"/>
        <v>0</v>
      </c>
      <c r="R405" s="1064">
        <f t="shared" si="73"/>
        <v>0</v>
      </c>
      <c r="S405" s="1003">
        <f t="shared" si="74"/>
        <v>0</v>
      </c>
    </row>
    <row r="406" spans="1:19">
      <c r="A406" s="1012"/>
      <c r="B406" s="1013"/>
      <c r="C406" s="1004">
        <f t="shared" si="65"/>
        <v>1</v>
      </c>
      <c r="D406" s="1014"/>
      <c r="E406" s="1004">
        <f t="shared" si="66"/>
        <v>1</v>
      </c>
      <c r="F406" s="1014"/>
      <c r="G406" s="1004">
        <f t="shared" si="67"/>
        <v>1</v>
      </c>
      <c r="H406" s="1014"/>
      <c r="I406" s="1004">
        <f t="shared" si="68"/>
        <v>1</v>
      </c>
      <c r="J406" s="1014"/>
      <c r="K406" s="1004">
        <f t="shared" si="69"/>
        <v>1</v>
      </c>
      <c r="L406" s="1014"/>
      <c r="M406" s="1004">
        <f t="shared" si="70"/>
        <v>1</v>
      </c>
      <c r="N406" s="1014"/>
      <c r="O406" s="1004">
        <f t="shared" si="71"/>
        <v>1</v>
      </c>
      <c r="P406" s="1014"/>
      <c r="Q406" s="1004">
        <f t="shared" si="72"/>
        <v>0</v>
      </c>
      <c r="R406" s="1064">
        <f t="shared" si="73"/>
        <v>0</v>
      </c>
      <c r="S406" s="1003">
        <f t="shared" si="74"/>
        <v>0</v>
      </c>
    </row>
    <row r="407" spans="1:19">
      <c r="A407" s="1012"/>
      <c r="B407" s="1013"/>
      <c r="C407" s="1004">
        <f t="shared" si="65"/>
        <v>1</v>
      </c>
      <c r="D407" s="1014"/>
      <c r="E407" s="1004">
        <f t="shared" si="66"/>
        <v>1</v>
      </c>
      <c r="F407" s="1014"/>
      <c r="G407" s="1004">
        <f t="shared" si="67"/>
        <v>1</v>
      </c>
      <c r="H407" s="1014"/>
      <c r="I407" s="1004">
        <f t="shared" si="68"/>
        <v>1</v>
      </c>
      <c r="J407" s="1014"/>
      <c r="K407" s="1004">
        <f t="shared" si="69"/>
        <v>1</v>
      </c>
      <c r="L407" s="1014"/>
      <c r="M407" s="1004">
        <f t="shared" si="70"/>
        <v>1</v>
      </c>
      <c r="N407" s="1014"/>
      <c r="O407" s="1004">
        <f t="shared" si="71"/>
        <v>1</v>
      </c>
      <c r="P407" s="1014"/>
      <c r="Q407" s="1004">
        <f t="shared" si="72"/>
        <v>0</v>
      </c>
      <c r="R407" s="1064">
        <f t="shared" si="73"/>
        <v>0</v>
      </c>
      <c r="S407" s="1003">
        <f t="shared" si="74"/>
        <v>0</v>
      </c>
    </row>
    <row r="408" spans="1:19">
      <c r="A408" s="1012"/>
      <c r="B408" s="1013"/>
      <c r="C408" s="1004">
        <f t="shared" si="65"/>
        <v>1</v>
      </c>
      <c r="D408" s="1014"/>
      <c r="E408" s="1004">
        <f t="shared" si="66"/>
        <v>1</v>
      </c>
      <c r="F408" s="1014"/>
      <c r="G408" s="1004">
        <f t="shared" si="67"/>
        <v>1</v>
      </c>
      <c r="H408" s="1014"/>
      <c r="I408" s="1004">
        <f t="shared" si="68"/>
        <v>1</v>
      </c>
      <c r="J408" s="1014"/>
      <c r="K408" s="1004">
        <f t="shared" si="69"/>
        <v>1</v>
      </c>
      <c r="L408" s="1014"/>
      <c r="M408" s="1004">
        <f t="shared" si="70"/>
        <v>1</v>
      </c>
      <c r="N408" s="1014"/>
      <c r="O408" s="1004">
        <f t="shared" si="71"/>
        <v>1</v>
      </c>
      <c r="P408" s="1014"/>
      <c r="Q408" s="1004">
        <f t="shared" si="72"/>
        <v>0</v>
      </c>
      <c r="R408" s="1064">
        <f t="shared" si="73"/>
        <v>0</v>
      </c>
      <c r="S408" s="1003">
        <f t="shared" si="74"/>
        <v>0</v>
      </c>
    </row>
    <row r="409" spans="1:19">
      <c r="A409" s="1012"/>
      <c r="B409" s="1013"/>
      <c r="C409" s="1004">
        <f t="shared" si="65"/>
        <v>1</v>
      </c>
      <c r="D409" s="1014"/>
      <c r="E409" s="1004">
        <f t="shared" si="66"/>
        <v>1</v>
      </c>
      <c r="F409" s="1014"/>
      <c r="G409" s="1004">
        <f t="shared" si="67"/>
        <v>1</v>
      </c>
      <c r="H409" s="1014"/>
      <c r="I409" s="1004">
        <f t="shared" si="68"/>
        <v>1</v>
      </c>
      <c r="J409" s="1014"/>
      <c r="K409" s="1004">
        <f t="shared" si="69"/>
        <v>1</v>
      </c>
      <c r="L409" s="1014"/>
      <c r="M409" s="1004">
        <f t="shared" si="70"/>
        <v>1</v>
      </c>
      <c r="N409" s="1014"/>
      <c r="O409" s="1004">
        <f t="shared" si="71"/>
        <v>1</v>
      </c>
      <c r="P409" s="1014"/>
      <c r="Q409" s="1004">
        <f t="shared" si="72"/>
        <v>0</v>
      </c>
      <c r="R409" s="1064">
        <f t="shared" si="73"/>
        <v>0</v>
      </c>
      <c r="S409" s="1003">
        <f t="shared" si="74"/>
        <v>0</v>
      </c>
    </row>
    <row r="410" spans="1:19">
      <c r="A410" s="1012"/>
      <c r="B410" s="1013"/>
      <c r="C410" s="1004">
        <f t="shared" ref="C410:C473" si="75">IF(B410="",1,(LOOKUP(B410,$3:$3,$4:$4)-LOOKUP($B$24,$3:$3,$4:$4)+100)/100)</f>
        <v>1</v>
      </c>
      <c r="D410" s="1014"/>
      <c r="E410" s="1004">
        <f t="shared" ref="E410:E473" si="76">(SUMIF($5:$5,D410,$6:$6)-SUMIF($5:$5,$D$24,$6:$6)+100)/100</f>
        <v>1</v>
      </c>
      <c r="F410" s="1014"/>
      <c r="G410" s="1004">
        <f t="shared" ref="G410:G473" si="77">(SUMIF($7:$7,F410,$8:$8)-SUMIF($7:$7,$F$24,$8:$8)+100)/100</f>
        <v>1</v>
      </c>
      <c r="H410" s="1014"/>
      <c r="I410" s="1004">
        <f t="shared" ref="I410:I473" si="78">(SUMIF($9:$9,H410,$10:$10)-SUMIF($9:$9,$H$24,$10:$10)+100)/100</f>
        <v>1</v>
      </c>
      <c r="J410" s="1014"/>
      <c r="K410" s="1004">
        <f t="shared" ref="K410:K473" si="79">(SUMIF($11:$11,J410,$12:$12)-SUMIF($11:$11,$J$24,$12:$12)+100)/100</f>
        <v>1</v>
      </c>
      <c r="L410" s="1014"/>
      <c r="M410" s="1004">
        <f t="shared" ref="M410:M473" si="80">(SUMIF($13:$13,L410,$14:$14)-SUMIF($13:$13,$L$24,$14:$14)+100)/100</f>
        <v>1</v>
      </c>
      <c r="N410" s="1014"/>
      <c r="O410" s="1004">
        <f t="shared" ref="O410:O473" si="81">(SUMIF($15:$15,N410,$16:$16)-SUMIF($15:$15,$N$24,$16:$16)+100)/100</f>
        <v>1</v>
      </c>
      <c r="P410" s="1014"/>
      <c r="Q410" s="1004">
        <f t="shared" ref="Q410:Q473" si="82">(SUMIF($17:$17,P410,$18:$18)-SUMIF($17:$17,$P$24,$18:$18)+100)/100</f>
        <v>0</v>
      </c>
      <c r="R410" s="1064">
        <f t="shared" ref="R410:R473" si="83">IF(B410="",0,ROUND($R$24*C410*E410*G410*I410*K410*M410*O410*Q410,0))</f>
        <v>0</v>
      </c>
      <c r="S410" s="1003">
        <f t="shared" si="74"/>
        <v>0</v>
      </c>
    </row>
    <row r="411" spans="1:19">
      <c r="A411" s="1012"/>
      <c r="B411" s="1013"/>
      <c r="C411" s="1004">
        <f t="shared" si="75"/>
        <v>1</v>
      </c>
      <c r="D411" s="1014"/>
      <c r="E411" s="1004">
        <f t="shared" si="76"/>
        <v>1</v>
      </c>
      <c r="F411" s="1014"/>
      <c r="G411" s="1004">
        <f t="shared" si="77"/>
        <v>1</v>
      </c>
      <c r="H411" s="1014"/>
      <c r="I411" s="1004">
        <f t="shared" si="78"/>
        <v>1</v>
      </c>
      <c r="J411" s="1014"/>
      <c r="K411" s="1004">
        <f t="shared" si="79"/>
        <v>1</v>
      </c>
      <c r="L411" s="1014"/>
      <c r="M411" s="1004">
        <f t="shared" si="80"/>
        <v>1</v>
      </c>
      <c r="N411" s="1014"/>
      <c r="O411" s="1004">
        <f t="shared" si="81"/>
        <v>1</v>
      </c>
      <c r="P411" s="1014"/>
      <c r="Q411" s="1004">
        <f t="shared" si="82"/>
        <v>0</v>
      </c>
      <c r="R411" s="1064">
        <f t="shared" si="83"/>
        <v>0</v>
      </c>
      <c r="S411" s="1003">
        <f t="shared" si="74"/>
        <v>0</v>
      </c>
    </row>
    <row r="412" spans="1:19">
      <c r="A412" s="1012"/>
      <c r="B412" s="1013"/>
      <c r="C412" s="1004">
        <f t="shared" si="75"/>
        <v>1</v>
      </c>
      <c r="D412" s="1014"/>
      <c r="E412" s="1004">
        <f t="shared" si="76"/>
        <v>1</v>
      </c>
      <c r="F412" s="1014"/>
      <c r="G412" s="1004">
        <f t="shared" si="77"/>
        <v>1</v>
      </c>
      <c r="H412" s="1014"/>
      <c r="I412" s="1004">
        <f t="shared" si="78"/>
        <v>1</v>
      </c>
      <c r="J412" s="1014"/>
      <c r="K412" s="1004">
        <f t="shared" si="79"/>
        <v>1</v>
      </c>
      <c r="L412" s="1014"/>
      <c r="M412" s="1004">
        <f t="shared" si="80"/>
        <v>1</v>
      </c>
      <c r="N412" s="1014"/>
      <c r="O412" s="1004">
        <f t="shared" si="81"/>
        <v>1</v>
      </c>
      <c r="P412" s="1014"/>
      <c r="Q412" s="1004">
        <f t="shared" si="82"/>
        <v>0</v>
      </c>
      <c r="R412" s="1064">
        <f t="shared" si="83"/>
        <v>0</v>
      </c>
      <c r="S412" s="1003">
        <f t="shared" si="74"/>
        <v>0</v>
      </c>
    </row>
    <row r="413" spans="1:19">
      <c r="A413" s="1012"/>
      <c r="B413" s="1013"/>
      <c r="C413" s="1004">
        <f t="shared" si="75"/>
        <v>1</v>
      </c>
      <c r="D413" s="1014"/>
      <c r="E413" s="1004">
        <f t="shared" si="76"/>
        <v>1</v>
      </c>
      <c r="F413" s="1014"/>
      <c r="G413" s="1004">
        <f t="shared" si="77"/>
        <v>1</v>
      </c>
      <c r="H413" s="1014"/>
      <c r="I413" s="1004">
        <f t="shared" si="78"/>
        <v>1</v>
      </c>
      <c r="J413" s="1014"/>
      <c r="K413" s="1004">
        <f t="shared" si="79"/>
        <v>1</v>
      </c>
      <c r="L413" s="1014"/>
      <c r="M413" s="1004">
        <f t="shared" si="80"/>
        <v>1</v>
      </c>
      <c r="N413" s="1014"/>
      <c r="O413" s="1004">
        <f t="shared" si="81"/>
        <v>1</v>
      </c>
      <c r="P413" s="1014"/>
      <c r="Q413" s="1004">
        <f t="shared" si="82"/>
        <v>0</v>
      </c>
      <c r="R413" s="1064">
        <f t="shared" si="83"/>
        <v>0</v>
      </c>
      <c r="S413" s="1003">
        <f t="shared" si="74"/>
        <v>0</v>
      </c>
    </row>
    <row r="414" spans="1:19">
      <c r="A414" s="1012"/>
      <c r="B414" s="1013"/>
      <c r="C414" s="1004">
        <f t="shared" si="75"/>
        <v>1</v>
      </c>
      <c r="D414" s="1014"/>
      <c r="E414" s="1004">
        <f t="shared" si="76"/>
        <v>1</v>
      </c>
      <c r="F414" s="1014"/>
      <c r="G414" s="1004">
        <f t="shared" si="77"/>
        <v>1</v>
      </c>
      <c r="H414" s="1014"/>
      <c r="I414" s="1004">
        <f t="shared" si="78"/>
        <v>1</v>
      </c>
      <c r="J414" s="1014"/>
      <c r="K414" s="1004">
        <f t="shared" si="79"/>
        <v>1</v>
      </c>
      <c r="L414" s="1014"/>
      <c r="M414" s="1004">
        <f t="shared" si="80"/>
        <v>1</v>
      </c>
      <c r="N414" s="1014"/>
      <c r="O414" s="1004">
        <f t="shared" si="81"/>
        <v>1</v>
      </c>
      <c r="P414" s="1014"/>
      <c r="Q414" s="1004">
        <f t="shared" si="82"/>
        <v>0</v>
      </c>
      <c r="R414" s="1064">
        <f t="shared" si="83"/>
        <v>0</v>
      </c>
      <c r="S414" s="1003">
        <f t="shared" si="74"/>
        <v>0</v>
      </c>
    </row>
    <row r="415" spans="1:19">
      <c r="A415" s="1012"/>
      <c r="B415" s="1013"/>
      <c r="C415" s="1004">
        <f t="shared" si="75"/>
        <v>1</v>
      </c>
      <c r="D415" s="1014"/>
      <c r="E415" s="1004">
        <f t="shared" si="76"/>
        <v>1</v>
      </c>
      <c r="F415" s="1014"/>
      <c r="G415" s="1004">
        <f t="shared" si="77"/>
        <v>1</v>
      </c>
      <c r="H415" s="1014"/>
      <c r="I415" s="1004">
        <f t="shared" si="78"/>
        <v>1</v>
      </c>
      <c r="J415" s="1014"/>
      <c r="K415" s="1004">
        <f t="shared" si="79"/>
        <v>1</v>
      </c>
      <c r="L415" s="1014"/>
      <c r="M415" s="1004">
        <f t="shared" si="80"/>
        <v>1</v>
      </c>
      <c r="N415" s="1014"/>
      <c r="O415" s="1004">
        <f t="shared" si="81"/>
        <v>1</v>
      </c>
      <c r="P415" s="1014"/>
      <c r="Q415" s="1004">
        <f t="shared" si="82"/>
        <v>0</v>
      </c>
      <c r="R415" s="1064">
        <f t="shared" si="83"/>
        <v>0</v>
      </c>
      <c r="S415" s="1003">
        <f t="shared" si="74"/>
        <v>0</v>
      </c>
    </row>
    <row r="416" spans="1:19">
      <c r="A416" s="1012"/>
      <c r="B416" s="1013"/>
      <c r="C416" s="1004">
        <f t="shared" si="75"/>
        <v>1</v>
      </c>
      <c r="D416" s="1014"/>
      <c r="E416" s="1004">
        <f t="shared" si="76"/>
        <v>1</v>
      </c>
      <c r="F416" s="1014"/>
      <c r="G416" s="1004">
        <f t="shared" si="77"/>
        <v>1</v>
      </c>
      <c r="H416" s="1014"/>
      <c r="I416" s="1004">
        <f t="shared" si="78"/>
        <v>1</v>
      </c>
      <c r="J416" s="1014"/>
      <c r="K416" s="1004">
        <f t="shared" si="79"/>
        <v>1</v>
      </c>
      <c r="L416" s="1014"/>
      <c r="M416" s="1004">
        <f t="shared" si="80"/>
        <v>1</v>
      </c>
      <c r="N416" s="1014"/>
      <c r="O416" s="1004">
        <f t="shared" si="81"/>
        <v>1</v>
      </c>
      <c r="P416" s="1014"/>
      <c r="Q416" s="1004">
        <f t="shared" si="82"/>
        <v>0</v>
      </c>
      <c r="R416" s="1064">
        <f t="shared" si="83"/>
        <v>0</v>
      </c>
      <c r="S416" s="1003">
        <f t="shared" si="74"/>
        <v>0</v>
      </c>
    </row>
    <row r="417" spans="1:19">
      <c r="A417" s="1012"/>
      <c r="B417" s="1013"/>
      <c r="C417" s="1004">
        <f t="shared" si="75"/>
        <v>1</v>
      </c>
      <c r="D417" s="1014"/>
      <c r="E417" s="1004">
        <f t="shared" si="76"/>
        <v>1</v>
      </c>
      <c r="F417" s="1014"/>
      <c r="G417" s="1004">
        <f t="shared" si="77"/>
        <v>1</v>
      </c>
      <c r="H417" s="1014"/>
      <c r="I417" s="1004">
        <f t="shared" si="78"/>
        <v>1</v>
      </c>
      <c r="J417" s="1014"/>
      <c r="K417" s="1004">
        <f t="shared" si="79"/>
        <v>1</v>
      </c>
      <c r="L417" s="1014"/>
      <c r="M417" s="1004">
        <f t="shared" si="80"/>
        <v>1</v>
      </c>
      <c r="N417" s="1014"/>
      <c r="O417" s="1004">
        <f t="shared" si="81"/>
        <v>1</v>
      </c>
      <c r="P417" s="1014"/>
      <c r="Q417" s="1004">
        <f t="shared" si="82"/>
        <v>0</v>
      </c>
      <c r="R417" s="1064">
        <f t="shared" si="83"/>
        <v>0</v>
      </c>
      <c r="S417" s="1003">
        <f t="shared" si="74"/>
        <v>0</v>
      </c>
    </row>
    <row r="418" spans="1:19">
      <c r="A418" s="1012"/>
      <c r="B418" s="1013"/>
      <c r="C418" s="1004">
        <f t="shared" si="75"/>
        <v>1</v>
      </c>
      <c r="D418" s="1014"/>
      <c r="E418" s="1004">
        <f t="shared" si="76"/>
        <v>1</v>
      </c>
      <c r="F418" s="1014"/>
      <c r="G418" s="1004">
        <f t="shared" si="77"/>
        <v>1</v>
      </c>
      <c r="H418" s="1014"/>
      <c r="I418" s="1004">
        <f t="shared" si="78"/>
        <v>1</v>
      </c>
      <c r="J418" s="1014"/>
      <c r="K418" s="1004">
        <f t="shared" si="79"/>
        <v>1</v>
      </c>
      <c r="L418" s="1014"/>
      <c r="M418" s="1004">
        <f t="shared" si="80"/>
        <v>1</v>
      </c>
      <c r="N418" s="1014"/>
      <c r="O418" s="1004">
        <f t="shared" si="81"/>
        <v>1</v>
      </c>
      <c r="P418" s="1014"/>
      <c r="Q418" s="1004">
        <f t="shared" si="82"/>
        <v>0</v>
      </c>
      <c r="R418" s="1064">
        <f t="shared" si="83"/>
        <v>0</v>
      </c>
      <c r="S418" s="1003">
        <f t="shared" si="74"/>
        <v>0</v>
      </c>
    </row>
    <row r="419" spans="1:19">
      <c r="A419" s="1012"/>
      <c r="B419" s="1013"/>
      <c r="C419" s="1004">
        <f t="shared" si="75"/>
        <v>1</v>
      </c>
      <c r="D419" s="1014"/>
      <c r="E419" s="1004">
        <f t="shared" si="76"/>
        <v>1</v>
      </c>
      <c r="F419" s="1014"/>
      <c r="G419" s="1004">
        <f t="shared" si="77"/>
        <v>1</v>
      </c>
      <c r="H419" s="1014"/>
      <c r="I419" s="1004">
        <f t="shared" si="78"/>
        <v>1</v>
      </c>
      <c r="J419" s="1014"/>
      <c r="K419" s="1004">
        <f t="shared" si="79"/>
        <v>1</v>
      </c>
      <c r="L419" s="1014"/>
      <c r="M419" s="1004">
        <f t="shared" si="80"/>
        <v>1</v>
      </c>
      <c r="N419" s="1014"/>
      <c r="O419" s="1004">
        <f t="shared" si="81"/>
        <v>1</v>
      </c>
      <c r="P419" s="1014"/>
      <c r="Q419" s="1004">
        <f t="shared" si="82"/>
        <v>0</v>
      </c>
      <c r="R419" s="1064">
        <f t="shared" si="83"/>
        <v>0</v>
      </c>
      <c r="S419" s="1003">
        <f t="shared" si="74"/>
        <v>0</v>
      </c>
    </row>
    <row r="420" spans="1:19">
      <c r="A420" s="1012"/>
      <c r="B420" s="1013"/>
      <c r="C420" s="1004">
        <f t="shared" si="75"/>
        <v>1</v>
      </c>
      <c r="D420" s="1014"/>
      <c r="E420" s="1004">
        <f t="shared" si="76"/>
        <v>1</v>
      </c>
      <c r="F420" s="1014"/>
      <c r="G420" s="1004">
        <f t="shared" si="77"/>
        <v>1</v>
      </c>
      <c r="H420" s="1014"/>
      <c r="I420" s="1004">
        <f t="shared" si="78"/>
        <v>1</v>
      </c>
      <c r="J420" s="1014"/>
      <c r="K420" s="1004">
        <f t="shared" si="79"/>
        <v>1</v>
      </c>
      <c r="L420" s="1014"/>
      <c r="M420" s="1004">
        <f t="shared" si="80"/>
        <v>1</v>
      </c>
      <c r="N420" s="1014"/>
      <c r="O420" s="1004">
        <f t="shared" si="81"/>
        <v>1</v>
      </c>
      <c r="P420" s="1014"/>
      <c r="Q420" s="1004">
        <f t="shared" si="82"/>
        <v>0</v>
      </c>
      <c r="R420" s="1064">
        <f t="shared" si="83"/>
        <v>0</v>
      </c>
      <c r="S420" s="1003">
        <f t="shared" si="74"/>
        <v>0</v>
      </c>
    </row>
    <row r="421" spans="1:19">
      <c r="A421" s="1012"/>
      <c r="B421" s="1013"/>
      <c r="C421" s="1004">
        <f t="shared" si="75"/>
        <v>1</v>
      </c>
      <c r="D421" s="1014"/>
      <c r="E421" s="1004">
        <f t="shared" si="76"/>
        <v>1</v>
      </c>
      <c r="F421" s="1014"/>
      <c r="G421" s="1004">
        <f t="shared" si="77"/>
        <v>1</v>
      </c>
      <c r="H421" s="1014"/>
      <c r="I421" s="1004">
        <f t="shared" si="78"/>
        <v>1</v>
      </c>
      <c r="J421" s="1014"/>
      <c r="K421" s="1004">
        <f t="shared" si="79"/>
        <v>1</v>
      </c>
      <c r="L421" s="1014"/>
      <c r="M421" s="1004">
        <f t="shared" si="80"/>
        <v>1</v>
      </c>
      <c r="N421" s="1014"/>
      <c r="O421" s="1004">
        <f t="shared" si="81"/>
        <v>1</v>
      </c>
      <c r="P421" s="1014"/>
      <c r="Q421" s="1004">
        <f t="shared" si="82"/>
        <v>0</v>
      </c>
      <c r="R421" s="1064">
        <f t="shared" si="83"/>
        <v>0</v>
      </c>
      <c r="S421" s="1003">
        <f t="shared" si="74"/>
        <v>0</v>
      </c>
    </row>
    <row r="422" spans="1:19">
      <c r="A422" s="1012"/>
      <c r="B422" s="1013"/>
      <c r="C422" s="1004">
        <f t="shared" si="75"/>
        <v>1</v>
      </c>
      <c r="D422" s="1014"/>
      <c r="E422" s="1004">
        <f t="shared" si="76"/>
        <v>1</v>
      </c>
      <c r="F422" s="1014"/>
      <c r="G422" s="1004">
        <f t="shared" si="77"/>
        <v>1</v>
      </c>
      <c r="H422" s="1014"/>
      <c r="I422" s="1004">
        <f t="shared" si="78"/>
        <v>1</v>
      </c>
      <c r="J422" s="1014"/>
      <c r="K422" s="1004">
        <f t="shared" si="79"/>
        <v>1</v>
      </c>
      <c r="L422" s="1014"/>
      <c r="M422" s="1004">
        <f t="shared" si="80"/>
        <v>1</v>
      </c>
      <c r="N422" s="1014"/>
      <c r="O422" s="1004">
        <f t="shared" si="81"/>
        <v>1</v>
      </c>
      <c r="P422" s="1014"/>
      <c r="Q422" s="1004">
        <f t="shared" si="82"/>
        <v>0</v>
      </c>
      <c r="R422" s="1064">
        <f t="shared" si="83"/>
        <v>0</v>
      </c>
      <c r="S422" s="1003">
        <f t="shared" si="74"/>
        <v>0</v>
      </c>
    </row>
    <row r="423" spans="1:19">
      <c r="A423" s="1012"/>
      <c r="B423" s="1013"/>
      <c r="C423" s="1004">
        <f t="shared" si="75"/>
        <v>1</v>
      </c>
      <c r="D423" s="1014"/>
      <c r="E423" s="1004">
        <f t="shared" si="76"/>
        <v>1</v>
      </c>
      <c r="F423" s="1014"/>
      <c r="G423" s="1004">
        <f t="shared" si="77"/>
        <v>1</v>
      </c>
      <c r="H423" s="1014"/>
      <c r="I423" s="1004">
        <f t="shared" si="78"/>
        <v>1</v>
      </c>
      <c r="J423" s="1014"/>
      <c r="K423" s="1004">
        <f t="shared" si="79"/>
        <v>1</v>
      </c>
      <c r="L423" s="1014"/>
      <c r="M423" s="1004">
        <f t="shared" si="80"/>
        <v>1</v>
      </c>
      <c r="N423" s="1014"/>
      <c r="O423" s="1004">
        <f t="shared" si="81"/>
        <v>1</v>
      </c>
      <c r="P423" s="1014"/>
      <c r="Q423" s="1004">
        <f t="shared" si="82"/>
        <v>0</v>
      </c>
      <c r="R423" s="1064">
        <f t="shared" si="83"/>
        <v>0</v>
      </c>
      <c r="S423" s="1003">
        <f t="shared" ref="S423:S467" si="84">ROUND(R423*B423/10000,0)</f>
        <v>0</v>
      </c>
    </row>
    <row r="424" spans="1:19">
      <c r="A424" s="1012"/>
      <c r="B424" s="1013"/>
      <c r="C424" s="1004">
        <f t="shared" si="75"/>
        <v>1</v>
      </c>
      <c r="D424" s="1014"/>
      <c r="E424" s="1004">
        <f t="shared" si="76"/>
        <v>1</v>
      </c>
      <c r="F424" s="1014"/>
      <c r="G424" s="1004">
        <f t="shared" si="77"/>
        <v>1</v>
      </c>
      <c r="H424" s="1014"/>
      <c r="I424" s="1004">
        <f t="shared" si="78"/>
        <v>1</v>
      </c>
      <c r="J424" s="1014"/>
      <c r="K424" s="1004">
        <f t="shared" si="79"/>
        <v>1</v>
      </c>
      <c r="L424" s="1014"/>
      <c r="M424" s="1004">
        <f t="shared" si="80"/>
        <v>1</v>
      </c>
      <c r="N424" s="1014"/>
      <c r="O424" s="1004">
        <f t="shared" si="81"/>
        <v>1</v>
      </c>
      <c r="P424" s="1014"/>
      <c r="Q424" s="1004">
        <f t="shared" si="82"/>
        <v>0</v>
      </c>
      <c r="R424" s="1064">
        <f t="shared" si="83"/>
        <v>0</v>
      </c>
      <c r="S424" s="1003">
        <f t="shared" si="84"/>
        <v>0</v>
      </c>
    </row>
    <row r="425" spans="1:19">
      <c r="A425" s="1012"/>
      <c r="B425" s="1013"/>
      <c r="C425" s="1004">
        <f t="shared" si="75"/>
        <v>1</v>
      </c>
      <c r="D425" s="1014"/>
      <c r="E425" s="1004">
        <f t="shared" si="76"/>
        <v>1</v>
      </c>
      <c r="F425" s="1014"/>
      <c r="G425" s="1004">
        <f t="shared" si="77"/>
        <v>1</v>
      </c>
      <c r="H425" s="1014"/>
      <c r="I425" s="1004">
        <f t="shared" si="78"/>
        <v>1</v>
      </c>
      <c r="J425" s="1014"/>
      <c r="K425" s="1004">
        <f t="shared" si="79"/>
        <v>1</v>
      </c>
      <c r="L425" s="1014"/>
      <c r="M425" s="1004">
        <f t="shared" si="80"/>
        <v>1</v>
      </c>
      <c r="N425" s="1014"/>
      <c r="O425" s="1004">
        <f t="shared" si="81"/>
        <v>1</v>
      </c>
      <c r="P425" s="1014"/>
      <c r="Q425" s="1004">
        <f t="shared" si="82"/>
        <v>0</v>
      </c>
      <c r="R425" s="1064">
        <f t="shared" si="83"/>
        <v>0</v>
      </c>
      <c r="S425" s="1003">
        <f t="shared" si="84"/>
        <v>0</v>
      </c>
    </row>
    <row r="426" spans="1:19">
      <c r="A426" s="1012"/>
      <c r="B426" s="1013"/>
      <c r="C426" s="1004">
        <f t="shared" si="75"/>
        <v>1</v>
      </c>
      <c r="D426" s="1014"/>
      <c r="E426" s="1004">
        <f t="shared" si="76"/>
        <v>1</v>
      </c>
      <c r="F426" s="1014"/>
      <c r="G426" s="1004">
        <f t="shared" si="77"/>
        <v>1</v>
      </c>
      <c r="H426" s="1014"/>
      <c r="I426" s="1004">
        <f t="shared" si="78"/>
        <v>1</v>
      </c>
      <c r="J426" s="1014"/>
      <c r="K426" s="1004">
        <f t="shared" si="79"/>
        <v>1</v>
      </c>
      <c r="L426" s="1014"/>
      <c r="M426" s="1004">
        <f t="shared" si="80"/>
        <v>1</v>
      </c>
      <c r="N426" s="1014"/>
      <c r="O426" s="1004">
        <f t="shared" si="81"/>
        <v>1</v>
      </c>
      <c r="P426" s="1014"/>
      <c r="Q426" s="1004">
        <f t="shared" si="82"/>
        <v>0</v>
      </c>
      <c r="R426" s="1064">
        <f t="shared" si="83"/>
        <v>0</v>
      </c>
      <c r="S426" s="1003">
        <f t="shared" si="84"/>
        <v>0</v>
      </c>
    </row>
    <row r="427" spans="1:19">
      <c r="A427" s="1012"/>
      <c r="B427" s="1013"/>
      <c r="C427" s="1004">
        <f t="shared" si="75"/>
        <v>1</v>
      </c>
      <c r="D427" s="1014"/>
      <c r="E427" s="1004">
        <f t="shared" si="76"/>
        <v>1</v>
      </c>
      <c r="F427" s="1014"/>
      <c r="G427" s="1004">
        <f t="shared" si="77"/>
        <v>1</v>
      </c>
      <c r="H427" s="1014"/>
      <c r="I427" s="1004">
        <f t="shared" si="78"/>
        <v>1</v>
      </c>
      <c r="J427" s="1014"/>
      <c r="K427" s="1004">
        <f t="shared" si="79"/>
        <v>1</v>
      </c>
      <c r="L427" s="1014"/>
      <c r="M427" s="1004">
        <f t="shared" si="80"/>
        <v>1</v>
      </c>
      <c r="N427" s="1014"/>
      <c r="O427" s="1004">
        <f t="shared" si="81"/>
        <v>1</v>
      </c>
      <c r="P427" s="1014"/>
      <c r="Q427" s="1004">
        <f t="shared" si="82"/>
        <v>0</v>
      </c>
      <c r="R427" s="1064">
        <f t="shared" si="83"/>
        <v>0</v>
      </c>
      <c r="S427" s="1003">
        <f t="shared" si="84"/>
        <v>0</v>
      </c>
    </row>
    <row r="428" spans="1:19">
      <c r="A428" s="1012"/>
      <c r="B428" s="1013"/>
      <c r="C428" s="1004">
        <f t="shared" si="75"/>
        <v>1</v>
      </c>
      <c r="D428" s="1014"/>
      <c r="E428" s="1004">
        <f t="shared" si="76"/>
        <v>1</v>
      </c>
      <c r="F428" s="1014"/>
      <c r="G428" s="1004">
        <f t="shared" si="77"/>
        <v>1</v>
      </c>
      <c r="H428" s="1014"/>
      <c r="I428" s="1004">
        <f t="shared" si="78"/>
        <v>1</v>
      </c>
      <c r="J428" s="1014"/>
      <c r="K428" s="1004">
        <f t="shared" si="79"/>
        <v>1</v>
      </c>
      <c r="L428" s="1014"/>
      <c r="M428" s="1004">
        <f t="shared" si="80"/>
        <v>1</v>
      </c>
      <c r="N428" s="1014"/>
      <c r="O428" s="1004">
        <f t="shared" si="81"/>
        <v>1</v>
      </c>
      <c r="P428" s="1014"/>
      <c r="Q428" s="1004">
        <f t="shared" si="82"/>
        <v>0</v>
      </c>
      <c r="R428" s="1064">
        <f t="shared" si="83"/>
        <v>0</v>
      </c>
      <c r="S428" s="1003">
        <f t="shared" si="84"/>
        <v>0</v>
      </c>
    </row>
    <row r="429" spans="1:19">
      <c r="A429" s="1012"/>
      <c r="B429" s="1013"/>
      <c r="C429" s="1004">
        <f t="shared" si="75"/>
        <v>1</v>
      </c>
      <c r="D429" s="1014"/>
      <c r="E429" s="1004">
        <f t="shared" si="76"/>
        <v>1</v>
      </c>
      <c r="F429" s="1014"/>
      <c r="G429" s="1004">
        <f t="shared" si="77"/>
        <v>1</v>
      </c>
      <c r="H429" s="1014"/>
      <c r="I429" s="1004">
        <f t="shared" si="78"/>
        <v>1</v>
      </c>
      <c r="J429" s="1014"/>
      <c r="K429" s="1004">
        <f t="shared" si="79"/>
        <v>1</v>
      </c>
      <c r="L429" s="1014"/>
      <c r="M429" s="1004">
        <f t="shared" si="80"/>
        <v>1</v>
      </c>
      <c r="N429" s="1014"/>
      <c r="O429" s="1004">
        <f t="shared" si="81"/>
        <v>1</v>
      </c>
      <c r="P429" s="1014"/>
      <c r="Q429" s="1004">
        <f t="shared" si="82"/>
        <v>0</v>
      </c>
      <c r="R429" s="1064">
        <f t="shared" si="83"/>
        <v>0</v>
      </c>
      <c r="S429" s="1003">
        <f t="shared" si="84"/>
        <v>0</v>
      </c>
    </row>
    <row r="430" spans="1:19">
      <c r="A430" s="1012"/>
      <c r="B430" s="1013"/>
      <c r="C430" s="1004">
        <f t="shared" si="75"/>
        <v>1</v>
      </c>
      <c r="D430" s="1014"/>
      <c r="E430" s="1004">
        <f t="shared" si="76"/>
        <v>1</v>
      </c>
      <c r="F430" s="1014"/>
      <c r="G430" s="1004">
        <f t="shared" si="77"/>
        <v>1</v>
      </c>
      <c r="H430" s="1014"/>
      <c r="I430" s="1004">
        <f t="shared" si="78"/>
        <v>1</v>
      </c>
      <c r="J430" s="1014"/>
      <c r="K430" s="1004">
        <f t="shared" si="79"/>
        <v>1</v>
      </c>
      <c r="L430" s="1014"/>
      <c r="M430" s="1004">
        <f t="shared" si="80"/>
        <v>1</v>
      </c>
      <c r="N430" s="1014"/>
      <c r="O430" s="1004">
        <f t="shared" si="81"/>
        <v>1</v>
      </c>
      <c r="P430" s="1014"/>
      <c r="Q430" s="1004">
        <f t="shared" si="82"/>
        <v>0</v>
      </c>
      <c r="R430" s="1064">
        <f t="shared" si="83"/>
        <v>0</v>
      </c>
      <c r="S430" s="1003">
        <f t="shared" si="84"/>
        <v>0</v>
      </c>
    </row>
    <row r="431" spans="1:19">
      <c r="A431" s="1012"/>
      <c r="B431" s="1013"/>
      <c r="C431" s="1004">
        <f t="shared" si="75"/>
        <v>1</v>
      </c>
      <c r="D431" s="1014"/>
      <c r="E431" s="1004">
        <f t="shared" si="76"/>
        <v>1</v>
      </c>
      <c r="F431" s="1014"/>
      <c r="G431" s="1004">
        <f t="shared" si="77"/>
        <v>1</v>
      </c>
      <c r="H431" s="1014"/>
      <c r="I431" s="1004">
        <f t="shared" si="78"/>
        <v>1</v>
      </c>
      <c r="J431" s="1014"/>
      <c r="K431" s="1004">
        <f t="shared" si="79"/>
        <v>1</v>
      </c>
      <c r="L431" s="1014"/>
      <c r="M431" s="1004">
        <f t="shared" si="80"/>
        <v>1</v>
      </c>
      <c r="N431" s="1014"/>
      <c r="O431" s="1004">
        <f t="shared" si="81"/>
        <v>1</v>
      </c>
      <c r="P431" s="1014"/>
      <c r="Q431" s="1004">
        <f t="shared" si="82"/>
        <v>0</v>
      </c>
      <c r="R431" s="1064">
        <f t="shared" si="83"/>
        <v>0</v>
      </c>
      <c r="S431" s="1003">
        <f t="shared" si="84"/>
        <v>0</v>
      </c>
    </row>
    <row r="432" spans="1:19">
      <c r="A432" s="1012"/>
      <c r="B432" s="1013"/>
      <c r="C432" s="1004">
        <f t="shared" si="75"/>
        <v>1</v>
      </c>
      <c r="D432" s="1014"/>
      <c r="E432" s="1004">
        <f t="shared" si="76"/>
        <v>1</v>
      </c>
      <c r="F432" s="1014"/>
      <c r="G432" s="1004">
        <f t="shared" si="77"/>
        <v>1</v>
      </c>
      <c r="H432" s="1014"/>
      <c r="I432" s="1004">
        <f t="shared" si="78"/>
        <v>1</v>
      </c>
      <c r="J432" s="1014"/>
      <c r="K432" s="1004">
        <f t="shared" si="79"/>
        <v>1</v>
      </c>
      <c r="L432" s="1014"/>
      <c r="M432" s="1004">
        <f t="shared" si="80"/>
        <v>1</v>
      </c>
      <c r="N432" s="1014"/>
      <c r="O432" s="1004">
        <f t="shared" si="81"/>
        <v>1</v>
      </c>
      <c r="P432" s="1014"/>
      <c r="Q432" s="1004">
        <f t="shared" si="82"/>
        <v>0</v>
      </c>
      <c r="R432" s="1064">
        <f t="shared" si="83"/>
        <v>0</v>
      </c>
      <c r="S432" s="1003">
        <f t="shared" si="84"/>
        <v>0</v>
      </c>
    </row>
    <row r="433" spans="1:19">
      <c r="A433" s="1012"/>
      <c r="B433" s="1013"/>
      <c r="C433" s="1004">
        <f t="shared" si="75"/>
        <v>1</v>
      </c>
      <c r="D433" s="1014"/>
      <c r="E433" s="1004">
        <f t="shared" si="76"/>
        <v>1</v>
      </c>
      <c r="F433" s="1014"/>
      <c r="G433" s="1004">
        <f t="shared" si="77"/>
        <v>1</v>
      </c>
      <c r="H433" s="1014"/>
      <c r="I433" s="1004">
        <f t="shared" si="78"/>
        <v>1</v>
      </c>
      <c r="J433" s="1014"/>
      <c r="K433" s="1004">
        <f t="shared" si="79"/>
        <v>1</v>
      </c>
      <c r="L433" s="1014"/>
      <c r="M433" s="1004">
        <f t="shared" si="80"/>
        <v>1</v>
      </c>
      <c r="N433" s="1014"/>
      <c r="O433" s="1004">
        <f t="shared" si="81"/>
        <v>1</v>
      </c>
      <c r="P433" s="1014"/>
      <c r="Q433" s="1004">
        <f t="shared" si="82"/>
        <v>0</v>
      </c>
      <c r="R433" s="1064">
        <f t="shared" si="83"/>
        <v>0</v>
      </c>
      <c r="S433" s="1003">
        <f t="shared" si="84"/>
        <v>0</v>
      </c>
    </row>
    <row r="434" spans="1:19">
      <c r="A434" s="1012"/>
      <c r="B434" s="1013"/>
      <c r="C434" s="1004">
        <f t="shared" si="75"/>
        <v>1</v>
      </c>
      <c r="D434" s="1014"/>
      <c r="E434" s="1004">
        <f t="shared" si="76"/>
        <v>1</v>
      </c>
      <c r="F434" s="1014"/>
      <c r="G434" s="1004">
        <f t="shared" si="77"/>
        <v>1</v>
      </c>
      <c r="H434" s="1014"/>
      <c r="I434" s="1004">
        <f t="shared" si="78"/>
        <v>1</v>
      </c>
      <c r="J434" s="1014"/>
      <c r="K434" s="1004">
        <f t="shared" si="79"/>
        <v>1</v>
      </c>
      <c r="L434" s="1014"/>
      <c r="M434" s="1004">
        <f t="shared" si="80"/>
        <v>1</v>
      </c>
      <c r="N434" s="1014"/>
      <c r="O434" s="1004">
        <f t="shared" si="81"/>
        <v>1</v>
      </c>
      <c r="P434" s="1014"/>
      <c r="Q434" s="1004">
        <f t="shared" si="82"/>
        <v>0</v>
      </c>
      <c r="R434" s="1064">
        <f t="shared" si="83"/>
        <v>0</v>
      </c>
      <c r="S434" s="1003">
        <f t="shared" si="84"/>
        <v>0</v>
      </c>
    </row>
    <row r="435" spans="1:19">
      <c r="A435" s="1012"/>
      <c r="B435" s="1013"/>
      <c r="C435" s="1004">
        <f t="shared" si="75"/>
        <v>1</v>
      </c>
      <c r="D435" s="1014"/>
      <c r="E435" s="1004">
        <f t="shared" si="76"/>
        <v>1</v>
      </c>
      <c r="F435" s="1014"/>
      <c r="G435" s="1004">
        <f t="shared" si="77"/>
        <v>1</v>
      </c>
      <c r="H435" s="1014"/>
      <c r="I435" s="1004">
        <f t="shared" si="78"/>
        <v>1</v>
      </c>
      <c r="J435" s="1014"/>
      <c r="K435" s="1004">
        <f t="shared" si="79"/>
        <v>1</v>
      </c>
      <c r="L435" s="1014"/>
      <c r="M435" s="1004">
        <f t="shared" si="80"/>
        <v>1</v>
      </c>
      <c r="N435" s="1014"/>
      <c r="O435" s="1004">
        <f t="shared" si="81"/>
        <v>1</v>
      </c>
      <c r="P435" s="1014"/>
      <c r="Q435" s="1004">
        <f t="shared" si="82"/>
        <v>0</v>
      </c>
      <c r="R435" s="1064">
        <f t="shared" si="83"/>
        <v>0</v>
      </c>
      <c r="S435" s="1003">
        <f t="shared" si="84"/>
        <v>0</v>
      </c>
    </row>
    <row r="436" spans="1:19">
      <c r="A436" s="1012"/>
      <c r="B436" s="1013"/>
      <c r="C436" s="1004">
        <f t="shared" si="75"/>
        <v>1</v>
      </c>
      <c r="D436" s="1014"/>
      <c r="E436" s="1004">
        <f t="shared" si="76"/>
        <v>1</v>
      </c>
      <c r="F436" s="1014"/>
      <c r="G436" s="1004">
        <f t="shared" si="77"/>
        <v>1</v>
      </c>
      <c r="H436" s="1014"/>
      <c r="I436" s="1004">
        <f t="shared" si="78"/>
        <v>1</v>
      </c>
      <c r="J436" s="1014"/>
      <c r="K436" s="1004">
        <f t="shared" si="79"/>
        <v>1</v>
      </c>
      <c r="L436" s="1014"/>
      <c r="M436" s="1004">
        <f t="shared" si="80"/>
        <v>1</v>
      </c>
      <c r="N436" s="1014"/>
      <c r="O436" s="1004">
        <f t="shared" si="81"/>
        <v>1</v>
      </c>
      <c r="P436" s="1014"/>
      <c r="Q436" s="1004">
        <f t="shared" si="82"/>
        <v>0</v>
      </c>
      <c r="R436" s="1064">
        <f t="shared" si="83"/>
        <v>0</v>
      </c>
      <c r="S436" s="1003">
        <f t="shared" si="84"/>
        <v>0</v>
      </c>
    </row>
    <row r="437" spans="1:19">
      <c r="A437" s="1012"/>
      <c r="B437" s="1013"/>
      <c r="C437" s="1004">
        <f t="shared" si="75"/>
        <v>1</v>
      </c>
      <c r="D437" s="1014"/>
      <c r="E437" s="1004">
        <f t="shared" si="76"/>
        <v>1</v>
      </c>
      <c r="F437" s="1014"/>
      <c r="G437" s="1004">
        <f t="shared" si="77"/>
        <v>1</v>
      </c>
      <c r="H437" s="1014"/>
      <c r="I437" s="1004">
        <f t="shared" si="78"/>
        <v>1</v>
      </c>
      <c r="J437" s="1014"/>
      <c r="K437" s="1004">
        <f t="shared" si="79"/>
        <v>1</v>
      </c>
      <c r="L437" s="1014"/>
      <c r="M437" s="1004">
        <f t="shared" si="80"/>
        <v>1</v>
      </c>
      <c r="N437" s="1014"/>
      <c r="O437" s="1004">
        <f t="shared" si="81"/>
        <v>1</v>
      </c>
      <c r="P437" s="1014"/>
      <c r="Q437" s="1004">
        <f t="shared" si="82"/>
        <v>0</v>
      </c>
      <c r="R437" s="1064">
        <f t="shared" si="83"/>
        <v>0</v>
      </c>
      <c r="S437" s="1003">
        <f t="shared" si="84"/>
        <v>0</v>
      </c>
    </row>
    <row r="438" spans="1:19">
      <c r="A438" s="1012"/>
      <c r="B438" s="1013"/>
      <c r="C438" s="1004">
        <f t="shared" si="75"/>
        <v>1</v>
      </c>
      <c r="D438" s="1014"/>
      <c r="E438" s="1004">
        <f t="shared" si="76"/>
        <v>1</v>
      </c>
      <c r="F438" s="1014"/>
      <c r="G438" s="1004">
        <f t="shared" si="77"/>
        <v>1</v>
      </c>
      <c r="H438" s="1014"/>
      <c r="I438" s="1004">
        <f t="shared" si="78"/>
        <v>1</v>
      </c>
      <c r="J438" s="1014"/>
      <c r="K438" s="1004">
        <f t="shared" si="79"/>
        <v>1</v>
      </c>
      <c r="L438" s="1014"/>
      <c r="M438" s="1004">
        <f t="shared" si="80"/>
        <v>1</v>
      </c>
      <c r="N438" s="1014"/>
      <c r="O438" s="1004">
        <f t="shared" si="81"/>
        <v>1</v>
      </c>
      <c r="P438" s="1014"/>
      <c r="Q438" s="1004">
        <f t="shared" si="82"/>
        <v>0</v>
      </c>
      <c r="R438" s="1064">
        <f t="shared" si="83"/>
        <v>0</v>
      </c>
      <c r="S438" s="1003">
        <f t="shared" si="84"/>
        <v>0</v>
      </c>
    </row>
    <row r="439" spans="1:19">
      <c r="A439" s="1012"/>
      <c r="B439" s="1013"/>
      <c r="C439" s="1004">
        <f t="shared" si="75"/>
        <v>1</v>
      </c>
      <c r="D439" s="1014"/>
      <c r="E439" s="1004">
        <f t="shared" si="76"/>
        <v>1</v>
      </c>
      <c r="F439" s="1014"/>
      <c r="G439" s="1004">
        <f t="shared" si="77"/>
        <v>1</v>
      </c>
      <c r="H439" s="1014"/>
      <c r="I439" s="1004">
        <f t="shared" si="78"/>
        <v>1</v>
      </c>
      <c r="J439" s="1014"/>
      <c r="K439" s="1004">
        <f t="shared" si="79"/>
        <v>1</v>
      </c>
      <c r="L439" s="1014"/>
      <c r="M439" s="1004">
        <f t="shared" si="80"/>
        <v>1</v>
      </c>
      <c r="N439" s="1014"/>
      <c r="O439" s="1004">
        <f t="shared" si="81"/>
        <v>1</v>
      </c>
      <c r="P439" s="1014"/>
      <c r="Q439" s="1004">
        <f t="shared" si="82"/>
        <v>0</v>
      </c>
      <c r="R439" s="1064">
        <f t="shared" si="83"/>
        <v>0</v>
      </c>
      <c r="S439" s="1003">
        <f t="shared" si="84"/>
        <v>0</v>
      </c>
    </row>
    <row r="440" spans="1:19">
      <c r="A440" s="1012"/>
      <c r="B440" s="1013"/>
      <c r="C440" s="1004">
        <f t="shared" si="75"/>
        <v>1</v>
      </c>
      <c r="D440" s="1014"/>
      <c r="E440" s="1004">
        <f t="shared" si="76"/>
        <v>1</v>
      </c>
      <c r="F440" s="1014"/>
      <c r="G440" s="1004">
        <f t="shared" si="77"/>
        <v>1</v>
      </c>
      <c r="H440" s="1014"/>
      <c r="I440" s="1004">
        <f t="shared" si="78"/>
        <v>1</v>
      </c>
      <c r="J440" s="1014"/>
      <c r="K440" s="1004">
        <f t="shared" si="79"/>
        <v>1</v>
      </c>
      <c r="L440" s="1014"/>
      <c r="M440" s="1004">
        <f t="shared" si="80"/>
        <v>1</v>
      </c>
      <c r="N440" s="1014"/>
      <c r="O440" s="1004">
        <f t="shared" si="81"/>
        <v>1</v>
      </c>
      <c r="P440" s="1014"/>
      <c r="Q440" s="1004">
        <f t="shared" si="82"/>
        <v>0</v>
      </c>
      <c r="R440" s="1064">
        <f t="shared" si="83"/>
        <v>0</v>
      </c>
      <c r="S440" s="1003">
        <f t="shared" si="84"/>
        <v>0</v>
      </c>
    </row>
    <row r="441" spans="1:19">
      <c r="A441" s="1012"/>
      <c r="B441" s="1013"/>
      <c r="C441" s="1004">
        <f t="shared" si="75"/>
        <v>1</v>
      </c>
      <c r="D441" s="1014"/>
      <c r="E441" s="1004">
        <f t="shared" si="76"/>
        <v>1</v>
      </c>
      <c r="F441" s="1014"/>
      <c r="G441" s="1004">
        <f t="shared" si="77"/>
        <v>1</v>
      </c>
      <c r="H441" s="1014"/>
      <c r="I441" s="1004">
        <f t="shared" si="78"/>
        <v>1</v>
      </c>
      <c r="J441" s="1014"/>
      <c r="K441" s="1004">
        <f t="shared" si="79"/>
        <v>1</v>
      </c>
      <c r="L441" s="1014"/>
      <c r="M441" s="1004">
        <f t="shared" si="80"/>
        <v>1</v>
      </c>
      <c r="N441" s="1014"/>
      <c r="O441" s="1004">
        <f t="shared" si="81"/>
        <v>1</v>
      </c>
      <c r="P441" s="1014"/>
      <c r="Q441" s="1004">
        <f t="shared" si="82"/>
        <v>0</v>
      </c>
      <c r="R441" s="1064">
        <f t="shared" si="83"/>
        <v>0</v>
      </c>
      <c r="S441" s="1003">
        <f t="shared" si="84"/>
        <v>0</v>
      </c>
    </row>
    <row r="442" spans="1:19">
      <c r="A442" s="1012"/>
      <c r="B442" s="1013"/>
      <c r="C442" s="1004">
        <f t="shared" si="75"/>
        <v>1</v>
      </c>
      <c r="D442" s="1014"/>
      <c r="E442" s="1004">
        <f t="shared" si="76"/>
        <v>1</v>
      </c>
      <c r="F442" s="1014"/>
      <c r="G442" s="1004">
        <f t="shared" si="77"/>
        <v>1</v>
      </c>
      <c r="H442" s="1014"/>
      <c r="I442" s="1004">
        <f t="shared" si="78"/>
        <v>1</v>
      </c>
      <c r="J442" s="1014"/>
      <c r="K442" s="1004">
        <f t="shared" si="79"/>
        <v>1</v>
      </c>
      <c r="L442" s="1014"/>
      <c r="M442" s="1004">
        <f t="shared" si="80"/>
        <v>1</v>
      </c>
      <c r="N442" s="1014"/>
      <c r="O442" s="1004">
        <f t="shared" si="81"/>
        <v>1</v>
      </c>
      <c r="P442" s="1014"/>
      <c r="Q442" s="1004">
        <f t="shared" si="82"/>
        <v>0</v>
      </c>
      <c r="R442" s="1064">
        <f t="shared" si="83"/>
        <v>0</v>
      </c>
      <c r="S442" s="1003">
        <f t="shared" si="84"/>
        <v>0</v>
      </c>
    </row>
    <row r="443" spans="1:19">
      <c r="A443" s="1012"/>
      <c r="B443" s="1013"/>
      <c r="C443" s="1004">
        <f t="shared" si="75"/>
        <v>1</v>
      </c>
      <c r="D443" s="1014"/>
      <c r="E443" s="1004">
        <f t="shared" si="76"/>
        <v>1</v>
      </c>
      <c r="F443" s="1014"/>
      <c r="G443" s="1004">
        <f t="shared" si="77"/>
        <v>1</v>
      </c>
      <c r="H443" s="1014"/>
      <c r="I443" s="1004">
        <f t="shared" si="78"/>
        <v>1</v>
      </c>
      <c r="J443" s="1014"/>
      <c r="K443" s="1004">
        <f t="shared" si="79"/>
        <v>1</v>
      </c>
      <c r="L443" s="1014"/>
      <c r="M443" s="1004">
        <f t="shared" si="80"/>
        <v>1</v>
      </c>
      <c r="N443" s="1014"/>
      <c r="O443" s="1004">
        <f t="shared" si="81"/>
        <v>1</v>
      </c>
      <c r="P443" s="1014"/>
      <c r="Q443" s="1004">
        <f t="shared" si="82"/>
        <v>0</v>
      </c>
      <c r="R443" s="1064">
        <f t="shared" si="83"/>
        <v>0</v>
      </c>
      <c r="S443" s="1003">
        <f t="shared" si="84"/>
        <v>0</v>
      </c>
    </row>
    <row r="444" spans="1:19">
      <c r="A444" s="1012"/>
      <c r="B444" s="1013"/>
      <c r="C444" s="1004">
        <f t="shared" si="75"/>
        <v>1</v>
      </c>
      <c r="D444" s="1014"/>
      <c r="E444" s="1004">
        <f t="shared" si="76"/>
        <v>1</v>
      </c>
      <c r="F444" s="1014"/>
      <c r="G444" s="1004">
        <f t="shared" si="77"/>
        <v>1</v>
      </c>
      <c r="H444" s="1014"/>
      <c r="I444" s="1004">
        <f t="shared" si="78"/>
        <v>1</v>
      </c>
      <c r="J444" s="1014"/>
      <c r="K444" s="1004">
        <f t="shared" si="79"/>
        <v>1</v>
      </c>
      <c r="L444" s="1014"/>
      <c r="M444" s="1004">
        <f t="shared" si="80"/>
        <v>1</v>
      </c>
      <c r="N444" s="1014"/>
      <c r="O444" s="1004">
        <f t="shared" si="81"/>
        <v>1</v>
      </c>
      <c r="P444" s="1014"/>
      <c r="Q444" s="1004">
        <f t="shared" si="82"/>
        <v>0</v>
      </c>
      <c r="R444" s="1064">
        <f t="shared" si="83"/>
        <v>0</v>
      </c>
      <c r="S444" s="1003">
        <f t="shared" si="84"/>
        <v>0</v>
      </c>
    </row>
    <row r="445" spans="1:19">
      <c r="A445" s="1012"/>
      <c r="B445" s="1013"/>
      <c r="C445" s="1004">
        <f t="shared" si="75"/>
        <v>1</v>
      </c>
      <c r="D445" s="1014"/>
      <c r="E445" s="1004">
        <f t="shared" si="76"/>
        <v>1</v>
      </c>
      <c r="F445" s="1014"/>
      <c r="G445" s="1004">
        <f t="shared" si="77"/>
        <v>1</v>
      </c>
      <c r="H445" s="1014"/>
      <c r="I445" s="1004">
        <f t="shared" si="78"/>
        <v>1</v>
      </c>
      <c r="J445" s="1014"/>
      <c r="K445" s="1004">
        <f t="shared" si="79"/>
        <v>1</v>
      </c>
      <c r="L445" s="1014"/>
      <c r="M445" s="1004">
        <f t="shared" si="80"/>
        <v>1</v>
      </c>
      <c r="N445" s="1014"/>
      <c r="O445" s="1004">
        <f t="shared" si="81"/>
        <v>1</v>
      </c>
      <c r="P445" s="1014"/>
      <c r="Q445" s="1004">
        <f t="shared" si="82"/>
        <v>0</v>
      </c>
      <c r="R445" s="1064">
        <f t="shared" si="83"/>
        <v>0</v>
      </c>
      <c r="S445" s="1003">
        <f t="shared" si="84"/>
        <v>0</v>
      </c>
    </row>
    <row r="446" spans="1:19">
      <c r="A446" s="1012"/>
      <c r="B446" s="1013"/>
      <c r="C446" s="1004">
        <f t="shared" si="75"/>
        <v>1</v>
      </c>
      <c r="D446" s="1014"/>
      <c r="E446" s="1004">
        <f t="shared" si="76"/>
        <v>1</v>
      </c>
      <c r="F446" s="1014"/>
      <c r="G446" s="1004">
        <f t="shared" si="77"/>
        <v>1</v>
      </c>
      <c r="H446" s="1014"/>
      <c r="I446" s="1004">
        <f t="shared" si="78"/>
        <v>1</v>
      </c>
      <c r="J446" s="1014"/>
      <c r="K446" s="1004">
        <f t="shared" si="79"/>
        <v>1</v>
      </c>
      <c r="L446" s="1014"/>
      <c r="M446" s="1004">
        <f t="shared" si="80"/>
        <v>1</v>
      </c>
      <c r="N446" s="1014"/>
      <c r="O446" s="1004">
        <f t="shared" si="81"/>
        <v>1</v>
      </c>
      <c r="P446" s="1014"/>
      <c r="Q446" s="1004">
        <f t="shared" si="82"/>
        <v>0</v>
      </c>
      <c r="R446" s="1064">
        <f t="shared" si="83"/>
        <v>0</v>
      </c>
      <c r="S446" s="1003">
        <f t="shared" si="84"/>
        <v>0</v>
      </c>
    </row>
    <row r="447" spans="1:19">
      <c r="A447" s="1012"/>
      <c r="B447" s="1013"/>
      <c r="C447" s="1004">
        <f t="shared" si="75"/>
        <v>1</v>
      </c>
      <c r="D447" s="1014"/>
      <c r="E447" s="1004">
        <f t="shared" si="76"/>
        <v>1</v>
      </c>
      <c r="F447" s="1014"/>
      <c r="G447" s="1004">
        <f t="shared" si="77"/>
        <v>1</v>
      </c>
      <c r="H447" s="1014"/>
      <c r="I447" s="1004">
        <f t="shared" si="78"/>
        <v>1</v>
      </c>
      <c r="J447" s="1014"/>
      <c r="K447" s="1004">
        <f t="shared" si="79"/>
        <v>1</v>
      </c>
      <c r="L447" s="1014"/>
      <c r="M447" s="1004">
        <f t="shared" si="80"/>
        <v>1</v>
      </c>
      <c r="N447" s="1014"/>
      <c r="O447" s="1004">
        <f t="shared" si="81"/>
        <v>1</v>
      </c>
      <c r="P447" s="1014"/>
      <c r="Q447" s="1004">
        <f t="shared" si="82"/>
        <v>0</v>
      </c>
      <c r="R447" s="1064">
        <f t="shared" si="83"/>
        <v>0</v>
      </c>
      <c r="S447" s="1003">
        <f t="shared" si="84"/>
        <v>0</v>
      </c>
    </row>
    <row r="448" spans="1:19">
      <c r="A448" s="1012"/>
      <c r="B448" s="1013"/>
      <c r="C448" s="1004">
        <f t="shared" si="75"/>
        <v>1</v>
      </c>
      <c r="D448" s="1014"/>
      <c r="E448" s="1004">
        <f t="shared" si="76"/>
        <v>1</v>
      </c>
      <c r="F448" s="1014"/>
      <c r="G448" s="1004">
        <f t="shared" si="77"/>
        <v>1</v>
      </c>
      <c r="H448" s="1014"/>
      <c r="I448" s="1004">
        <f t="shared" si="78"/>
        <v>1</v>
      </c>
      <c r="J448" s="1014"/>
      <c r="K448" s="1004">
        <f t="shared" si="79"/>
        <v>1</v>
      </c>
      <c r="L448" s="1014"/>
      <c r="M448" s="1004">
        <f t="shared" si="80"/>
        <v>1</v>
      </c>
      <c r="N448" s="1014"/>
      <c r="O448" s="1004">
        <f t="shared" si="81"/>
        <v>1</v>
      </c>
      <c r="P448" s="1014"/>
      <c r="Q448" s="1004">
        <f t="shared" si="82"/>
        <v>0</v>
      </c>
      <c r="R448" s="1064">
        <f t="shared" si="83"/>
        <v>0</v>
      </c>
      <c r="S448" s="1003">
        <f t="shared" si="84"/>
        <v>0</v>
      </c>
    </row>
    <row r="449" spans="1:19">
      <c r="A449" s="1012"/>
      <c r="B449" s="1013"/>
      <c r="C449" s="1004">
        <f t="shared" si="75"/>
        <v>1</v>
      </c>
      <c r="D449" s="1014"/>
      <c r="E449" s="1004">
        <f t="shared" si="76"/>
        <v>1</v>
      </c>
      <c r="F449" s="1014"/>
      <c r="G449" s="1004">
        <f t="shared" si="77"/>
        <v>1</v>
      </c>
      <c r="H449" s="1014"/>
      <c r="I449" s="1004">
        <f t="shared" si="78"/>
        <v>1</v>
      </c>
      <c r="J449" s="1014"/>
      <c r="K449" s="1004">
        <f t="shared" si="79"/>
        <v>1</v>
      </c>
      <c r="L449" s="1014"/>
      <c r="M449" s="1004">
        <f t="shared" si="80"/>
        <v>1</v>
      </c>
      <c r="N449" s="1014"/>
      <c r="O449" s="1004">
        <f t="shared" si="81"/>
        <v>1</v>
      </c>
      <c r="P449" s="1014"/>
      <c r="Q449" s="1004">
        <f t="shared" si="82"/>
        <v>0</v>
      </c>
      <c r="R449" s="1064">
        <f t="shared" si="83"/>
        <v>0</v>
      </c>
      <c r="S449" s="1003">
        <f t="shared" si="84"/>
        <v>0</v>
      </c>
    </row>
    <row r="450" spans="1:19">
      <c r="A450" s="1012"/>
      <c r="B450" s="1013"/>
      <c r="C450" s="1004">
        <f t="shared" si="75"/>
        <v>1</v>
      </c>
      <c r="D450" s="1014"/>
      <c r="E450" s="1004">
        <f t="shared" si="76"/>
        <v>1</v>
      </c>
      <c r="F450" s="1014"/>
      <c r="G450" s="1004">
        <f t="shared" si="77"/>
        <v>1</v>
      </c>
      <c r="H450" s="1014"/>
      <c r="I450" s="1004">
        <f t="shared" si="78"/>
        <v>1</v>
      </c>
      <c r="J450" s="1014"/>
      <c r="K450" s="1004">
        <f t="shared" si="79"/>
        <v>1</v>
      </c>
      <c r="L450" s="1014"/>
      <c r="M450" s="1004">
        <f t="shared" si="80"/>
        <v>1</v>
      </c>
      <c r="N450" s="1014"/>
      <c r="O450" s="1004">
        <f t="shared" si="81"/>
        <v>1</v>
      </c>
      <c r="P450" s="1014"/>
      <c r="Q450" s="1004">
        <f t="shared" si="82"/>
        <v>0</v>
      </c>
      <c r="R450" s="1064">
        <f t="shared" si="83"/>
        <v>0</v>
      </c>
      <c r="S450" s="1003">
        <f t="shared" si="84"/>
        <v>0</v>
      </c>
    </row>
    <row r="451" spans="1:19">
      <c r="A451" s="1012"/>
      <c r="B451" s="1013"/>
      <c r="C451" s="1004">
        <f t="shared" si="75"/>
        <v>1</v>
      </c>
      <c r="D451" s="1014"/>
      <c r="E451" s="1004">
        <f t="shared" si="76"/>
        <v>1</v>
      </c>
      <c r="F451" s="1014"/>
      <c r="G451" s="1004">
        <f t="shared" si="77"/>
        <v>1</v>
      </c>
      <c r="H451" s="1014"/>
      <c r="I451" s="1004">
        <f t="shared" si="78"/>
        <v>1</v>
      </c>
      <c r="J451" s="1014"/>
      <c r="K451" s="1004">
        <f t="shared" si="79"/>
        <v>1</v>
      </c>
      <c r="L451" s="1014"/>
      <c r="M451" s="1004">
        <f t="shared" si="80"/>
        <v>1</v>
      </c>
      <c r="N451" s="1014"/>
      <c r="O451" s="1004">
        <f t="shared" si="81"/>
        <v>1</v>
      </c>
      <c r="P451" s="1014"/>
      <c r="Q451" s="1004">
        <f t="shared" si="82"/>
        <v>0</v>
      </c>
      <c r="R451" s="1064">
        <f t="shared" si="83"/>
        <v>0</v>
      </c>
      <c r="S451" s="1003">
        <f t="shared" si="84"/>
        <v>0</v>
      </c>
    </row>
    <row r="452" spans="1:19">
      <c r="A452" s="1012"/>
      <c r="B452" s="1013"/>
      <c r="C452" s="1004">
        <f t="shared" si="75"/>
        <v>1</v>
      </c>
      <c r="D452" s="1014"/>
      <c r="E452" s="1004">
        <f t="shared" si="76"/>
        <v>1</v>
      </c>
      <c r="F452" s="1014"/>
      <c r="G452" s="1004">
        <f t="shared" si="77"/>
        <v>1</v>
      </c>
      <c r="H452" s="1014"/>
      <c r="I452" s="1004">
        <f t="shared" si="78"/>
        <v>1</v>
      </c>
      <c r="J452" s="1014"/>
      <c r="K452" s="1004">
        <f t="shared" si="79"/>
        <v>1</v>
      </c>
      <c r="L452" s="1014"/>
      <c r="M452" s="1004">
        <f t="shared" si="80"/>
        <v>1</v>
      </c>
      <c r="N452" s="1014"/>
      <c r="O452" s="1004">
        <f t="shared" si="81"/>
        <v>1</v>
      </c>
      <c r="P452" s="1014"/>
      <c r="Q452" s="1004">
        <f t="shared" si="82"/>
        <v>0</v>
      </c>
      <c r="R452" s="1064">
        <f t="shared" si="83"/>
        <v>0</v>
      </c>
      <c r="S452" s="1003">
        <f t="shared" si="84"/>
        <v>0</v>
      </c>
    </row>
    <row r="453" spans="1:19">
      <c r="A453" s="1012"/>
      <c r="B453" s="1013"/>
      <c r="C453" s="1004">
        <f t="shared" si="75"/>
        <v>1</v>
      </c>
      <c r="D453" s="1014"/>
      <c r="E453" s="1004">
        <f t="shared" si="76"/>
        <v>1</v>
      </c>
      <c r="F453" s="1014"/>
      <c r="G453" s="1004">
        <f t="shared" si="77"/>
        <v>1</v>
      </c>
      <c r="H453" s="1014"/>
      <c r="I453" s="1004">
        <f t="shared" si="78"/>
        <v>1</v>
      </c>
      <c r="J453" s="1014"/>
      <c r="K453" s="1004">
        <f t="shared" si="79"/>
        <v>1</v>
      </c>
      <c r="L453" s="1014"/>
      <c r="M453" s="1004">
        <f t="shared" si="80"/>
        <v>1</v>
      </c>
      <c r="N453" s="1014"/>
      <c r="O453" s="1004">
        <f t="shared" si="81"/>
        <v>1</v>
      </c>
      <c r="P453" s="1014"/>
      <c r="Q453" s="1004">
        <f t="shared" si="82"/>
        <v>0</v>
      </c>
      <c r="R453" s="1064">
        <f t="shared" si="83"/>
        <v>0</v>
      </c>
      <c r="S453" s="1003">
        <f t="shared" si="84"/>
        <v>0</v>
      </c>
    </row>
    <row r="454" spans="1:19">
      <c r="A454" s="1012"/>
      <c r="B454" s="1013"/>
      <c r="C454" s="1004">
        <f t="shared" si="75"/>
        <v>1</v>
      </c>
      <c r="D454" s="1014"/>
      <c r="E454" s="1004">
        <f t="shared" si="76"/>
        <v>1</v>
      </c>
      <c r="F454" s="1014"/>
      <c r="G454" s="1004">
        <f t="shared" si="77"/>
        <v>1</v>
      </c>
      <c r="H454" s="1014"/>
      <c r="I454" s="1004">
        <f t="shared" si="78"/>
        <v>1</v>
      </c>
      <c r="J454" s="1014"/>
      <c r="K454" s="1004">
        <f t="shared" si="79"/>
        <v>1</v>
      </c>
      <c r="L454" s="1014"/>
      <c r="M454" s="1004">
        <f t="shared" si="80"/>
        <v>1</v>
      </c>
      <c r="N454" s="1014"/>
      <c r="O454" s="1004">
        <f t="shared" si="81"/>
        <v>1</v>
      </c>
      <c r="P454" s="1014"/>
      <c r="Q454" s="1004">
        <f t="shared" si="82"/>
        <v>0</v>
      </c>
      <c r="R454" s="1064">
        <f t="shared" si="83"/>
        <v>0</v>
      </c>
      <c r="S454" s="1003">
        <f t="shared" si="84"/>
        <v>0</v>
      </c>
    </row>
    <row r="455" spans="1:19">
      <c r="A455" s="1012"/>
      <c r="B455" s="1013"/>
      <c r="C455" s="1004">
        <f t="shared" si="75"/>
        <v>1</v>
      </c>
      <c r="D455" s="1014"/>
      <c r="E455" s="1004">
        <f t="shared" si="76"/>
        <v>1</v>
      </c>
      <c r="F455" s="1014"/>
      <c r="G455" s="1004">
        <f t="shared" si="77"/>
        <v>1</v>
      </c>
      <c r="H455" s="1014"/>
      <c r="I455" s="1004">
        <f t="shared" si="78"/>
        <v>1</v>
      </c>
      <c r="J455" s="1014"/>
      <c r="K455" s="1004">
        <f t="shared" si="79"/>
        <v>1</v>
      </c>
      <c r="L455" s="1014"/>
      <c r="M455" s="1004">
        <f t="shared" si="80"/>
        <v>1</v>
      </c>
      <c r="N455" s="1014"/>
      <c r="O455" s="1004">
        <f t="shared" si="81"/>
        <v>1</v>
      </c>
      <c r="P455" s="1014"/>
      <c r="Q455" s="1004">
        <f t="shared" si="82"/>
        <v>0</v>
      </c>
      <c r="R455" s="1064">
        <f t="shared" si="83"/>
        <v>0</v>
      </c>
      <c r="S455" s="1003">
        <f t="shared" si="84"/>
        <v>0</v>
      </c>
    </row>
    <row r="456" spans="1:19">
      <c r="A456" s="1012"/>
      <c r="B456" s="1013"/>
      <c r="C456" s="1004">
        <f t="shared" si="75"/>
        <v>1</v>
      </c>
      <c r="D456" s="1014"/>
      <c r="E456" s="1004">
        <f t="shared" si="76"/>
        <v>1</v>
      </c>
      <c r="F456" s="1014"/>
      <c r="G456" s="1004">
        <f t="shared" si="77"/>
        <v>1</v>
      </c>
      <c r="H456" s="1014"/>
      <c r="I456" s="1004">
        <f t="shared" si="78"/>
        <v>1</v>
      </c>
      <c r="J456" s="1014"/>
      <c r="K456" s="1004">
        <f t="shared" si="79"/>
        <v>1</v>
      </c>
      <c r="L456" s="1014"/>
      <c r="M456" s="1004">
        <f t="shared" si="80"/>
        <v>1</v>
      </c>
      <c r="N456" s="1014"/>
      <c r="O456" s="1004">
        <f t="shared" si="81"/>
        <v>1</v>
      </c>
      <c r="P456" s="1014"/>
      <c r="Q456" s="1004">
        <f t="shared" si="82"/>
        <v>0</v>
      </c>
      <c r="R456" s="1064">
        <f t="shared" si="83"/>
        <v>0</v>
      </c>
      <c r="S456" s="1003">
        <f t="shared" si="84"/>
        <v>0</v>
      </c>
    </row>
    <row r="457" spans="1:19">
      <c r="A457" s="1012"/>
      <c r="B457" s="1013"/>
      <c r="C457" s="1004">
        <f t="shared" si="75"/>
        <v>1</v>
      </c>
      <c r="D457" s="1014"/>
      <c r="E457" s="1004">
        <f t="shared" si="76"/>
        <v>1</v>
      </c>
      <c r="F457" s="1014"/>
      <c r="G457" s="1004">
        <f t="shared" si="77"/>
        <v>1</v>
      </c>
      <c r="H457" s="1014"/>
      <c r="I457" s="1004">
        <f t="shared" si="78"/>
        <v>1</v>
      </c>
      <c r="J457" s="1014"/>
      <c r="K457" s="1004">
        <f t="shared" si="79"/>
        <v>1</v>
      </c>
      <c r="L457" s="1014"/>
      <c r="M457" s="1004">
        <f t="shared" si="80"/>
        <v>1</v>
      </c>
      <c r="N457" s="1014"/>
      <c r="O457" s="1004">
        <f t="shared" si="81"/>
        <v>1</v>
      </c>
      <c r="P457" s="1014"/>
      <c r="Q457" s="1004">
        <f t="shared" si="82"/>
        <v>0</v>
      </c>
      <c r="R457" s="1064">
        <f t="shared" si="83"/>
        <v>0</v>
      </c>
      <c r="S457" s="1003">
        <f t="shared" si="84"/>
        <v>0</v>
      </c>
    </row>
    <row r="458" spans="1:19">
      <c r="A458" s="1012"/>
      <c r="B458" s="1013"/>
      <c r="C458" s="1004">
        <f t="shared" si="75"/>
        <v>1</v>
      </c>
      <c r="D458" s="1014"/>
      <c r="E458" s="1004">
        <f t="shared" si="76"/>
        <v>1</v>
      </c>
      <c r="F458" s="1014"/>
      <c r="G458" s="1004">
        <f t="shared" si="77"/>
        <v>1</v>
      </c>
      <c r="H458" s="1014"/>
      <c r="I458" s="1004">
        <f t="shared" si="78"/>
        <v>1</v>
      </c>
      <c r="J458" s="1014"/>
      <c r="K458" s="1004">
        <f t="shared" si="79"/>
        <v>1</v>
      </c>
      <c r="L458" s="1014"/>
      <c r="M458" s="1004">
        <f t="shared" si="80"/>
        <v>1</v>
      </c>
      <c r="N458" s="1014"/>
      <c r="O458" s="1004">
        <f t="shared" si="81"/>
        <v>1</v>
      </c>
      <c r="P458" s="1014"/>
      <c r="Q458" s="1004">
        <f t="shared" si="82"/>
        <v>0</v>
      </c>
      <c r="R458" s="1064">
        <f t="shared" si="83"/>
        <v>0</v>
      </c>
      <c r="S458" s="1003">
        <f t="shared" si="84"/>
        <v>0</v>
      </c>
    </row>
    <row r="459" spans="1:19">
      <c r="A459" s="1012"/>
      <c r="B459" s="1013"/>
      <c r="C459" s="1004">
        <f t="shared" si="75"/>
        <v>1</v>
      </c>
      <c r="D459" s="1014"/>
      <c r="E459" s="1004">
        <f t="shared" si="76"/>
        <v>1</v>
      </c>
      <c r="F459" s="1014"/>
      <c r="G459" s="1004">
        <f t="shared" si="77"/>
        <v>1</v>
      </c>
      <c r="H459" s="1014"/>
      <c r="I459" s="1004">
        <f t="shared" si="78"/>
        <v>1</v>
      </c>
      <c r="J459" s="1014"/>
      <c r="K459" s="1004">
        <f t="shared" si="79"/>
        <v>1</v>
      </c>
      <c r="L459" s="1014"/>
      <c r="M459" s="1004">
        <f t="shared" si="80"/>
        <v>1</v>
      </c>
      <c r="N459" s="1014"/>
      <c r="O459" s="1004">
        <f t="shared" si="81"/>
        <v>1</v>
      </c>
      <c r="P459" s="1014"/>
      <c r="Q459" s="1004">
        <f t="shared" si="82"/>
        <v>0</v>
      </c>
      <c r="R459" s="1064">
        <f t="shared" si="83"/>
        <v>0</v>
      </c>
      <c r="S459" s="1003">
        <f t="shared" si="84"/>
        <v>0</v>
      </c>
    </row>
    <row r="460" spans="1:19">
      <c r="A460" s="1012"/>
      <c r="B460" s="1013"/>
      <c r="C460" s="1004">
        <f t="shared" si="75"/>
        <v>1</v>
      </c>
      <c r="D460" s="1014"/>
      <c r="E460" s="1004">
        <f t="shared" si="76"/>
        <v>1</v>
      </c>
      <c r="F460" s="1014"/>
      <c r="G460" s="1004">
        <f t="shared" si="77"/>
        <v>1</v>
      </c>
      <c r="H460" s="1014"/>
      <c r="I460" s="1004">
        <f t="shared" si="78"/>
        <v>1</v>
      </c>
      <c r="J460" s="1014"/>
      <c r="K460" s="1004">
        <f t="shared" si="79"/>
        <v>1</v>
      </c>
      <c r="L460" s="1014"/>
      <c r="M460" s="1004">
        <f t="shared" si="80"/>
        <v>1</v>
      </c>
      <c r="N460" s="1014"/>
      <c r="O460" s="1004">
        <f t="shared" si="81"/>
        <v>1</v>
      </c>
      <c r="P460" s="1014"/>
      <c r="Q460" s="1004">
        <f t="shared" si="82"/>
        <v>0</v>
      </c>
      <c r="R460" s="1064">
        <f t="shared" si="83"/>
        <v>0</v>
      </c>
      <c r="S460" s="1003">
        <f t="shared" si="84"/>
        <v>0</v>
      </c>
    </row>
    <row r="461" spans="1:19">
      <c r="A461" s="1012"/>
      <c r="B461" s="1013"/>
      <c r="C461" s="1004">
        <f t="shared" si="75"/>
        <v>1</v>
      </c>
      <c r="D461" s="1014"/>
      <c r="E461" s="1004">
        <f t="shared" si="76"/>
        <v>1</v>
      </c>
      <c r="F461" s="1014"/>
      <c r="G461" s="1004">
        <f t="shared" si="77"/>
        <v>1</v>
      </c>
      <c r="H461" s="1014"/>
      <c r="I461" s="1004">
        <f t="shared" si="78"/>
        <v>1</v>
      </c>
      <c r="J461" s="1014"/>
      <c r="K461" s="1004">
        <f t="shared" si="79"/>
        <v>1</v>
      </c>
      <c r="L461" s="1014"/>
      <c r="M461" s="1004">
        <f t="shared" si="80"/>
        <v>1</v>
      </c>
      <c r="N461" s="1014"/>
      <c r="O461" s="1004">
        <f t="shared" si="81"/>
        <v>1</v>
      </c>
      <c r="P461" s="1014"/>
      <c r="Q461" s="1004">
        <f t="shared" si="82"/>
        <v>0</v>
      </c>
      <c r="R461" s="1064">
        <f t="shared" si="83"/>
        <v>0</v>
      </c>
      <c r="S461" s="1003">
        <f t="shared" si="84"/>
        <v>0</v>
      </c>
    </row>
    <row r="462" spans="1:19">
      <c r="A462" s="1012"/>
      <c r="B462" s="1013"/>
      <c r="C462" s="1004">
        <f t="shared" si="75"/>
        <v>1</v>
      </c>
      <c r="D462" s="1014"/>
      <c r="E462" s="1004">
        <f t="shared" si="76"/>
        <v>1</v>
      </c>
      <c r="F462" s="1014"/>
      <c r="G462" s="1004">
        <f t="shared" si="77"/>
        <v>1</v>
      </c>
      <c r="H462" s="1014"/>
      <c r="I462" s="1004">
        <f t="shared" si="78"/>
        <v>1</v>
      </c>
      <c r="J462" s="1014"/>
      <c r="K462" s="1004">
        <f t="shared" si="79"/>
        <v>1</v>
      </c>
      <c r="L462" s="1014"/>
      <c r="M462" s="1004">
        <f t="shared" si="80"/>
        <v>1</v>
      </c>
      <c r="N462" s="1014"/>
      <c r="O462" s="1004">
        <f t="shared" si="81"/>
        <v>1</v>
      </c>
      <c r="P462" s="1014"/>
      <c r="Q462" s="1004">
        <f t="shared" si="82"/>
        <v>0</v>
      </c>
      <c r="R462" s="1064">
        <f t="shared" si="83"/>
        <v>0</v>
      </c>
      <c r="S462" s="1003">
        <f t="shared" si="84"/>
        <v>0</v>
      </c>
    </row>
    <row r="463" spans="1:19">
      <c r="A463" s="1012"/>
      <c r="B463" s="1013"/>
      <c r="C463" s="1004">
        <f t="shared" si="75"/>
        <v>1</v>
      </c>
      <c r="D463" s="1014"/>
      <c r="E463" s="1004">
        <f t="shared" si="76"/>
        <v>1</v>
      </c>
      <c r="F463" s="1014"/>
      <c r="G463" s="1004">
        <f t="shared" si="77"/>
        <v>1</v>
      </c>
      <c r="H463" s="1014"/>
      <c r="I463" s="1004">
        <f t="shared" si="78"/>
        <v>1</v>
      </c>
      <c r="J463" s="1014"/>
      <c r="K463" s="1004">
        <f t="shared" si="79"/>
        <v>1</v>
      </c>
      <c r="L463" s="1014"/>
      <c r="M463" s="1004">
        <f t="shared" si="80"/>
        <v>1</v>
      </c>
      <c r="N463" s="1014"/>
      <c r="O463" s="1004">
        <f t="shared" si="81"/>
        <v>1</v>
      </c>
      <c r="P463" s="1014"/>
      <c r="Q463" s="1004">
        <f t="shared" si="82"/>
        <v>0</v>
      </c>
      <c r="R463" s="1064">
        <f t="shared" si="83"/>
        <v>0</v>
      </c>
      <c r="S463" s="1003">
        <f t="shared" si="84"/>
        <v>0</v>
      </c>
    </row>
    <row r="464" spans="1:19">
      <c r="A464" s="1012"/>
      <c r="B464" s="1013"/>
      <c r="C464" s="1004">
        <f t="shared" si="75"/>
        <v>1</v>
      </c>
      <c r="D464" s="1014"/>
      <c r="E464" s="1004">
        <f t="shared" si="76"/>
        <v>1</v>
      </c>
      <c r="F464" s="1014"/>
      <c r="G464" s="1004">
        <f t="shared" si="77"/>
        <v>1</v>
      </c>
      <c r="H464" s="1014"/>
      <c r="I464" s="1004">
        <f t="shared" si="78"/>
        <v>1</v>
      </c>
      <c r="J464" s="1014"/>
      <c r="K464" s="1004">
        <f t="shared" si="79"/>
        <v>1</v>
      </c>
      <c r="L464" s="1014"/>
      <c r="M464" s="1004">
        <f t="shared" si="80"/>
        <v>1</v>
      </c>
      <c r="N464" s="1014"/>
      <c r="O464" s="1004">
        <f t="shared" si="81"/>
        <v>1</v>
      </c>
      <c r="P464" s="1014"/>
      <c r="Q464" s="1004">
        <f t="shared" si="82"/>
        <v>0</v>
      </c>
      <c r="R464" s="1064">
        <f t="shared" si="83"/>
        <v>0</v>
      </c>
      <c r="S464" s="1003">
        <f t="shared" si="84"/>
        <v>0</v>
      </c>
    </row>
    <row r="465" spans="1:19">
      <c r="A465" s="1012"/>
      <c r="B465" s="1013"/>
      <c r="C465" s="1004">
        <f t="shared" si="75"/>
        <v>1</v>
      </c>
      <c r="D465" s="1014"/>
      <c r="E465" s="1004">
        <f t="shared" si="76"/>
        <v>1</v>
      </c>
      <c r="F465" s="1014"/>
      <c r="G465" s="1004">
        <f t="shared" si="77"/>
        <v>1</v>
      </c>
      <c r="H465" s="1014"/>
      <c r="I465" s="1004">
        <f t="shared" si="78"/>
        <v>1</v>
      </c>
      <c r="J465" s="1014"/>
      <c r="K465" s="1004">
        <f t="shared" si="79"/>
        <v>1</v>
      </c>
      <c r="L465" s="1014"/>
      <c r="M465" s="1004">
        <f t="shared" si="80"/>
        <v>1</v>
      </c>
      <c r="N465" s="1014"/>
      <c r="O465" s="1004">
        <f t="shared" si="81"/>
        <v>1</v>
      </c>
      <c r="P465" s="1014"/>
      <c r="Q465" s="1004">
        <f t="shared" si="82"/>
        <v>0</v>
      </c>
      <c r="R465" s="1064">
        <f t="shared" si="83"/>
        <v>0</v>
      </c>
      <c r="S465" s="1003">
        <f t="shared" si="84"/>
        <v>0</v>
      </c>
    </row>
    <row r="466" spans="1:19">
      <c r="A466" s="1012"/>
      <c r="B466" s="1013"/>
      <c r="C466" s="1004">
        <f t="shared" si="75"/>
        <v>1</v>
      </c>
      <c r="D466" s="1014"/>
      <c r="E466" s="1004">
        <f t="shared" si="76"/>
        <v>1</v>
      </c>
      <c r="F466" s="1014"/>
      <c r="G466" s="1004">
        <f t="shared" si="77"/>
        <v>1</v>
      </c>
      <c r="H466" s="1014"/>
      <c r="I466" s="1004">
        <f t="shared" si="78"/>
        <v>1</v>
      </c>
      <c r="J466" s="1014"/>
      <c r="K466" s="1004">
        <f t="shared" si="79"/>
        <v>1</v>
      </c>
      <c r="L466" s="1014"/>
      <c r="M466" s="1004">
        <f t="shared" si="80"/>
        <v>1</v>
      </c>
      <c r="N466" s="1014"/>
      <c r="O466" s="1004">
        <f t="shared" si="81"/>
        <v>1</v>
      </c>
      <c r="P466" s="1014"/>
      <c r="Q466" s="1004">
        <f t="shared" si="82"/>
        <v>0</v>
      </c>
      <c r="R466" s="1064">
        <f t="shared" si="83"/>
        <v>0</v>
      </c>
      <c r="S466" s="1003">
        <f t="shared" si="84"/>
        <v>0</v>
      </c>
    </row>
    <row r="467" spans="1:19">
      <c r="A467" s="1012"/>
      <c r="B467" s="1013"/>
      <c r="C467" s="1004">
        <f t="shared" si="75"/>
        <v>1</v>
      </c>
      <c r="D467" s="1014"/>
      <c r="E467" s="1004">
        <f t="shared" si="76"/>
        <v>1</v>
      </c>
      <c r="F467" s="1014"/>
      <c r="G467" s="1004">
        <f t="shared" si="77"/>
        <v>1</v>
      </c>
      <c r="H467" s="1014"/>
      <c r="I467" s="1004">
        <f t="shared" si="78"/>
        <v>1</v>
      </c>
      <c r="J467" s="1014"/>
      <c r="K467" s="1004">
        <f t="shared" si="79"/>
        <v>1</v>
      </c>
      <c r="L467" s="1014"/>
      <c r="M467" s="1004">
        <f t="shared" si="80"/>
        <v>1</v>
      </c>
      <c r="N467" s="1014"/>
      <c r="O467" s="1004">
        <f t="shared" si="81"/>
        <v>1</v>
      </c>
      <c r="P467" s="1014"/>
      <c r="Q467" s="1004">
        <f t="shared" si="82"/>
        <v>0</v>
      </c>
      <c r="R467" s="1064">
        <f t="shared" si="83"/>
        <v>0</v>
      </c>
      <c r="S467" s="1003">
        <f t="shared" si="84"/>
        <v>0</v>
      </c>
    </row>
    <row r="468" spans="1:19">
      <c r="A468" s="1012"/>
      <c r="B468" s="1013"/>
      <c r="C468" s="1004">
        <f t="shared" si="75"/>
        <v>1</v>
      </c>
      <c r="D468" s="1014"/>
      <c r="E468" s="1004">
        <f t="shared" si="76"/>
        <v>1</v>
      </c>
      <c r="F468" s="1014"/>
      <c r="G468" s="1004">
        <f t="shared" si="77"/>
        <v>1</v>
      </c>
      <c r="H468" s="1014"/>
      <c r="I468" s="1004">
        <f t="shared" si="78"/>
        <v>1</v>
      </c>
      <c r="J468" s="1014"/>
      <c r="K468" s="1004">
        <f t="shared" si="79"/>
        <v>1</v>
      </c>
      <c r="L468" s="1014"/>
      <c r="M468" s="1004">
        <f t="shared" si="80"/>
        <v>1</v>
      </c>
      <c r="N468" s="1014"/>
      <c r="O468" s="1004">
        <f t="shared" si="81"/>
        <v>1</v>
      </c>
      <c r="P468" s="1014"/>
      <c r="Q468" s="1004">
        <f t="shared" si="82"/>
        <v>0</v>
      </c>
      <c r="R468" s="1064">
        <f t="shared" si="83"/>
        <v>0</v>
      </c>
      <c r="S468" s="1003">
        <f t="shared" ref="S468:S497" si="85">ROUND(R468*B468/10000,0)</f>
        <v>0</v>
      </c>
    </row>
    <row r="469" spans="1:19">
      <c r="A469" s="1012"/>
      <c r="B469" s="1013"/>
      <c r="C469" s="1004">
        <f t="shared" si="75"/>
        <v>1</v>
      </c>
      <c r="D469" s="1014"/>
      <c r="E469" s="1004">
        <f t="shared" si="76"/>
        <v>1</v>
      </c>
      <c r="F469" s="1014"/>
      <c r="G469" s="1004">
        <f t="shared" si="77"/>
        <v>1</v>
      </c>
      <c r="H469" s="1014"/>
      <c r="I469" s="1004">
        <f t="shared" si="78"/>
        <v>1</v>
      </c>
      <c r="J469" s="1014"/>
      <c r="K469" s="1004">
        <f t="shared" si="79"/>
        <v>1</v>
      </c>
      <c r="L469" s="1014"/>
      <c r="M469" s="1004">
        <f t="shared" si="80"/>
        <v>1</v>
      </c>
      <c r="N469" s="1014"/>
      <c r="O469" s="1004">
        <f t="shared" si="81"/>
        <v>1</v>
      </c>
      <c r="P469" s="1014"/>
      <c r="Q469" s="1004">
        <f t="shared" si="82"/>
        <v>0</v>
      </c>
      <c r="R469" s="1064">
        <f t="shared" si="83"/>
        <v>0</v>
      </c>
      <c r="S469" s="1003">
        <f t="shared" si="85"/>
        <v>0</v>
      </c>
    </row>
    <row r="470" spans="1:19">
      <c r="A470" s="1012"/>
      <c r="B470" s="1013"/>
      <c r="C470" s="1004">
        <f t="shared" si="75"/>
        <v>1</v>
      </c>
      <c r="D470" s="1014"/>
      <c r="E470" s="1004">
        <f t="shared" si="76"/>
        <v>1</v>
      </c>
      <c r="F470" s="1014"/>
      <c r="G470" s="1004">
        <f t="shared" si="77"/>
        <v>1</v>
      </c>
      <c r="H470" s="1014"/>
      <c r="I470" s="1004">
        <f t="shared" si="78"/>
        <v>1</v>
      </c>
      <c r="J470" s="1014"/>
      <c r="K470" s="1004">
        <f t="shared" si="79"/>
        <v>1</v>
      </c>
      <c r="L470" s="1014"/>
      <c r="M470" s="1004">
        <f t="shared" si="80"/>
        <v>1</v>
      </c>
      <c r="N470" s="1014"/>
      <c r="O470" s="1004">
        <f t="shared" si="81"/>
        <v>1</v>
      </c>
      <c r="P470" s="1014"/>
      <c r="Q470" s="1004">
        <f t="shared" si="82"/>
        <v>0</v>
      </c>
      <c r="R470" s="1064">
        <f t="shared" si="83"/>
        <v>0</v>
      </c>
      <c r="S470" s="1003">
        <f t="shared" si="85"/>
        <v>0</v>
      </c>
    </row>
    <row r="471" spans="1:19">
      <c r="A471" s="1012"/>
      <c r="B471" s="1013"/>
      <c r="C471" s="1004">
        <f t="shared" si="75"/>
        <v>1</v>
      </c>
      <c r="D471" s="1014"/>
      <c r="E471" s="1004">
        <f t="shared" si="76"/>
        <v>1</v>
      </c>
      <c r="F471" s="1014"/>
      <c r="G471" s="1004">
        <f t="shared" si="77"/>
        <v>1</v>
      </c>
      <c r="H471" s="1014"/>
      <c r="I471" s="1004">
        <f t="shared" si="78"/>
        <v>1</v>
      </c>
      <c r="J471" s="1014"/>
      <c r="K471" s="1004">
        <f t="shared" si="79"/>
        <v>1</v>
      </c>
      <c r="L471" s="1014"/>
      <c r="M471" s="1004">
        <f t="shared" si="80"/>
        <v>1</v>
      </c>
      <c r="N471" s="1014"/>
      <c r="O471" s="1004">
        <f t="shared" si="81"/>
        <v>1</v>
      </c>
      <c r="P471" s="1014"/>
      <c r="Q471" s="1004">
        <f t="shared" si="82"/>
        <v>0</v>
      </c>
      <c r="R471" s="1064">
        <f t="shared" si="83"/>
        <v>0</v>
      </c>
      <c r="S471" s="1003">
        <f t="shared" si="85"/>
        <v>0</v>
      </c>
    </row>
    <row r="472" spans="1:19">
      <c r="A472" s="1012"/>
      <c r="B472" s="1013"/>
      <c r="C472" s="1004">
        <f t="shared" si="75"/>
        <v>1</v>
      </c>
      <c r="D472" s="1014"/>
      <c r="E472" s="1004">
        <f t="shared" si="76"/>
        <v>1</v>
      </c>
      <c r="F472" s="1014"/>
      <c r="G472" s="1004">
        <f t="shared" si="77"/>
        <v>1</v>
      </c>
      <c r="H472" s="1014"/>
      <c r="I472" s="1004">
        <f t="shared" si="78"/>
        <v>1</v>
      </c>
      <c r="J472" s="1014"/>
      <c r="K472" s="1004">
        <f t="shared" si="79"/>
        <v>1</v>
      </c>
      <c r="L472" s="1014"/>
      <c r="M472" s="1004">
        <f t="shared" si="80"/>
        <v>1</v>
      </c>
      <c r="N472" s="1014"/>
      <c r="O472" s="1004">
        <f t="shared" si="81"/>
        <v>1</v>
      </c>
      <c r="P472" s="1014"/>
      <c r="Q472" s="1004">
        <f t="shared" si="82"/>
        <v>0</v>
      </c>
      <c r="R472" s="1064">
        <f t="shared" si="83"/>
        <v>0</v>
      </c>
      <c r="S472" s="1003">
        <f t="shared" si="85"/>
        <v>0</v>
      </c>
    </row>
    <row r="473" spans="1:19">
      <c r="A473" s="1012"/>
      <c r="B473" s="1013"/>
      <c r="C473" s="1004">
        <f t="shared" si="75"/>
        <v>1</v>
      </c>
      <c r="D473" s="1014"/>
      <c r="E473" s="1004">
        <f t="shared" si="76"/>
        <v>1</v>
      </c>
      <c r="F473" s="1014"/>
      <c r="G473" s="1004">
        <f t="shared" si="77"/>
        <v>1</v>
      </c>
      <c r="H473" s="1014"/>
      <c r="I473" s="1004">
        <f t="shared" si="78"/>
        <v>1</v>
      </c>
      <c r="J473" s="1014"/>
      <c r="K473" s="1004">
        <f t="shared" si="79"/>
        <v>1</v>
      </c>
      <c r="L473" s="1014"/>
      <c r="M473" s="1004">
        <f t="shared" si="80"/>
        <v>1</v>
      </c>
      <c r="N473" s="1014"/>
      <c r="O473" s="1004">
        <f t="shared" si="81"/>
        <v>1</v>
      </c>
      <c r="P473" s="1014"/>
      <c r="Q473" s="1004">
        <f t="shared" si="82"/>
        <v>0</v>
      </c>
      <c r="R473" s="1064">
        <f t="shared" si="83"/>
        <v>0</v>
      </c>
      <c r="S473" s="1003">
        <f t="shared" si="85"/>
        <v>0</v>
      </c>
    </row>
    <row r="474" spans="1:19">
      <c r="A474" s="1012"/>
      <c r="B474" s="1013"/>
      <c r="C474" s="1004">
        <f t="shared" ref="C474:C524" si="86">IF(B474="",1,(LOOKUP(B474,$3:$3,$4:$4)-LOOKUP($B$24,$3:$3,$4:$4)+100)/100)</f>
        <v>1</v>
      </c>
      <c r="D474" s="1014"/>
      <c r="E474" s="1004">
        <f t="shared" ref="E474:E524" si="87">(SUMIF($5:$5,D474,$6:$6)-SUMIF($5:$5,$D$24,$6:$6)+100)/100</f>
        <v>1</v>
      </c>
      <c r="F474" s="1014"/>
      <c r="G474" s="1004">
        <f t="shared" ref="G474:G524" si="88">(SUMIF($7:$7,F474,$8:$8)-SUMIF($7:$7,$F$24,$8:$8)+100)/100</f>
        <v>1</v>
      </c>
      <c r="H474" s="1014"/>
      <c r="I474" s="1004">
        <f t="shared" ref="I474:I524" si="89">(SUMIF($9:$9,H474,$10:$10)-SUMIF($9:$9,$H$24,$10:$10)+100)/100</f>
        <v>1</v>
      </c>
      <c r="J474" s="1014"/>
      <c r="K474" s="1004">
        <f t="shared" ref="K474:K524" si="90">(SUMIF($11:$11,J474,$12:$12)-SUMIF($11:$11,$J$24,$12:$12)+100)/100</f>
        <v>1</v>
      </c>
      <c r="L474" s="1014"/>
      <c r="M474" s="1004">
        <f t="shared" ref="M474:M524" si="91">(SUMIF($13:$13,L474,$14:$14)-SUMIF($13:$13,$L$24,$14:$14)+100)/100</f>
        <v>1</v>
      </c>
      <c r="N474" s="1014"/>
      <c r="O474" s="1004">
        <f t="shared" ref="O474:O524" si="92">(SUMIF($15:$15,N474,$16:$16)-SUMIF($15:$15,$N$24,$16:$16)+100)/100</f>
        <v>1</v>
      </c>
      <c r="P474" s="1014"/>
      <c r="Q474" s="1004">
        <f t="shared" ref="Q474:Q524" si="93">(SUMIF($17:$17,P474,$18:$18)-SUMIF($17:$17,$P$24,$18:$18)+100)/100</f>
        <v>0</v>
      </c>
      <c r="R474" s="1064">
        <f t="shared" ref="R474:R524" si="94">IF(B474="",0,ROUND($R$24*C474*E474*G474*I474*K474*M474*O474*Q474,0))</f>
        <v>0</v>
      </c>
      <c r="S474" s="1003">
        <f t="shared" si="85"/>
        <v>0</v>
      </c>
    </row>
    <row r="475" spans="1:19">
      <c r="A475" s="1012"/>
      <c r="B475" s="1013"/>
      <c r="C475" s="1004">
        <f t="shared" si="86"/>
        <v>1</v>
      </c>
      <c r="D475" s="1014"/>
      <c r="E475" s="1004">
        <f t="shared" si="87"/>
        <v>1</v>
      </c>
      <c r="F475" s="1014"/>
      <c r="G475" s="1004">
        <f t="shared" si="88"/>
        <v>1</v>
      </c>
      <c r="H475" s="1014"/>
      <c r="I475" s="1004">
        <f t="shared" si="89"/>
        <v>1</v>
      </c>
      <c r="J475" s="1014"/>
      <c r="K475" s="1004">
        <f t="shared" si="90"/>
        <v>1</v>
      </c>
      <c r="L475" s="1014"/>
      <c r="M475" s="1004">
        <f t="shared" si="91"/>
        <v>1</v>
      </c>
      <c r="N475" s="1014"/>
      <c r="O475" s="1004">
        <f t="shared" si="92"/>
        <v>1</v>
      </c>
      <c r="P475" s="1014"/>
      <c r="Q475" s="1004">
        <f t="shared" si="93"/>
        <v>0</v>
      </c>
      <c r="R475" s="1064">
        <f t="shared" si="94"/>
        <v>0</v>
      </c>
      <c r="S475" s="1003">
        <f t="shared" si="85"/>
        <v>0</v>
      </c>
    </row>
    <row r="476" spans="1:19">
      <c r="A476" s="1012"/>
      <c r="B476" s="1013"/>
      <c r="C476" s="1004">
        <f t="shared" si="86"/>
        <v>1</v>
      </c>
      <c r="D476" s="1014"/>
      <c r="E476" s="1004">
        <f t="shared" si="87"/>
        <v>1</v>
      </c>
      <c r="F476" s="1014"/>
      <c r="G476" s="1004">
        <f t="shared" si="88"/>
        <v>1</v>
      </c>
      <c r="H476" s="1014"/>
      <c r="I476" s="1004">
        <f t="shared" si="89"/>
        <v>1</v>
      </c>
      <c r="J476" s="1014"/>
      <c r="K476" s="1004">
        <f t="shared" si="90"/>
        <v>1</v>
      </c>
      <c r="L476" s="1014"/>
      <c r="M476" s="1004">
        <f t="shared" si="91"/>
        <v>1</v>
      </c>
      <c r="N476" s="1014"/>
      <c r="O476" s="1004">
        <f t="shared" si="92"/>
        <v>1</v>
      </c>
      <c r="P476" s="1014"/>
      <c r="Q476" s="1004">
        <f t="shared" si="93"/>
        <v>0</v>
      </c>
      <c r="R476" s="1064">
        <f t="shared" si="94"/>
        <v>0</v>
      </c>
      <c r="S476" s="1003">
        <f t="shared" si="85"/>
        <v>0</v>
      </c>
    </row>
    <row r="477" spans="1:19">
      <c r="A477" s="1012"/>
      <c r="B477" s="1013"/>
      <c r="C477" s="1004">
        <f t="shared" si="86"/>
        <v>1</v>
      </c>
      <c r="D477" s="1014"/>
      <c r="E477" s="1004">
        <f t="shared" si="87"/>
        <v>1</v>
      </c>
      <c r="F477" s="1014"/>
      <c r="G477" s="1004">
        <f t="shared" si="88"/>
        <v>1</v>
      </c>
      <c r="H477" s="1014"/>
      <c r="I477" s="1004">
        <f t="shared" si="89"/>
        <v>1</v>
      </c>
      <c r="J477" s="1014"/>
      <c r="K477" s="1004">
        <f t="shared" si="90"/>
        <v>1</v>
      </c>
      <c r="L477" s="1014"/>
      <c r="M477" s="1004">
        <f t="shared" si="91"/>
        <v>1</v>
      </c>
      <c r="N477" s="1014"/>
      <c r="O477" s="1004">
        <f t="shared" si="92"/>
        <v>1</v>
      </c>
      <c r="P477" s="1014"/>
      <c r="Q477" s="1004">
        <f t="shared" si="93"/>
        <v>0</v>
      </c>
      <c r="R477" s="1064">
        <f t="shared" si="94"/>
        <v>0</v>
      </c>
      <c r="S477" s="1003">
        <f t="shared" si="85"/>
        <v>0</v>
      </c>
    </row>
    <row r="478" spans="1:19">
      <c r="A478" s="1012"/>
      <c r="B478" s="1013"/>
      <c r="C478" s="1004">
        <f t="shared" si="86"/>
        <v>1</v>
      </c>
      <c r="D478" s="1014"/>
      <c r="E478" s="1004">
        <f t="shared" si="87"/>
        <v>1</v>
      </c>
      <c r="F478" s="1014"/>
      <c r="G478" s="1004">
        <f t="shared" si="88"/>
        <v>1</v>
      </c>
      <c r="H478" s="1014"/>
      <c r="I478" s="1004">
        <f t="shared" si="89"/>
        <v>1</v>
      </c>
      <c r="J478" s="1014"/>
      <c r="K478" s="1004">
        <f t="shared" si="90"/>
        <v>1</v>
      </c>
      <c r="L478" s="1014"/>
      <c r="M478" s="1004">
        <f t="shared" si="91"/>
        <v>1</v>
      </c>
      <c r="N478" s="1014"/>
      <c r="O478" s="1004">
        <f t="shared" si="92"/>
        <v>1</v>
      </c>
      <c r="P478" s="1014"/>
      <c r="Q478" s="1004">
        <f t="shared" si="93"/>
        <v>0</v>
      </c>
      <c r="R478" s="1064">
        <f t="shared" si="94"/>
        <v>0</v>
      </c>
      <c r="S478" s="1003">
        <f t="shared" si="85"/>
        <v>0</v>
      </c>
    </row>
    <row r="479" spans="1:19">
      <c r="A479" s="1012"/>
      <c r="B479" s="1013"/>
      <c r="C479" s="1004">
        <f t="shared" si="86"/>
        <v>1</v>
      </c>
      <c r="D479" s="1014"/>
      <c r="E479" s="1004">
        <f t="shared" si="87"/>
        <v>1</v>
      </c>
      <c r="F479" s="1014"/>
      <c r="G479" s="1004">
        <f t="shared" si="88"/>
        <v>1</v>
      </c>
      <c r="H479" s="1014"/>
      <c r="I479" s="1004">
        <f t="shared" si="89"/>
        <v>1</v>
      </c>
      <c r="J479" s="1014"/>
      <c r="K479" s="1004">
        <f t="shared" si="90"/>
        <v>1</v>
      </c>
      <c r="L479" s="1014"/>
      <c r="M479" s="1004">
        <f t="shared" si="91"/>
        <v>1</v>
      </c>
      <c r="N479" s="1014"/>
      <c r="O479" s="1004">
        <f t="shared" si="92"/>
        <v>1</v>
      </c>
      <c r="P479" s="1014"/>
      <c r="Q479" s="1004">
        <f t="shared" si="93"/>
        <v>0</v>
      </c>
      <c r="R479" s="1064">
        <f t="shared" si="94"/>
        <v>0</v>
      </c>
      <c r="S479" s="1003">
        <f t="shared" si="85"/>
        <v>0</v>
      </c>
    </row>
    <row r="480" spans="1:19">
      <c r="A480" s="1012"/>
      <c r="B480" s="1013"/>
      <c r="C480" s="1004">
        <f t="shared" si="86"/>
        <v>1</v>
      </c>
      <c r="D480" s="1014"/>
      <c r="E480" s="1004">
        <f t="shared" si="87"/>
        <v>1</v>
      </c>
      <c r="F480" s="1014"/>
      <c r="G480" s="1004">
        <f t="shared" si="88"/>
        <v>1</v>
      </c>
      <c r="H480" s="1014"/>
      <c r="I480" s="1004">
        <f t="shared" si="89"/>
        <v>1</v>
      </c>
      <c r="J480" s="1014"/>
      <c r="K480" s="1004">
        <f t="shared" si="90"/>
        <v>1</v>
      </c>
      <c r="L480" s="1014"/>
      <c r="M480" s="1004">
        <f t="shared" si="91"/>
        <v>1</v>
      </c>
      <c r="N480" s="1014"/>
      <c r="O480" s="1004">
        <f t="shared" si="92"/>
        <v>1</v>
      </c>
      <c r="P480" s="1014"/>
      <c r="Q480" s="1004">
        <f t="shared" si="93"/>
        <v>0</v>
      </c>
      <c r="R480" s="1064">
        <f t="shared" si="94"/>
        <v>0</v>
      </c>
      <c r="S480" s="1003">
        <f t="shared" si="85"/>
        <v>0</v>
      </c>
    </row>
    <row r="481" spans="1:19">
      <c r="A481" s="1012"/>
      <c r="B481" s="1013"/>
      <c r="C481" s="1004">
        <f t="shared" si="86"/>
        <v>1</v>
      </c>
      <c r="D481" s="1014"/>
      <c r="E481" s="1004">
        <f t="shared" si="87"/>
        <v>1</v>
      </c>
      <c r="F481" s="1014"/>
      <c r="G481" s="1004">
        <f t="shared" si="88"/>
        <v>1</v>
      </c>
      <c r="H481" s="1014"/>
      <c r="I481" s="1004">
        <f t="shared" si="89"/>
        <v>1</v>
      </c>
      <c r="J481" s="1014"/>
      <c r="K481" s="1004">
        <f t="shared" si="90"/>
        <v>1</v>
      </c>
      <c r="L481" s="1014"/>
      <c r="M481" s="1004">
        <f t="shared" si="91"/>
        <v>1</v>
      </c>
      <c r="N481" s="1014"/>
      <c r="O481" s="1004">
        <f t="shared" si="92"/>
        <v>1</v>
      </c>
      <c r="P481" s="1014"/>
      <c r="Q481" s="1004">
        <f t="shared" si="93"/>
        <v>0</v>
      </c>
      <c r="R481" s="1064">
        <f t="shared" si="94"/>
        <v>0</v>
      </c>
      <c r="S481" s="1003">
        <f t="shared" si="85"/>
        <v>0</v>
      </c>
    </row>
    <row r="482" spans="1:19">
      <c r="A482" s="1012"/>
      <c r="B482" s="1013"/>
      <c r="C482" s="1004">
        <f t="shared" si="86"/>
        <v>1</v>
      </c>
      <c r="D482" s="1014"/>
      <c r="E482" s="1004">
        <f t="shared" si="87"/>
        <v>1</v>
      </c>
      <c r="F482" s="1014"/>
      <c r="G482" s="1004">
        <f t="shared" si="88"/>
        <v>1</v>
      </c>
      <c r="H482" s="1014"/>
      <c r="I482" s="1004">
        <f t="shared" si="89"/>
        <v>1</v>
      </c>
      <c r="J482" s="1014"/>
      <c r="K482" s="1004">
        <f t="shared" si="90"/>
        <v>1</v>
      </c>
      <c r="L482" s="1014"/>
      <c r="M482" s="1004">
        <f t="shared" si="91"/>
        <v>1</v>
      </c>
      <c r="N482" s="1014"/>
      <c r="O482" s="1004">
        <f t="shared" si="92"/>
        <v>1</v>
      </c>
      <c r="P482" s="1014"/>
      <c r="Q482" s="1004">
        <f t="shared" si="93"/>
        <v>0</v>
      </c>
      <c r="R482" s="1064">
        <f t="shared" si="94"/>
        <v>0</v>
      </c>
      <c r="S482" s="1003">
        <f t="shared" si="85"/>
        <v>0</v>
      </c>
    </row>
    <row r="483" spans="1:19">
      <c r="A483" s="1012"/>
      <c r="B483" s="1013"/>
      <c r="C483" s="1004">
        <f t="shared" si="86"/>
        <v>1</v>
      </c>
      <c r="D483" s="1014"/>
      <c r="E483" s="1004">
        <f t="shared" si="87"/>
        <v>1</v>
      </c>
      <c r="F483" s="1014"/>
      <c r="G483" s="1004">
        <f t="shared" si="88"/>
        <v>1</v>
      </c>
      <c r="H483" s="1014"/>
      <c r="I483" s="1004">
        <f t="shared" si="89"/>
        <v>1</v>
      </c>
      <c r="J483" s="1014"/>
      <c r="K483" s="1004">
        <f t="shared" si="90"/>
        <v>1</v>
      </c>
      <c r="L483" s="1014"/>
      <c r="M483" s="1004">
        <f t="shared" si="91"/>
        <v>1</v>
      </c>
      <c r="N483" s="1014"/>
      <c r="O483" s="1004">
        <f t="shared" si="92"/>
        <v>1</v>
      </c>
      <c r="P483" s="1014"/>
      <c r="Q483" s="1004">
        <f t="shared" si="93"/>
        <v>0</v>
      </c>
      <c r="R483" s="1064">
        <f t="shared" si="94"/>
        <v>0</v>
      </c>
      <c r="S483" s="1003">
        <f t="shared" si="85"/>
        <v>0</v>
      </c>
    </row>
    <row r="484" spans="1:19">
      <c r="A484" s="1012"/>
      <c r="B484" s="1013"/>
      <c r="C484" s="1004">
        <f t="shared" si="86"/>
        <v>1</v>
      </c>
      <c r="D484" s="1014"/>
      <c r="E484" s="1004">
        <f t="shared" si="87"/>
        <v>1</v>
      </c>
      <c r="F484" s="1014"/>
      <c r="G484" s="1004">
        <f t="shared" si="88"/>
        <v>1</v>
      </c>
      <c r="H484" s="1014"/>
      <c r="I484" s="1004">
        <f t="shared" si="89"/>
        <v>1</v>
      </c>
      <c r="J484" s="1014"/>
      <c r="K484" s="1004">
        <f t="shared" si="90"/>
        <v>1</v>
      </c>
      <c r="L484" s="1014"/>
      <c r="M484" s="1004">
        <f t="shared" si="91"/>
        <v>1</v>
      </c>
      <c r="N484" s="1014"/>
      <c r="O484" s="1004">
        <f t="shared" si="92"/>
        <v>1</v>
      </c>
      <c r="P484" s="1014"/>
      <c r="Q484" s="1004">
        <f t="shared" si="93"/>
        <v>0</v>
      </c>
      <c r="R484" s="1064">
        <f t="shared" si="94"/>
        <v>0</v>
      </c>
      <c r="S484" s="1003">
        <f t="shared" si="85"/>
        <v>0</v>
      </c>
    </row>
    <row r="485" spans="1:19">
      <c r="A485" s="1012"/>
      <c r="B485" s="1013"/>
      <c r="C485" s="1004">
        <f t="shared" si="86"/>
        <v>1</v>
      </c>
      <c r="D485" s="1014"/>
      <c r="E485" s="1004">
        <f t="shared" si="87"/>
        <v>1</v>
      </c>
      <c r="F485" s="1014"/>
      <c r="G485" s="1004">
        <f t="shared" si="88"/>
        <v>1</v>
      </c>
      <c r="H485" s="1014"/>
      <c r="I485" s="1004">
        <f t="shared" si="89"/>
        <v>1</v>
      </c>
      <c r="J485" s="1014"/>
      <c r="K485" s="1004">
        <f t="shared" si="90"/>
        <v>1</v>
      </c>
      <c r="L485" s="1014"/>
      <c r="M485" s="1004">
        <f t="shared" si="91"/>
        <v>1</v>
      </c>
      <c r="N485" s="1014"/>
      <c r="O485" s="1004">
        <f t="shared" si="92"/>
        <v>1</v>
      </c>
      <c r="P485" s="1014"/>
      <c r="Q485" s="1004">
        <f t="shared" si="93"/>
        <v>0</v>
      </c>
      <c r="R485" s="1064">
        <f t="shared" si="94"/>
        <v>0</v>
      </c>
      <c r="S485" s="1003">
        <f t="shared" si="85"/>
        <v>0</v>
      </c>
    </row>
    <row r="486" spans="1:19">
      <c r="A486" s="1012"/>
      <c r="B486" s="1013"/>
      <c r="C486" s="1004">
        <f t="shared" si="86"/>
        <v>1</v>
      </c>
      <c r="D486" s="1014"/>
      <c r="E486" s="1004">
        <f t="shared" si="87"/>
        <v>1</v>
      </c>
      <c r="F486" s="1014"/>
      <c r="G486" s="1004">
        <f t="shared" si="88"/>
        <v>1</v>
      </c>
      <c r="H486" s="1014"/>
      <c r="I486" s="1004">
        <f t="shared" si="89"/>
        <v>1</v>
      </c>
      <c r="J486" s="1014"/>
      <c r="K486" s="1004">
        <f t="shared" si="90"/>
        <v>1</v>
      </c>
      <c r="L486" s="1014"/>
      <c r="M486" s="1004">
        <f t="shared" si="91"/>
        <v>1</v>
      </c>
      <c r="N486" s="1014"/>
      <c r="O486" s="1004">
        <f t="shared" si="92"/>
        <v>1</v>
      </c>
      <c r="P486" s="1014"/>
      <c r="Q486" s="1004">
        <f t="shared" si="93"/>
        <v>0</v>
      </c>
      <c r="R486" s="1064">
        <f t="shared" si="94"/>
        <v>0</v>
      </c>
      <c r="S486" s="1003">
        <f t="shared" si="85"/>
        <v>0</v>
      </c>
    </row>
    <row r="487" spans="1:19">
      <c r="A487" s="1012"/>
      <c r="B487" s="1013"/>
      <c r="C487" s="1004">
        <f t="shared" si="86"/>
        <v>1</v>
      </c>
      <c r="D487" s="1014"/>
      <c r="E487" s="1004">
        <f t="shared" si="87"/>
        <v>1</v>
      </c>
      <c r="F487" s="1014"/>
      <c r="G487" s="1004">
        <f t="shared" si="88"/>
        <v>1</v>
      </c>
      <c r="H487" s="1014"/>
      <c r="I487" s="1004">
        <f t="shared" si="89"/>
        <v>1</v>
      </c>
      <c r="J487" s="1014"/>
      <c r="K487" s="1004">
        <f t="shared" si="90"/>
        <v>1</v>
      </c>
      <c r="L487" s="1014"/>
      <c r="M487" s="1004">
        <f t="shared" si="91"/>
        <v>1</v>
      </c>
      <c r="N487" s="1014"/>
      <c r="O487" s="1004">
        <f t="shared" si="92"/>
        <v>1</v>
      </c>
      <c r="P487" s="1014"/>
      <c r="Q487" s="1004">
        <f t="shared" si="93"/>
        <v>0</v>
      </c>
      <c r="R487" s="1064">
        <f t="shared" si="94"/>
        <v>0</v>
      </c>
      <c r="S487" s="1003">
        <f t="shared" si="85"/>
        <v>0</v>
      </c>
    </row>
    <row r="488" spans="1:19">
      <c r="A488" s="1012"/>
      <c r="B488" s="1013"/>
      <c r="C488" s="1004">
        <f t="shared" si="86"/>
        <v>1</v>
      </c>
      <c r="D488" s="1014"/>
      <c r="E488" s="1004">
        <f t="shared" si="87"/>
        <v>1</v>
      </c>
      <c r="F488" s="1014"/>
      <c r="G488" s="1004">
        <f t="shared" si="88"/>
        <v>1</v>
      </c>
      <c r="H488" s="1014"/>
      <c r="I488" s="1004">
        <f t="shared" si="89"/>
        <v>1</v>
      </c>
      <c r="J488" s="1014"/>
      <c r="K488" s="1004">
        <f t="shared" si="90"/>
        <v>1</v>
      </c>
      <c r="L488" s="1014"/>
      <c r="M488" s="1004">
        <f t="shared" si="91"/>
        <v>1</v>
      </c>
      <c r="N488" s="1014"/>
      <c r="O488" s="1004">
        <f t="shared" si="92"/>
        <v>1</v>
      </c>
      <c r="P488" s="1014"/>
      <c r="Q488" s="1004">
        <f t="shared" si="93"/>
        <v>0</v>
      </c>
      <c r="R488" s="1064">
        <f t="shared" si="94"/>
        <v>0</v>
      </c>
      <c r="S488" s="1003">
        <f t="shared" si="85"/>
        <v>0</v>
      </c>
    </row>
    <row r="489" spans="1:19">
      <c r="A489" s="1012"/>
      <c r="B489" s="1013"/>
      <c r="C489" s="1004">
        <f t="shared" si="86"/>
        <v>1</v>
      </c>
      <c r="D489" s="1014"/>
      <c r="E489" s="1004">
        <f t="shared" si="87"/>
        <v>1</v>
      </c>
      <c r="F489" s="1014"/>
      <c r="G489" s="1004">
        <f t="shared" si="88"/>
        <v>1</v>
      </c>
      <c r="H489" s="1014"/>
      <c r="I489" s="1004">
        <f t="shared" si="89"/>
        <v>1</v>
      </c>
      <c r="J489" s="1014"/>
      <c r="K489" s="1004">
        <f t="shared" si="90"/>
        <v>1</v>
      </c>
      <c r="L489" s="1014"/>
      <c r="M489" s="1004">
        <f t="shared" si="91"/>
        <v>1</v>
      </c>
      <c r="N489" s="1014"/>
      <c r="O489" s="1004">
        <f t="shared" si="92"/>
        <v>1</v>
      </c>
      <c r="P489" s="1014"/>
      <c r="Q489" s="1004">
        <f t="shared" si="93"/>
        <v>0</v>
      </c>
      <c r="R489" s="1064">
        <f t="shared" si="94"/>
        <v>0</v>
      </c>
      <c r="S489" s="1003">
        <f t="shared" si="85"/>
        <v>0</v>
      </c>
    </row>
    <row r="490" spans="1:19">
      <c r="A490" s="1012"/>
      <c r="B490" s="1013"/>
      <c r="C490" s="1004">
        <f t="shared" si="86"/>
        <v>1</v>
      </c>
      <c r="D490" s="1014"/>
      <c r="E490" s="1004">
        <f t="shared" si="87"/>
        <v>1</v>
      </c>
      <c r="F490" s="1014"/>
      <c r="G490" s="1004">
        <f t="shared" si="88"/>
        <v>1</v>
      </c>
      <c r="H490" s="1014"/>
      <c r="I490" s="1004">
        <f t="shared" si="89"/>
        <v>1</v>
      </c>
      <c r="J490" s="1014"/>
      <c r="K490" s="1004">
        <f t="shared" si="90"/>
        <v>1</v>
      </c>
      <c r="L490" s="1014"/>
      <c r="M490" s="1004">
        <f t="shared" si="91"/>
        <v>1</v>
      </c>
      <c r="N490" s="1014"/>
      <c r="O490" s="1004">
        <f t="shared" si="92"/>
        <v>1</v>
      </c>
      <c r="P490" s="1014"/>
      <c r="Q490" s="1004">
        <f t="shared" si="93"/>
        <v>0</v>
      </c>
      <c r="R490" s="1064">
        <f t="shared" si="94"/>
        <v>0</v>
      </c>
      <c r="S490" s="1003">
        <f t="shared" si="85"/>
        <v>0</v>
      </c>
    </row>
    <row r="491" spans="1:19">
      <c r="A491" s="1012"/>
      <c r="B491" s="1013"/>
      <c r="C491" s="1004">
        <f t="shared" si="86"/>
        <v>1</v>
      </c>
      <c r="D491" s="1014"/>
      <c r="E491" s="1004">
        <f t="shared" si="87"/>
        <v>1</v>
      </c>
      <c r="F491" s="1014"/>
      <c r="G491" s="1004">
        <f t="shared" si="88"/>
        <v>1</v>
      </c>
      <c r="H491" s="1014"/>
      <c r="I491" s="1004">
        <f t="shared" si="89"/>
        <v>1</v>
      </c>
      <c r="J491" s="1014"/>
      <c r="K491" s="1004">
        <f t="shared" si="90"/>
        <v>1</v>
      </c>
      <c r="L491" s="1014"/>
      <c r="M491" s="1004">
        <f t="shared" si="91"/>
        <v>1</v>
      </c>
      <c r="N491" s="1014"/>
      <c r="O491" s="1004">
        <f t="shared" si="92"/>
        <v>1</v>
      </c>
      <c r="P491" s="1014"/>
      <c r="Q491" s="1004">
        <f t="shared" si="93"/>
        <v>0</v>
      </c>
      <c r="R491" s="1064">
        <f t="shared" si="94"/>
        <v>0</v>
      </c>
      <c r="S491" s="1003">
        <f t="shared" si="85"/>
        <v>0</v>
      </c>
    </row>
    <row r="492" spans="1:19">
      <c r="A492" s="1012"/>
      <c r="B492" s="1013"/>
      <c r="C492" s="1004">
        <f t="shared" si="86"/>
        <v>1</v>
      </c>
      <c r="D492" s="1014"/>
      <c r="E492" s="1004">
        <f t="shared" si="87"/>
        <v>1</v>
      </c>
      <c r="F492" s="1014"/>
      <c r="G492" s="1004">
        <f t="shared" si="88"/>
        <v>1</v>
      </c>
      <c r="H492" s="1014"/>
      <c r="I492" s="1004">
        <f t="shared" si="89"/>
        <v>1</v>
      </c>
      <c r="J492" s="1014"/>
      <c r="K492" s="1004">
        <f t="shared" si="90"/>
        <v>1</v>
      </c>
      <c r="L492" s="1014"/>
      <c r="M492" s="1004">
        <f t="shared" si="91"/>
        <v>1</v>
      </c>
      <c r="N492" s="1014"/>
      <c r="O492" s="1004">
        <f t="shared" si="92"/>
        <v>1</v>
      </c>
      <c r="P492" s="1014"/>
      <c r="Q492" s="1004">
        <f t="shared" si="93"/>
        <v>0</v>
      </c>
      <c r="R492" s="1064">
        <f t="shared" si="94"/>
        <v>0</v>
      </c>
      <c r="S492" s="1003">
        <f t="shared" si="85"/>
        <v>0</v>
      </c>
    </row>
    <row r="493" spans="1:19">
      <c r="A493" s="1012"/>
      <c r="B493" s="1013"/>
      <c r="C493" s="1004">
        <f t="shared" si="86"/>
        <v>1</v>
      </c>
      <c r="D493" s="1014"/>
      <c r="E493" s="1004">
        <f t="shared" si="87"/>
        <v>1</v>
      </c>
      <c r="F493" s="1014"/>
      <c r="G493" s="1004">
        <f t="shared" si="88"/>
        <v>1</v>
      </c>
      <c r="H493" s="1014"/>
      <c r="I493" s="1004">
        <f t="shared" si="89"/>
        <v>1</v>
      </c>
      <c r="J493" s="1014"/>
      <c r="K493" s="1004">
        <f t="shared" si="90"/>
        <v>1</v>
      </c>
      <c r="L493" s="1014"/>
      <c r="M493" s="1004">
        <f t="shared" si="91"/>
        <v>1</v>
      </c>
      <c r="N493" s="1014"/>
      <c r="O493" s="1004">
        <f t="shared" si="92"/>
        <v>1</v>
      </c>
      <c r="P493" s="1014"/>
      <c r="Q493" s="1004">
        <f t="shared" si="93"/>
        <v>0</v>
      </c>
      <c r="R493" s="1064">
        <f t="shared" si="94"/>
        <v>0</v>
      </c>
      <c r="S493" s="1003">
        <f t="shared" si="85"/>
        <v>0</v>
      </c>
    </row>
    <row r="494" spans="1:19">
      <c r="A494" s="1012"/>
      <c r="B494" s="1013"/>
      <c r="C494" s="1004">
        <f t="shared" si="86"/>
        <v>1</v>
      </c>
      <c r="D494" s="1014"/>
      <c r="E494" s="1004">
        <f t="shared" si="87"/>
        <v>1</v>
      </c>
      <c r="F494" s="1014"/>
      <c r="G494" s="1004">
        <f t="shared" si="88"/>
        <v>1</v>
      </c>
      <c r="H494" s="1014"/>
      <c r="I494" s="1004">
        <f t="shared" si="89"/>
        <v>1</v>
      </c>
      <c r="J494" s="1014"/>
      <c r="K494" s="1004">
        <f t="shared" si="90"/>
        <v>1</v>
      </c>
      <c r="L494" s="1014"/>
      <c r="M494" s="1004">
        <f t="shared" si="91"/>
        <v>1</v>
      </c>
      <c r="N494" s="1014"/>
      <c r="O494" s="1004">
        <f t="shared" si="92"/>
        <v>1</v>
      </c>
      <c r="P494" s="1014"/>
      <c r="Q494" s="1004">
        <f t="shared" si="93"/>
        <v>0</v>
      </c>
      <c r="R494" s="1064">
        <f t="shared" si="94"/>
        <v>0</v>
      </c>
      <c r="S494" s="1003">
        <f t="shared" si="85"/>
        <v>0</v>
      </c>
    </row>
    <row r="495" spans="1:19">
      <c r="A495" s="1012"/>
      <c r="B495" s="1013"/>
      <c r="C495" s="1004">
        <f t="shared" si="86"/>
        <v>1</v>
      </c>
      <c r="D495" s="1014"/>
      <c r="E495" s="1004">
        <f t="shared" si="87"/>
        <v>1</v>
      </c>
      <c r="F495" s="1014"/>
      <c r="G495" s="1004">
        <f t="shared" si="88"/>
        <v>1</v>
      </c>
      <c r="H495" s="1014"/>
      <c r="I495" s="1004">
        <f t="shared" si="89"/>
        <v>1</v>
      </c>
      <c r="J495" s="1014"/>
      <c r="K495" s="1004">
        <f t="shared" si="90"/>
        <v>1</v>
      </c>
      <c r="L495" s="1014"/>
      <c r="M495" s="1004">
        <f t="shared" si="91"/>
        <v>1</v>
      </c>
      <c r="N495" s="1014"/>
      <c r="O495" s="1004">
        <f t="shared" si="92"/>
        <v>1</v>
      </c>
      <c r="P495" s="1014"/>
      <c r="Q495" s="1004">
        <f t="shared" si="93"/>
        <v>0</v>
      </c>
      <c r="R495" s="1064">
        <f t="shared" si="94"/>
        <v>0</v>
      </c>
      <c r="S495" s="1003">
        <f t="shared" si="85"/>
        <v>0</v>
      </c>
    </row>
    <row r="496" spans="1:19">
      <c r="A496" s="1012"/>
      <c r="B496" s="1013"/>
      <c r="C496" s="1004">
        <f t="shared" si="86"/>
        <v>1</v>
      </c>
      <c r="D496" s="1014"/>
      <c r="E496" s="1004">
        <f t="shared" si="87"/>
        <v>1</v>
      </c>
      <c r="F496" s="1014"/>
      <c r="G496" s="1004">
        <f t="shared" si="88"/>
        <v>1</v>
      </c>
      <c r="H496" s="1014"/>
      <c r="I496" s="1004">
        <f t="shared" si="89"/>
        <v>1</v>
      </c>
      <c r="J496" s="1014"/>
      <c r="K496" s="1004">
        <f t="shared" si="90"/>
        <v>1</v>
      </c>
      <c r="L496" s="1014"/>
      <c r="M496" s="1004">
        <f t="shared" si="91"/>
        <v>1</v>
      </c>
      <c r="N496" s="1014"/>
      <c r="O496" s="1004">
        <f t="shared" si="92"/>
        <v>1</v>
      </c>
      <c r="P496" s="1014"/>
      <c r="Q496" s="1004">
        <f t="shared" si="93"/>
        <v>0</v>
      </c>
      <c r="R496" s="1064">
        <f t="shared" si="94"/>
        <v>0</v>
      </c>
      <c r="S496" s="1003">
        <f t="shared" si="85"/>
        <v>0</v>
      </c>
    </row>
    <row r="497" spans="1:19">
      <c r="A497" s="1012"/>
      <c r="B497" s="1013"/>
      <c r="C497" s="1004">
        <f t="shared" si="86"/>
        <v>1</v>
      </c>
      <c r="D497" s="1014"/>
      <c r="E497" s="1004">
        <f t="shared" si="87"/>
        <v>1</v>
      </c>
      <c r="F497" s="1014"/>
      <c r="G497" s="1004">
        <f t="shared" si="88"/>
        <v>1</v>
      </c>
      <c r="H497" s="1014"/>
      <c r="I497" s="1004">
        <f t="shared" si="89"/>
        <v>1</v>
      </c>
      <c r="J497" s="1014"/>
      <c r="K497" s="1004">
        <f t="shared" si="90"/>
        <v>1</v>
      </c>
      <c r="L497" s="1014"/>
      <c r="M497" s="1004">
        <f t="shared" si="91"/>
        <v>1</v>
      </c>
      <c r="N497" s="1014"/>
      <c r="O497" s="1004">
        <f t="shared" si="92"/>
        <v>1</v>
      </c>
      <c r="P497" s="1014"/>
      <c r="Q497" s="1004">
        <f t="shared" si="93"/>
        <v>0</v>
      </c>
      <c r="R497" s="1064">
        <f t="shared" si="94"/>
        <v>0</v>
      </c>
      <c r="S497" s="1003">
        <f t="shared" si="85"/>
        <v>0</v>
      </c>
    </row>
    <row r="498" spans="1:19">
      <c r="A498" s="1012"/>
      <c r="B498" s="1013"/>
      <c r="C498" s="1004">
        <f t="shared" si="86"/>
        <v>1</v>
      </c>
      <c r="D498" s="1014"/>
      <c r="E498" s="1004">
        <f t="shared" si="87"/>
        <v>1</v>
      </c>
      <c r="F498" s="1014"/>
      <c r="G498" s="1004">
        <f t="shared" si="88"/>
        <v>1</v>
      </c>
      <c r="H498" s="1014"/>
      <c r="I498" s="1004">
        <f t="shared" si="89"/>
        <v>1</v>
      </c>
      <c r="J498" s="1014"/>
      <c r="K498" s="1004">
        <f t="shared" si="90"/>
        <v>1</v>
      </c>
      <c r="L498" s="1014"/>
      <c r="M498" s="1004">
        <f t="shared" si="91"/>
        <v>1</v>
      </c>
      <c r="N498" s="1014"/>
      <c r="O498" s="1004">
        <f t="shared" si="92"/>
        <v>1</v>
      </c>
      <c r="P498" s="1014"/>
      <c r="Q498" s="1004">
        <f t="shared" si="93"/>
        <v>0</v>
      </c>
      <c r="R498" s="1064">
        <f t="shared" si="94"/>
        <v>0</v>
      </c>
      <c r="S498" s="1003">
        <f t="shared" ref="S498:S524" si="95">ROUND(R498*B498/10000,0)</f>
        <v>0</v>
      </c>
    </row>
    <row r="499" spans="1:19">
      <c r="A499" s="1012"/>
      <c r="B499" s="1013"/>
      <c r="C499" s="1004">
        <f t="shared" si="86"/>
        <v>1</v>
      </c>
      <c r="D499" s="1014"/>
      <c r="E499" s="1004">
        <f t="shared" si="87"/>
        <v>1</v>
      </c>
      <c r="F499" s="1014"/>
      <c r="G499" s="1004">
        <f t="shared" si="88"/>
        <v>1</v>
      </c>
      <c r="H499" s="1014"/>
      <c r="I499" s="1004">
        <f t="shared" si="89"/>
        <v>1</v>
      </c>
      <c r="J499" s="1014"/>
      <c r="K499" s="1004">
        <f t="shared" si="90"/>
        <v>1</v>
      </c>
      <c r="L499" s="1014"/>
      <c r="M499" s="1004">
        <f t="shared" si="91"/>
        <v>1</v>
      </c>
      <c r="N499" s="1014"/>
      <c r="O499" s="1004">
        <f t="shared" si="92"/>
        <v>1</v>
      </c>
      <c r="P499" s="1014"/>
      <c r="Q499" s="1004">
        <f t="shared" si="93"/>
        <v>0</v>
      </c>
      <c r="R499" s="1064">
        <f t="shared" si="94"/>
        <v>0</v>
      </c>
      <c r="S499" s="1003">
        <f t="shared" si="95"/>
        <v>0</v>
      </c>
    </row>
    <row r="500" spans="1:19">
      <c r="A500" s="1012"/>
      <c r="B500" s="1013"/>
      <c r="C500" s="1004">
        <f t="shared" si="86"/>
        <v>1</v>
      </c>
      <c r="D500" s="1014"/>
      <c r="E500" s="1004">
        <f t="shared" si="87"/>
        <v>1</v>
      </c>
      <c r="F500" s="1014"/>
      <c r="G500" s="1004">
        <f t="shared" si="88"/>
        <v>1</v>
      </c>
      <c r="H500" s="1014"/>
      <c r="I500" s="1004">
        <f t="shared" si="89"/>
        <v>1</v>
      </c>
      <c r="J500" s="1014"/>
      <c r="K500" s="1004">
        <f t="shared" si="90"/>
        <v>1</v>
      </c>
      <c r="L500" s="1014"/>
      <c r="M500" s="1004">
        <f t="shared" si="91"/>
        <v>1</v>
      </c>
      <c r="N500" s="1014"/>
      <c r="O500" s="1004">
        <f t="shared" si="92"/>
        <v>1</v>
      </c>
      <c r="P500" s="1014"/>
      <c r="Q500" s="1004">
        <f t="shared" si="93"/>
        <v>0</v>
      </c>
      <c r="R500" s="1064">
        <f t="shared" si="94"/>
        <v>0</v>
      </c>
      <c r="S500" s="1003">
        <f t="shared" si="95"/>
        <v>0</v>
      </c>
    </row>
    <row r="501" spans="1:19">
      <c r="A501" s="1012"/>
      <c r="B501" s="1013"/>
      <c r="C501" s="1004">
        <f t="shared" si="86"/>
        <v>1</v>
      </c>
      <c r="D501" s="1014"/>
      <c r="E501" s="1004">
        <f t="shared" si="87"/>
        <v>1</v>
      </c>
      <c r="F501" s="1014"/>
      <c r="G501" s="1004">
        <f t="shared" si="88"/>
        <v>1</v>
      </c>
      <c r="H501" s="1014"/>
      <c r="I501" s="1004">
        <f t="shared" si="89"/>
        <v>1</v>
      </c>
      <c r="J501" s="1014"/>
      <c r="K501" s="1004">
        <f t="shared" si="90"/>
        <v>1</v>
      </c>
      <c r="L501" s="1014"/>
      <c r="M501" s="1004">
        <f t="shared" si="91"/>
        <v>1</v>
      </c>
      <c r="N501" s="1014"/>
      <c r="O501" s="1004">
        <f t="shared" si="92"/>
        <v>1</v>
      </c>
      <c r="P501" s="1014"/>
      <c r="Q501" s="1004">
        <f t="shared" si="93"/>
        <v>0</v>
      </c>
      <c r="R501" s="1064">
        <f t="shared" si="94"/>
        <v>0</v>
      </c>
      <c r="S501" s="1003">
        <f t="shared" si="95"/>
        <v>0</v>
      </c>
    </row>
    <row r="502" spans="1:19">
      <c r="A502" s="1012"/>
      <c r="B502" s="1013"/>
      <c r="C502" s="1004">
        <f t="shared" si="86"/>
        <v>1</v>
      </c>
      <c r="D502" s="1014"/>
      <c r="E502" s="1004">
        <f t="shared" si="87"/>
        <v>1</v>
      </c>
      <c r="F502" s="1014"/>
      <c r="G502" s="1004">
        <f t="shared" si="88"/>
        <v>1</v>
      </c>
      <c r="H502" s="1014"/>
      <c r="I502" s="1004">
        <f t="shared" si="89"/>
        <v>1</v>
      </c>
      <c r="J502" s="1014"/>
      <c r="K502" s="1004">
        <f t="shared" si="90"/>
        <v>1</v>
      </c>
      <c r="L502" s="1014"/>
      <c r="M502" s="1004">
        <f t="shared" si="91"/>
        <v>1</v>
      </c>
      <c r="N502" s="1014"/>
      <c r="O502" s="1004">
        <f t="shared" si="92"/>
        <v>1</v>
      </c>
      <c r="P502" s="1014"/>
      <c r="Q502" s="1004">
        <f t="shared" si="93"/>
        <v>0</v>
      </c>
      <c r="R502" s="1064">
        <f t="shared" si="94"/>
        <v>0</v>
      </c>
      <c r="S502" s="1003">
        <f t="shared" si="95"/>
        <v>0</v>
      </c>
    </row>
    <row r="503" spans="1:19">
      <c r="A503" s="1012"/>
      <c r="B503" s="1013"/>
      <c r="C503" s="1004">
        <f t="shared" si="86"/>
        <v>1</v>
      </c>
      <c r="D503" s="1014"/>
      <c r="E503" s="1004">
        <f t="shared" si="87"/>
        <v>1</v>
      </c>
      <c r="F503" s="1014"/>
      <c r="G503" s="1004">
        <f t="shared" si="88"/>
        <v>1</v>
      </c>
      <c r="H503" s="1014"/>
      <c r="I503" s="1004">
        <f t="shared" si="89"/>
        <v>1</v>
      </c>
      <c r="J503" s="1014"/>
      <c r="K503" s="1004">
        <f t="shared" si="90"/>
        <v>1</v>
      </c>
      <c r="L503" s="1014"/>
      <c r="M503" s="1004">
        <f t="shared" si="91"/>
        <v>1</v>
      </c>
      <c r="N503" s="1014"/>
      <c r="O503" s="1004">
        <f t="shared" si="92"/>
        <v>1</v>
      </c>
      <c r="P503" s="1014"/>
      <c r="Q503" s="1004">
        <f t="shared" si="93"/>
        <v>0</v>
      </c>
      <c r="R503" s="1064">
        <f t="shared" si="94"/>
        <v>0</v>
      </c>
      <c r="S503" s="1003">
        <f t="shared" si="95"/>
        <v>0</v>
      </c>
    </row>
    <row r="504" spans="1:19">
      <c r="A504" s="1012"/>
      <c r="B504" s="1013"/>
      <c r="C504" s="1004">
        <f t="shared" si="86"/>
        <v>1</v>
      </c>
      <c r="D504" s="1014"/>
      <c r="E504" s="1004">
        <f t="shared" si="87"/>
        <v>1</v>
      </c>
      <c r="F504" s="1014"/>
      <c r="G504" s="1004">
        <f t="shared" si="88"/>
        <v>1</v>
      </c>
      <c r="H504" s="1014"/>
      <c r="I504" s="1004">
        <f t="shared" si="89"/>
        <v>1</v>
      </c>
      <c r="J504" s="1014"/>
      <c r="K504" s="1004">
        <f t="shared" si="90"/>
        <v>1</v>
      </c>
      <c r="L504" s="1014"/>
      <c r="M504" s="1004">
        <f t="shared" si="91"/>
        <v>1</v>
      </c>
      <c r="N504" s="1014"/>
      <c r="O504" s="1004">
        <f t="shared" si="92"/>
        <v>1</v>
      </c>
      <c r="P504" s="1014"/>
      <c r="Q504" s="1004">
        <f t="shared" si="93"/>
        <v>0</v>
      </c>
      <c r="R504" s="1064">
        <f t="shared" si="94"/>
        <v>0</v>
      </c>
      <c r="S504" s="1003">
        <f t="shared" si="95"/>
        <v>0</v>
      </c>
    </row>
    <row r="505" spans="1:19">
      <c r="A505" s="1012"/>
      <c r="B505" s="1013"/>
      <c r="C505" s="1004">
        <f t="shared" si="86"/>
        <v>1</v>
      </c>
      <c r="D505" s="1014"/>
      <c r="E505" s="1004">
        <f t="shared" si="87"/>
        <v>1</v>
      </c>
      <c r="F505" s="1014"/>
      <c r="G505" s="1004">
        <f t="shared" si="88"/>
        <v>1</v>
      </c>
      <c r="H505" s="1014"/>
      <c r="I505" s="1004">
        <f t="shared" si="89"/>
        <v>1</v>
      </c>
      <c r="J505" s="1014"/>
      <c r="K505" s="1004">
        <f t="shared" si="90"/>
        <v>1</v>
      </c>
      <c r="L505" s="1014"/>
      <c r="M505" s="1004">
        <f t="shared" si="91"/>
        <v>1</v>
      </c>
      <c r="N505" s="1014"/>
      <c r="O505" s="1004">
        <f t="shared" si="92"/>
        <v>1</v>
      </c>
      <c r="P505" s="1014"/>
      <c r="Q505" s="1004">
        <f t="shared" si="93"/>
        <v>0</v>
      </c>
      <c r="R505" s="1064">
        <f t="shared" si="94"/>
        <v>0</v>
      </c>
      <c r="S505" s="1003">
        <f t="shared" si="95"/>
        <v>0</v>
      </c>
    </row>
    <row r="506" spans="1:19">
      <c r="A506" s="1012"/>
      <c r="B506" s="1013"/>
      <c r="C506" s="1004">
        <f t="shared" si="86"/>
        <v>1</v>
      </c>
      <c r="D506" s="1014"/>
      <c r="E506" s="1004">
        <f t="shared" si="87"/>
        <v>1</v>
      </c>
      <c r="F506" s="1014"/>
      <c r="G506" s="1004">
        <f t="shared" si="88"/>
        <v>1</v>
      </c>
      <c r="H506" s="1014"/>
      <c r="I506" s="1004">
        <f t="shared" si="89"/>
        <v>1</v>
      </c>
      <c r="J506" s="1014"/>
      <c r="K506" s="1004">
        <f t="shared" si="90"/>
        <v>1</v>
      </c>
      <c r="L506" s="1014"/>
      <c r="M506" s="1004">
        <f t="shared" si="91"/>
        <v>1</v>
      </c>
      <c r="N506" s="1014"/>
      <c r="O506" s="1004">
        <f t="shared" si="92"/>
        <v>1</v>
      </c>
      <c r="P506" s="1014"/>
      <c r="Q506" s="1004">
        <f t="shared" si="93"/>
        <v>0</v>
      </c>
      <c r="R506" s="1064">
        <f t="shared" si="94"/>
        <v>0</v>
      </c>
      <c r="S506" s="1003">
        <f t="shared" si="95"/>
        <v>0</v>
      </c>
    </row>
    <row r="507" spans="1:19">
      <c r="A507" s="1012"/>
      <c r="B507" s="1013"/>
      <c r="C507" s="1004">
        <f t="shared" si="86"/>
        <v>1</v>
      </c>
      <c r="D507" s="1014"/>
      <c r="E507" s="1004">
        <f t="shared" si="87"/>
        <v>1</v>
      </c>
      <c r="F507" s="1014"/>
      <c r="G507" s="1004">
        <f t="shared" si="88"/>
        <v>1</v>
      </c>
      <c r="H507" s="1014"/>
      <c r="I507" s="1004">
        <f t="shared" si="89"/>
        <v>1</v>
      </c>
      <c r="J507" s="1014"/>
      <c r="K507" s="1004">
        <f t="shared" si="90"/>
        <v>1</v>
      </c>
      <c r="L507" s="1014"/>
      <c r="M507" s="1004">
        <f t="shared" si="91"/>
        <v>1</v>
      </c>
      <c r="N507" s="1014"/>
      <c r="O507" s="1004">
        <f t="shared" si="92"/>
        <v>1</v>
      </c>
      <c r="P507" s="1014"/>
      <c r="Q507" s="1004">
        <f t="shared" si="93"/>
        <v>0</v>
      </c>
      <c r="R507" s="1064">
        <f t="shared" si="94"/>
        <v>0</v>
      </c>
      <c r="S507" s="1003">
        <f t="shared" si="95"/>
        <v>0</v>
      </c>
    </row>
    <row r="508" spans="1:19">
      <c r="A508" s="1012"/>
      <c r="B508" s="1013"/>
      <c r="C508" s="1004">
        <f t="shared" si="86"/>
        <v>1</v>
      </c>
      <c r="D508" s="1014"/>
      <c r="E508" s="1004">
        <f t="shared" si="87"/>
        <v>1</v>
      </c>
      <c r="F508" s="1014"/>
      <c r="G508" s="1004">
        <f t="shared" si="88"/>
        <v>1</v>
      </c>
      <c r="H508" s="1014"/>
      <c r="I508" s="1004">
        <f t="shared" si="89"/>
        <v>1</v>
      </c>
      <c r="J508" s="1014"/>
      <c r="K508" s="1004">
        <f t="shared" si="90"/>
        <v>1</v>
      </c>
      <c r="L508" s="1014"/>
      <c r="M508" s="1004">
        <f t="shared" si="91"/>
        <v>1</v>
      </c>
      <c r="N508" s="1014"/>
      <c r="O508" s="1004">
        <f t="shared" si="92"/>
        <v>1</v>
      </c>
      <c r="P508" s="1014"/>
      <c r="Q508" s="1004">
        <f t="shared" si="93"/>
        <v>0</v>
      </c>
      <c r="R508" s="1064">
        <f t="shared" si="94"/>
        <v>0</v>
      </c>
      <c r="S508" s="1003">
        <f t="shared" si="95"/>
        <v>0</v>
      </c>
    </row>
    <row r="509" spans="1:19">
      <c r="A509" s="1012"/>
      <c r="B509" s="1013"/>
      <c r="C509" s="1004">
        <f t="shared" si="86"/>
        <v>1</v>
      </c>
      <c r="D509" s="1014"/>
      <c r="E509" s="1004">
        <f t="shared" si="87"/>
        <v>1</v>
      </c>
      <c r="F509" s="1014"/>
      <c r="G509" s="1004">
        <f t="shared" si="88"/>
        <v>1</v>
      </c>
      <c r="H509" s="1014"/>
      <c r="I509" s="1004">
        <f t="shared" si="89"/>
        <v>1</v>
      </c>
      <c r="J509" s="1014"/>
      <c r="K509" s="1004">
        <f t="shared" si="90"/>
        <v>1</v>
      </c>
      <c r="L509" s="1014"/>
      <c r="M509" s="1004">
        <f t="shared" si="91"/>
        <v>1</v>
      </c>
      <c r="N509" s="1014"/>
      <c r="O509" s="1004">
        <f t="shared" si="92"/>
        <v>1</v>
      </c>
      <c r="P509" s="1014"/>
      <c r="Q509" s="1004">
        <f t="shared" si="93"/>
        <v>0</v>
      </c>
      <c r="R509" s="1064">
        <f t="shared" si="94"/>
        <v>0</v>
      </c>
      <c r="S509" s="1003">
        <f t="shared" si="95"/>
        <v>0</v>
      </c>
    </row>
    <row r="510" spans="1:19">
      <c r="A510" s="1012"/>
      <c r="B510" s="1013"/>
      <c r="C510" s="1004">
        <f t="shared" si="86"/>
        <v>1</v>
      </c>
      <c r="D510" s="1014"/>
      <c r="E510" s="1004">
        <f t="shared" si="87"/>
        <v>1</v>
      </c>
      <c r="F510" s="1014"/>
      <c r="G510" s="1004">
        <f t="shared" si="88"/>
        <v>1</v>
      </c>
      <c r="H510" s="1014"/>
      <c r="I510" s="1004">
        <f t="shared" si="89"/>
        <v>1</v>
      </c>
      <c r="J510" s="1014"/>
      <c r="K510" s="1004">
        <f t="shared" si="90"/>
        <v>1</v>
      </c>
      <c r="L510" s="1014"/>
      <c r="M510" s="1004">
        <f t="shared" si="91"/>
        <v>1</v>
      </c>
      <c r="N510" s="1014"/>
      <c r="O510" s="1004">
        <f t="shared" si="92"/>
        <v>1</v>
      </c>
      <c r="P510" s="1014"/>
      <c r="Q510" s="1004">
        <f t="shared" si="93"/>
        <v>0</v>
      </c>
      <c r="R510" s="1064">
        <f t="shared" si="94"/>
        <v>0</v>
      </c>
      <c r="S510" s="1003">
        <f t="shared" si="95"/>
        <v>0</v>
      </c>
    </row>
    <row r="511" spans="1:19">
      <c r="A511" s="1012"/>
      <c r="B511" s="1013"/>
      <c r="C511" s="1004">
        <f t="shared" si="86"/>
        <v>1</v>
      </c>
      <c r="D511" s="1014"/>
      <c r="E511" s="1004">
        <f t="shared" si="87"/>
        <v>1</v>
      </c>
      <c r="F511" s="1014"/>
      <c r="G511" s="1004">
        <f t="shared" si="88"/>
        <v>1</v>
      </c>
      <c r="H511" s="1014"/>
      <c r="I511" s="1004">
        <f t="shared" si="89"/>
        <v>1</v>
      </c>
      <c r="J511" s="1014"/>
      <c r="K511" s="1004">
        <f t="shared" si="90"/>
        <v>1</v>
      </c>
      <c r="L511" s="1014"/>
      <c r="M511" s="1004">
        <f t="shared" si="91"/>
        <v>1</v>
      </c>
      <c r="N511" s="1014"/>
      <c r="O511" s="1004">
        <f t="shared" si="92"/>
        <v>1</v>
      </c>
      <c r="P511" s="1014"/>
      <c r="Q511" s="1004">
        <f t="shared" si="93"/>
        <v>0</v>
      </c>
      <c r="R511" s="1064">
        <f t="shared" si="94"/>
        <v>0</v>
      </c>
      <c r="S511" s="1003">
        <f t="shared" si="95"/>
        <v>0</v>
      </c>
    </row>
    <row r="512" spans="1:19">
      <c r="A512" s="1012"/>
      <c r="B512" s="1013"/>
      <c r="C512" s="1004">
        <f t="shared" si="86"/>
        <v>1</v>
      </c>
      <c r="D512" s="1014"/>
      <c r="E512" s="1004">
        <f t="shared" si="87"/>
        <v>1</v>
      </c>
      <c r="F512" s="1014"/>
      <c r="G512" s="1004">
        <f t="shared" si="88"/>
        <v>1</v>
      </c>
      <c r="H512" s="1014"/>
      <c r="I512" s="1004">
        <f t="shared" si="89"/>
        <v>1</v>
      </c>
      <c r="J512" s="1014"/>
      <c r="K512" s="1004">
        <f t="shared" si="90"/>
        <v>1</v>
      </c>
      <c r="L512" s="1014"/>
      <c r="M512" s="1004">
        <f t="shared" si="91"/>
        <v>1</v>
      </c>
      <c r="N512" s="1014"/>
      <c r="O512" s="1004">
        <f t="shared" si="92"/>
        <v>1</v>
      </c>
      <c r="P512" s="1014"/>
      <c r="Q512" s="1004">
        <f t="shared" si="93"/>
        <v>0</v>
      </c>
      <c r="R512" s="1064">
        <f t="shared" si="94"/>
        <v>0</v>
      </c>
      <c r="S512" s="1003">
        <f t="shared" si="95"/>
        <v>0</v>
      </c>
    </row>
    <row r="513" spans="1:19">
      <c r="A513" s="1012"/>
      <c r="B513" s="1013"/>
      <c r="C513" s="1004">
        <f t="shared" si="86"/>
        <v>1</v>
      </c>
      <c r="D513" s="1014"/>
      <c r="E513" s="1004">
        <f t="shared" si="87"/>
        <v>1</v>
      </c>
      <c r="F513" s="1014"/>
      <c r="G513" s="1004">
        <f t="shared" si="88"/>
        <v>1</v>
      </c>
      <c r="H513" s="1014"/>
      <c r="I513" s="1004">
        <f t="shared" si="89"/>
        <v>1</v>
      </c>
      <c r="J513" s="1014"/>
      <c r="K513" s="1004">
        <f t="shared" si="90"/>
        <v>1</v>
      </c>
      <c r="L513" s="1014"/>
      <c r="M513" s="1004">
        <f t="shared" si="91"/>
        <v>1</v>
      </c>
      <c r="N513" s="1014"/>
      <c r="O513" s="1004">
        <f t="shared" si="92"/>
        <v>1</v>
      </c>
      <c r="P513" s="1014"/>
      <c r="Q513" s="1004">
        <f t="shared" si="93"/>
        <v>0</v>
      </c>
      <c r="R513" s="1064">
        <f t="shared" si="94"/>
        <v>0</v>
      </c>
      <c r="S513" s="1003">
        <f t="shared" si="95"/>
        <v>0</v>
      </c>
    </row>
    <row r="514" spans="1:19">
      <c r="A514" s="1012"/>
      <c r="B514" s="1013"/>
      <c r="C514" s="1004">
        <f t="shared" si="86"/>
        <v>1</v>
      </c>
      <c r="D514" s="1014"/>
      <c r="E514" s="1004">
        <f t="shared" si="87"/>
        <v>1</v>
      </c>
      <c r="F514" s="1014"/>
      <c r="G514" s="1004">
        <f t="shared" si="88"/>
        <v>1</v>
      </c>
      <c r="H514" s="1014"/>
      <c r="I514" s="1004">
        <f t="shared" si="89"/>
        <v>1</v>
      </c>
      <c r="J514" s="1014"/>
      <c r="K514" s="1004">
        <f t="shared" si="90"/>
        <v>1</v>
      </c>
      <c r="L514" s="1014"/>
      <c r="M514" s="1004">
        <f t="shared" si="91"/>
        <v>1</v>
      </c>
      <c r="N514" s="1014"/>
      <c r="O514" s="1004">
        <f t="shared" si="92"/>
        <v>1</v>
      </c>
      <c r="P514" s="1014"/>
      <c r="Q514" s="1004">
        <f t="shared" si="93"/>
        <v>0</v>
      </c>
      <c r="R514" s="1064">
        <f t="shared" si="94"/>
        <v>0</v>
      </c>
      <c r="S514" s="1003">
        <f t="shared" si="95"/>
        <v>0</v>
      </c>
    </row>
    <row r="515" spans="1:19">
      <c r="A515" s="1012"/>
      <c r="B515" s="1013"/>
      <c r="C515" s="1004">
        <f t="shared" si="86"/>
        <v>1</v>
      </c>
      <c r="D515" s="1014"/>
      <c r="E515" s="1004">
        <f t="shared" si="87"/>
        <v>1</v>
      </c>
      <c r="F515" s="1014"/>
      <c r="G515" s="1004">
        <f t="shared" si="88"/>
        <v>1</v>
      </c>
      <c r="H515" s="1014"/>
      <c r="I515" s="1004">
        <f t="shared" si="89"/>
        <v>1</v>
      </c>
      <c r="J515" s="1014"/>
      <c r="K515" s="1004">
        <f t="shared" si="90"/>
        <v>1</v>
      </c>
      <c r="L515" s="1014"/>
      <c r="M515" s="1004">
        <f t="shared" si="91"/>
        <v>1</v>
      </c>
      <c r="N515" s="1014"/>
      <c r="O515" s="1004">
        <f t="shared" si="92"/>
        <v>1</v>
      </c>
      <c r="P515" s="1014"/>
      <c r="Q515" s="1004">
        <f t="shared" si="93"/>
        <v>0</v>
      </c>
      <c r="R515" s="1064">
        <f t="shared" si="94"/>
        <v>0</v>
      </c>
      <c r="S515" s="1003">
        <f t="shared" si="95"/>
        <v>0</v>
      </c>
    </row>
    <row r="516" spans="1:19">
      <c r="A516" s="1012"/>
      <c r="B516" s="1013"/>
      <c r="C516" s="1004">
        <f t="shared" si="86"/>
        <v>1</v>
      </c>
      <c r="D516" s="1014"/>
      <c r="E516" s="1004">
        <f t="shared" si="87"/>
        <v>1</v>
      </c>
      <c r="F516" s="1014"/>
      <c r="G516" s="1004">
        <f t="shared" si="88"/>
        <v>1</v>
      </c>
      <c r="H516" s="1014"/>
      <c r="I516" s="1004">
        <f t="shared" si="89"/>
        <v>1</v>
      </c>
      <c r="J516" s="1014"/>
      <c r="K516" s="1004">
        <f t="shared" si="90"/>
        <v>1</v>
      </c>
      <c r="L516" s="1014"/>
      <c r="M516" s="1004">
        <f t="shared" si="91"/>
        <v>1</v>
      </c>
      <c r="N516" s="1014"/>
      <c r="O516" s="1004">
        <f t="shared" si="92"/>
        <v>1</v>
      </c>
      <c r="P516" s="1014"/>
      <c r="Q516" s="1004">
        <f t="shared" si="93"/>
        <v>0</v>
      </c>
      <c r="R516" s="1064">
        <f t="shared" si="94"/>
        <v>0</v>
      </c>
      <c r="S516" s="1003">
        <f t="shared" si="95"/>
        <v>0</v>
      </c>
    </row>
    <row r="517" spans="1:19">
      <c r="A517" s="1012"/>
      <c r="B517" s="1013"/>
      <c r="C517" s="1004">
        <f t="shared" si="86"/>
        <v>1</v>
      </c>
      <c r="D517" s="1014"/>
      <c r="E517" s="1004">
        <f t="shared" si="87"/>
        <v>1</v>
      </c>
      <c r="F517" s="1014"/>
      <c r="G517" s="1004">
        <f t="shared" si="88"/>
        <v>1</v>
      </c>
      <c r="H517" s="1014"/>
      <c r="I517" s="1004">
        <f t="shared" si="89"/>
        <v>1</v>
      </c>
      <c r="J517" s="1014"/>
      <c r="K517" s="1004">
        <f t="shared" si="90"/>
        <v>1</v>
      </c>
      <c r="L517" s="1014"/>
      <c r="M517" s="1004">
        <f t="shared" si="91"/>
        <v>1</v>
      </c>
      <c r="N517" s="1014"/>
      <c r="O517" s="1004">
        <f t="shared" si="92"/>
        <v>1</v>
      </c>
      <c r="P517" s="1014"/>
      <c r="Q517" s="1004">
        <f t="shared" si="93"/>
        <v>0</v>
      </c>
      <c r="R517" s="1064">
        <f t="shared" si="94"/>
        <v>0</v>
      </c>
      <c r="S517" s="1003">
        <f t="shared" si="95"/>
        <v>0</v>
      </c>
    </row>
    <row r="518" spans="1:19">
      <c r="A518" s="1012"/>
      <c r="B518" s="1013"/>
      <c r="C518" s="1004">
        <f t="shared" si="86"/>
        <v>1</v>
      </c>
      <c r="D518" s="1014"/>
      <c r="E518" s="1004">
        <f t="shared" si="87"/>
        <v>1</v>
      </c>
      <c r="F518" s="1014"/>
      <c r="G518" s="1004">
        <f t="shared" si="88"/>
        <v>1</v>
      </c>
      <c r="H518" s="1014"/>
      <c r="I518" s="1004">
        <f t="shared" si="89"/>
        <v>1</v>
      </c>
      <c r="J518" s="1014"/>
      <c r="K518" s="1004">
        <f t="shared" si="90"/>
        <v>1</v>
      </c>
      <c r="L518" s="1014"/>
      <c r="M518" s="1004">
        <f t="shared" si="91"/>
        <v>1</v>
      </c>
      <c r="N518" s="1014"/>
      <c r="O518" s="1004">
        <f t="shared" si="92"/>
        <v>1</v>
      </c>
      <c r="P518" s="1014"/>
      <c r="Q518" s="1004">
        <f t="shared" si="93"/>
        <v>0</v>
      </c>
      <c r="R518" s="1064">
        <f t="shared" si="94"/>
        <v>0</v>
      </c>
      <c r="S518" s="1003">
        <f t="shared" si="95"/>
        <v>0</v>
      </c>
    </row>
    <row r="519" spans="1:19">
      <c r="A519" s="1012"/>
      <c r="B519" s="1013"/>
      <c r="C519" s="1004">
        <f t="shared" si="86"/>
        <v>1</v>
      </c>
      <c r="D519" s="1014"/>
      <c r="E519" s="1004">
        <f t="shared" si="87"/>
        <v>1</v>
      </c>
      <c r="F519" s="1014"/>
      <c r="G519" s="1004">
        <f t="shared" si="88"/>
        <v>1</v>
      </c>
      <c r="H519" s="1014"/>
      <c r="I519" s="1004">
        <f t="shared" si="89"/>
        <v>1</v>
      </c>
      <c r="J519" s="1014"/>
      <c r="K519" s="1004">
        <f t="shared" si="90"/>
        <v>1</v>
      </c>
      <c r="L519" s="1014"/>
      <c r="M519" s="1004">
        <f t="shared" si="91"/>
        <v>1</v>
      </c>
      <c r="N519" s="1014"/>
      <c r="O519" s="1004">
        <f t="shared" si="92"/>
        <v>1</v>
      </c>
      <c r="P519" s="1014"/>
      <c r="Q519" s="1004">
        <f t="shared" si="93"/>
        <v>0</v>
      </c>
      <c r="R519" s="1064">
        <f t="shared" si="94"/>
        <v>0</v>
      </c>
      <c r="S519" s="1003">
        <f t="shared" si="95"/>
        <v>0</v>
      </c>
    </row>
    <row r="520" spans="1:19">
      <c r="A520" s="1012"/>
      <c r="B520" s="1013"/>
      <c r="C520" s="1004">
        <f t="shared" si="86"/>
        <v>1</v>
      </c>
      <c r="D520" s="1014"/>
      <c r="E520" s="1004">
        <f t="shared" si="87"/>
        <v>1</v>
      </c>
      <c r="F520" s="1014"/>
      <c r="G520" s="1004">
        <f t="shared" si="88"/>
        <v>1</v>
      </c>
      <c r="H520" s="1014"/>
      <c r="I520" s="1004">
        <f t="shared" si="89"/>
        <v>1</v>
      </c>
      <c r="J520" s="1014"/>
      <c r="K520" s="1004">
        <f t="shared" si="90"/>
        <v>1</v>
      </c>
      <c r="L520" s="1014"/>
      <c r="M520" s="1004">
        <f t="shared" si="91"/>
        <v>1</v>
      </c>
      <c r="N520" s="1014"/>
      <c r="O520" s="1004">
        <f t="shared" si="92"/>
        <v>1</v>
      </c>
      <c r="P520" s="1014"/>
      <c r="Q520" s="1004">
        <f t="shared" si="93"/>
        <v>0</v>
      </c>
      <c r="R520" s="1064">
        <f t="shared" si="94"/>
        <v>0</v>
      </c>
      <c r="S520" s="1003">
        <f t="shared" si="95"/>
        <v>0</v>
      </c>
    </row>
    <row r="521" spans="1:19">
      <c r="A521" s="1012"/>
      <c r="B521" s="1013"/>
      <c r="C521" s="1004">
        <f t="shared" si="86"/>
        <v>1</v>
      </c>
      <c r="D521" s="1014"/>
      <c r="E521" s="1004">
        <f t="shared" si="87"/>
        <v>1</v>
      </c>
      <c r="F521" s="1014"/>
      <c r="G521" s="1004">
        <f t="shared" si="88"/>
        <v>1</v>
      </c>
      <c r="H521" s="1014"/>
      <c r="I521" s="1004">
        <f t="shared" si="89"/>
        <v>1</v>
      </c>
      <c r="J521" s="1014"/>
      <c r="K521" s="1004">
        <f t="shared" si="90"/>
        <v>1</v>
      </c>
      <c r="L521" s="1014"/>
      <c r="M521" s="1004">
        <f t="shared" si="91"/>
        <v>1</v>
      </c>
      <c r="N521" s="1014"/>
      <c r="O521" s="1004">
        <f t="shared" si="92"/>
        <v>1</v>
      </c>
      <c r="P521" s="1014"/>
      <c r="Q521" s="1004">
        <f t="shared" si="93"/>
        <v>0</v>
      </c>
      <c r="R521" s="1064">
        <f t="shared" si="94"/>
        <v>0</v>
      </c>
      <c r="S521" s="1003">
        <f t="shared" si="95"/>
        <v>0</v>
      </c>
    </row>
    <row r="522" spans="1:19">
      <c r="A522" s="1012"/>
      <c r="B522" s="1013"/>
      <c r="C522" s="1004">
        <f t="shared" si="86"/>
        <v>1</v>
      </c>
      <c r="D522" s="1014"/>
      <c r="E522" s="1004">
        <f t="shared" si="87"/>
        <v>1</v>
      </c>
      <c r="F522" s="1014"/>
      <c r="G522" s="1004">
        <f t="shared" si="88"/>
        <v>1</v>
      </c>
      <c r="H522" s="1014"/>
      <c r="I522" s="1004">
        <f t="shared" si="89"/>
        <v>1</v>
      </c>
      <c r="J522" s="1014"/>
      <c r="K522" s="1004">
        <f t="shared" si="90"/>
        <v>1</v>
      </c>
      <c r="L522" s="1014"/>
      <c r="M522" s="1004">
        <f t="shared" si="91"/>
        <v>1</v>
      </c>
      <c r="N522" s="1014"/>
      <c r="O522" s="1004">
        <f t="shared" si="92"/>
        <v>1</v>
      </c>
      <c r="P522" s="1014"/>
      <c r="Q522" s="1004">
        <f t="shared" si="93"/>
        <v>0</v>
      </c>
      <c r="R522" s="1064">
        <f t="shared" si="94"/>
        <v>0</v>
      </c>
      <c r="S522" s="1003">
        <f t="shared" si="95"/>
        <v>0</v>
      </c>
    </row>
    <row r="523" spans="1:19">
      <c r="A523" s="1012"/>
      <c r="B523" s="1013"/>
      <c r="C523" s="1004">
        <f t="shared" si="86"/>
        <v>1</v>
      </c>
      <c r="D523" s="1014"/>
      <c r="E523" s="1004">
        <f t="shared" si="87"/>
        <v>1</v>
      </c>
      <c r="F523" s="1014"/>
      <c r="G523" s="1004">
        <f t="shared" si="88"/>
        <v>1</v>
      </c>
      <c r="H523" s="1014"/>
      <c r="I523" s="1004">
        <f t="shared" si="89"/>
        <v>1</v>
      </c>
      <c r="J523" s="1014"/>
      <c r="K523" s="1004">
        <f t="shared" si="90"/>
        <v>1</v>
      </c>
      <c r="L523" s="1014"/>
      <c r="M523" s="1004">
        <f t="shared" si="91"/>
        <v>1</v>
      </c>
      <c r="N523" s="1014"/>
      <c r="O523" s="1004">
        <f t="shared" si="92"/>
        <v>1</v>
      </c>
      <c r="P523" s="1014"/>
      <c r="Q523" s="1004">
        <f t="shared" si="93"/>
        <v>0</v>
      </c>
      <c r="R523" s="1064">
        <f t="shared" si="94"/>
        <v>0</v>
      </c>
      <c r="S523" s="1003">
        <f t="shared" si="95"/>
        <v>0</v>
      </c>
    </row>
    <row r="524" spans="1:19">
      <c r="A524" s="1012"/>
      <c r="B524" s="1013"/>
      <c r="C524" s="1004">
        <f t="shared" si="86"/>
        <v>1</v>
      </c>
      <c r="D524" s="1014"/>
      <c r="E524" s="1004">
        <f t="shared" si="87"/>
        <v>1</v>
      </c>
      <c r="F524" s="1014"/>
      <c r="G524" s="1004">
        <f t="shared" si="88"/>
        <v>1</v>
      </c>
      <c r="H524" s="1014"/>
      <c r="I524" s="1004">
        <f t="shared" si="89"/>
        <v>1</v>
      </c>
      <c r="J524" s="1014"/>
      <c r="K524" s="1004">
        <f t="shared" si="90"/>
        <v>1</v>
      </c>
      <c r="L524" s="1014"/>
      <c r="M524" s="1004">
        <f t="shared" si="91"/>
        <v>1</v>
      </c>
      <c r="N524" s="1014"/>
      <c r="O524" s="1004">
        <f t="shared" si="92"/>
        <v>1</v>
      </c>
      <c r="P524" s="1014"/>
      <c r="Q524" s="1004">
        <f t="shared" si="93"/>
        <v>0</v>
      </c>
      <c r="R524" s="1064">
        <f t="shared" si="94"/>
        <v>0</v>
      </c>
      <c r="S524" s="1003">
        <f t="shared" si="95"/>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1678</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1679</v>
      </c>
      <c r="D2" s="933" t="s">
        <v>1680</v>
      </c>
      <c r="E2" s="935">
        <f ca="1">SUMIF(E6:E13,"&lt;&gt;#ref!",E6:E13)</f>
        <v>0</v>
      </c>
      <c r="F2" s="932"/>
      <c r="G2" s="932"/>
      <c r="H2" s="932"/>
      <c r="I2" s="932"/>
      <c r="J2" s="932"/>
      <c r="K2" s="932"/>
      <c r="L2" s="932"/>
      <c r="M2" s="932"/>
      <c r="N2" s="932"/>
      <c r="O2" s="932"/>
      <c r="P2" s="932"/>
    </row>
    <row r="3" spans="1:16" ht="15.75">
      <c r="A3" s="933" t="s">
        <v>1681</v>
      </c>
      <c r="B3" s="934" t="e">
        <f ca="1">ROUND(B2*10000/E2,0)</f>
        <v>#DIV/0!</v>
      </c>
      <c r="C3" s="933" t="s">
        <v>1682</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1683</v>
      </c>
      <c r="B5" s="938" t="s">
        <v>1684</v>
      </c>
      <c r="C5" s="939"/>
      <c r="D5" s="932"/>
      <c r="E5" s="940" t="s">
        <v>1685</v>
      </c>
      <c r="F5" s="932"/>
      <c r="G5" s="932"/>
      <c r="H5" s="932"/>
      <c r="I5" s="932"/>
      <c r="J5" s="932"/>
      <c r="K5" s="932"/>
      <c r="L5" s="932"/>
      <c r="M5" s="932"/>
      <c r="N5" s="932"/>
      <c r="O5" s="932"/>
      <c r="P5" s="932"/>
    </row>
    <row r="6" spans="1:16" ht="15.75">
      <c r="A6" s="941" t="s">
        <v>1686</v>
      </c>
      <c r="B6" s="934" t="e">
        <f ca="1">SUMIF(INDIRECT("'"&amp;A6&amp;"'"&amp;"!A:A"),"总价",INDIRECT("'"&amp;A6&amp;"'"&amp;"!B:B"))</f>
        <v>#DIV/0!</v>
      </c>
      <c r="C6" s="933" t="s">
        <v>1679</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1679</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1679</v>
      </c>
      <c r="D8" s="932"/>
      <c r="E8" s="935" t="e">
        <f t="shared" ca="1" si="0"/>
        <v>#REF!</v>
      </c>
      <c r="F8" s="932"/>
      <c r="G8" s="932"/>
      <c r="H8" s="932"/>
      <c r="I8" s="932"/>
      <c r="J8" s="932"/>
      <c r="K8" s="932"/>
      <c r="L8" s="932"/>
      <c r="M8" s="932"/>
      <c r="N8" s="932"/>
      <c r="O8" s="932"/>
      <c r="P8" s="932"/>
    </row>
    <row r="9" spans="1:16" ht="15.75">
      <c r="A9" s="941"/>
      <c r="B9" s="934" t="e">
        <f t="shared" ca="1" si="1"/>
        <v>#REF!</v>
      </c>
      <c r="C9" s="933" t="s">
        <v>1679</v>
      </c>
      <c r="D9" s="932"/>
      <c r="E9" s="935" t="e">
        <f t="shared" ca="1" si="0"/>
        <v>#REF!</v>
      </c>
      <c r="F9" s="932"/>
      <c r="G9" s="932"/>
      <c r="H9" s="932"/>
      <c r="I9" s="932"/>
      <c r="J9" s="932"/>
      <c r="K9" s="932"/>
      <c r="L9" s="932"/>
      <c r="M9" s="932"/>
      <c r="N9" s="932"/>
      <c r="O9" s="932"/>
      <c r="P9" s="932"/>
    </row>
    <row r="10" spans="1:16" ht="15.75">
      <c r="A10" s="941"/>
      <c r="B10" s="934" t="e">
        <f t="shared" ca="1" si="1"/>
        <v>#REF!</v>
      </c>
      <c r="C10" s="933" t="s">
        <v>1679</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1679</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1679</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1679</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1687</v>
      </c>
      <c r="B1" s="375"/>
      <c r="C1" s="378" t="s">
        <v>1330</v>
      </c>
      <c r="D1" s="546">
        <f>SUM(D33:D34,D37:D42)</f>
        <v>0</v>
      </c>
      <c r="E1" s="547"/>
      <c r="F1" s="547"/>
      <c r="G1" s="547"/>
      <c r="H1" s="547"/>
      <c r="I1" s="547"/>
      <c r="J1" s="547"/>
      <c r="K1" s="539"/>
      <c r="L1" s="751" t="s">
        <v>1688</v>
      </c>
      <c r="M1" s="752">
        <f>SUMPRODUCT((区片价!B5:B9=I2)*(区片价!C3:G3=E2)*(区片价!C5:G9))</f>
        <v>0</v>
      </c>
      <c r="N1" s="753">
        <f>SUMPRODUCT((因素修正幅度!B5:B9=I2)*(因素修正幅度!C3:G3=E2)*(因素修正幅度!C5:G9))</f>
        <v>0</v>
      </c>
      <c r="O1" s="540"/>
      <c r="P1" s="540"/>
      <c r="Q1" s="539"/>
      <c r="R1" s="845" t="s">
        <v>1689</v>
      </c>
      <c r="S1" s="845" t="s">
        <v>1690</v>
      </c>
      <c r="T1" s="845" t="s">
        <v>1691</v>
      </c>
      <c r="U1" s="845" t="s">
        <v>1692</v>
      </c>
      <c r="V1" s="845" t="s">
        <v>1693</v>
      </c>
      <c r="W1" s="846"/>
      <c r="X1" s="846"/>
      <c r="Y1" s="846"/>
      <c r="Z1" s="846"/>
      <c r="AA1" s="846"/>
      <c r="AB1" s="846"/>
      <c r="AC1" s="857"/>
      <c r="AD1" s="858"/>
      <c r="AE1" s="858"/>
      <c r="AF1" s="858"/>
      <c r="AG1" s="858"/>
      <c r="AH1" s="858"/>
      <c r="AI1" s="858"/>
      <c r="AJ1" s="867"/>
    </row>
    <row r="2" spans="1:36" ht="15.75">
      <c r="A2" s="378" t="s">
        <v>982</v>
      </c>
      <c r="B2" s="382" t="e">
        <f>C30</f>
        <v>#DIV/0!</v>
      </c>
      <c r="C2" s="548" t="s">
        <v>983</v>
      </c>
      <c r="D2" s="549" t="s">
        <v>1694</v>
      </c>
      <c r="E2" s="550"/>
      <c r="F2" s="549" t="s">
        <v>1695</v>
      </c>
      <c r="G2" s="551">
        <f>IF(E2="商业",项目基本情况!B37,IF(E2="办公",项目基本情况!C37,IF(E2="住宅",项目基本情况!D37,IF(E2="工业",项目基本情况!E37,项目基本情况!F37))))</f>
        <v>0</v>
      </c>
      <c r="H2" s="549" t="s">
        <v>1696</v>
      </c>
      <c r="I2" s="551">
        <f>IF(E2="商业",项目基本情况!B38,IF(E2="办公",项目基本情况!C38,IF(E2="住宅",项目基本情况!D38,IF(E2="工业",项目基本情况!E38,项目基本情况!F38))))</f>
        <v>0</v>
      </c>
      <c r="J2" s="754"/>
      <c r="K2" s="539"/>
      <c r="L2" s="755" t="s">
        <v>1697</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984</v>
      </c>
      <c r="B3" s="382" t="e">
        <f>ROUND(B2*10000/D1,0)</f>
        <v>#DIV/0!</v>
      </c>
      <c r="C3" s="548" t="s">
        <v>985</v>
      </c>
      <c r="D3" s="549" t="s">
        <v>1698</v>
      </c>
      <c r="E3" s="552"/>
      <c r="F3" s="553"/>
      <c r="G3" s="554">
        <f>IF(F3="宗地容积率",'数据-汇总表'!I4,IF(F3="估价对象容积率",'数据-汇总表'!I6,'数据-汇总表'!I7))</f>
        <v>0</v>
      </c>
      <c r="H3" s="555" t="s">
        <v>1699</v>
      </c>
      <c r="I3" s="757"/>
      <c r="J3" s="754" t="s">
        <v>1700</v>
      </c>
      <c r="K3" s="539"/>
      <c r="L3" s="755" t="s">
        <v>1701</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5"/>
      <c r="B4" s="3726"/>
      <c r="C4" s="3726"/>
      <c r="D4" s="3727"/>
      <c r="E4" s="3727"/>
      <c r="F4" s="3727"/>
      <c r="G4" s="3727"/>
      <c r="H4" s="3727"/>
      <c r="I4" s="3727"/>
      <c r="J4" s="3728"/>
      <c r="K4" s="539"/>
      <c r="L4" s="755" t="s">
        <v>1702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888</v>
      </c>
      <c r="B5" s="557" t="s">
        <v>1703</v>
      </c>
      <c r="C5" s="558" t="e">
        <f>ROUND(IF(E2="商业",C6*C7*C17+C20,(IF(E2="住宅",C6*C13*C17+C20,IF(E2="办公",C6*C12*C17+C20,C6+C20)))),0)</f>
        <v>#DIV/0!</v>
      </c>
      <c r="D5" s="559" t="e">
        <f>ROUND(C6*C17+C20,0)</f>
        <v>#DIV/0!</v>
      </c>
      <c r="E5" s="559"/>
      <c r="F5" s="560"/>
      <c r="G5" s="561"/>
      <c r="H5" s="561"/>
      <c r="I5" s="561"/>
      <c r="J5" s="758"/>
      <c r="K5" s="759"/>
      <c r="L5" s="755" t="s">
        <v>1704</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987</v>
      </c>
      <c r="B6" s="563" t="s">
        <v>1705</v>
      </c>
      <c r="C6" s="564">
        <f>SUMIF(L1:L12,G2,M1:M12)</f>
        <v>0</v>
      </c>
      <c r="D6" s="565"/>
      <c r="E6" s="566"/>
      <c r="F6" s="566"/>
      <c r="G6" s="567"/>
      <c r="H6" s="567"/>
      <c r="I6" s="567"/>
      <c r="J6" s="760"/>
      <c r="K6" s="761"/>
      <c r="L6" s="755" t="s">
        <v>1706</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1707</v>
      </c>
      <c r="B7" s="569" t="s">
        <v>1708</v>
      </c>
      <c r="C7" s="570" t="e">
        <f>IF(C8="不临65条商业街",1,ROUND(1+(1.6*E8+1.2*E9+0.8*E10+0.4*E11)*C9,4))</f>
        <v>#DIV/0!</v>
      </c>
      <c r="D7" s="571" t="s">
        <v>1709</v>
      </c>
      <c r="E7" s="572"/>
      <c r="F7" s="573"/>
      <c r="G7" s="574"/>
      <c r="H7" s="574"/>
      <c r="I7" s="574"/>
      <c r="J7" s="762"/>
      <c r="K7" s="761"/>
      <c r="L7" s="755" t="s">
        <v>1710</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1711</v>
      </c>
      <c r="X7" s="851">
        <f>G2</f>
        <v>0</v>
      </c>
      <c r="Y7" s="851" t="s">
        <v>1712</v>
      </c>
      <c r="Z7" s="861">
        <f>G3</f>
        <v>0</v>
      </c>
      <c r="AA7" s="846"/>
      <c r="AB7" s="846"/>
      <c r="AC7" s="857"/>
      <c r="AD7" s="858"/>
      <c r="AE7" s="858"/>
      <c r="AF7" s="858"/>
      <c r="AG7" s="858"/>
      <c r="AH7" s="858"/>
      <c r="AI7" s="858"/>
      <c r="AJ7" s="867"/>
    </row>
    <row r="8" spans="1:36" ht="15">
      <c r="A8" s="575"/>
      <c r="B8" s="555" t="s">
        <v>1713</v>
      </c>
      <c r="C8" s="576"/>
      <c r="D8" s="577" t="s">
        <v>1714</v>
      </c>
      <c r="E8" s="578" t="e">
        <f>ROUND(C11/E7,4)</f>
        <v>#DIV/0!</v>
      </c>
      <c r="F8" s="579" t="s">
        <v>1715</v>
      </c>
      <c r="G8" s="580"/>
      <c r="H8" s="580"/>
      <c r="I8" s="580"/>
      <c r="J8" s="763"/>
      <c r="K8" s="539"/>
      <c r="L8" s="755" t="s">
        <v>1716</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29" t="s">
        <v>1717</v>
      </c>
      <c r="X8" s="3730"/>
      <c r="Y8" s="862" t="s">
        <v>1718</v>
      </c>
      <c r="Z8" s="862" t="s">
        <v>1719</v>
      </c>
      <c r="AA8" s="862" t="s">
        <v>1720</v>
      </c>
      <c r="AB8" s="862" t="s">
        <v>1721</v>
      </c>
      <c r="AC8" s="862" t="s">
        <v>1722</v>
      </c>
      <c r="AD8" s="862" t="s">
        <v>1723</v>
      </c>
      <c r="AE8" s="862" t="s">
        <v>1724</v>
      </c>
      <c r="AF8" s="862" t="s">
        <v>1725</v>
      </c>
      <c r="AG8" s="862" t="s">
        <v>1726</v>
      </c>
      <c r="AH8" s="862" t="s">
        <v>1727</v>
      </c>
      <c r="AI8" s="862" t="s">
        <v>1728</v>
      </c>
      <c r="AJ8" s="862" t="s">
        <v>1729</v>
      </c>
    </row>
    <row r="9" spans="1:36" ht="15">
      <c r="A9" s="575"/>
      <c r="B9" s="555" t="s">
        <v>1730</v>
      </c>
      <c r="C9" s="581">
        <f>SUMIF(修正!C71:C138,C8,修正!E71:E138)</f>
        <v>0</v>
      </c>
      <c r="D9" s="582" t="s">
        <v>1731</v>
      </c>
      <c r="E9" s="582" t="e">
        <f>ROUND(C11/E7,4)</f>
        <v>#DIV/0!</v>
      </c>
      <c r="F9" s="579" t="s">
        <v>1732</v>
      </c>
      <c r="G9" s="580"/>
      <c r="H9" s="580"/>
      <c r="I9" s="580"/>
      <c r="J9" s="763"/>
      <c r="K9" s="539"/>
      <c r="L9" s="755" t="s">
        <v>1733</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3"/>
      <c r="X9" s="852" t="s">
        <v>1734</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1735</v>
      </c>
      <c r="C10" s="582">
        <f>SUMIF(修正!C71:C138,C8,修正!F71:F138)</f>
        <v>0</v>
      </c>
      <c r="D10" s="582" t="s">
        <v>1736</v>
      </c>
      <c r="E10" s="582" t="e">
        <f>ROUND(C11/E7,4)</f>
        <v>#DIV/0!</v>
      </c>
      <c r="F10" s="579" t="s">
        <v>1737</v>
      </c>
      <c r="G10" s="580"/>
      <c r="H10" s="580"/>
      <c r="I10" s="580"/>
      <c r="J10" s="763"/>
      <c r="K10" s="539"/>
      <c r="L10" s="755" t="s">
        <v>1738</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1739</v>
      </c>
      <c r="C11" s="585">
        <f>C10/4</f>
        <v>0</v>
      </c>
      <c r="D11" s="585" t="s">
        <v>1740</v>
      </c>
      <c r="E11" s="585" t="e">
        <f>ROUND(C11/E7,4)</f>
        <v>#DIV/0!</v>
      </c>
      <c r="F11" s="586" t="s">
        <v>1741</v>
      </c>
      <c r="G11" s="587"/>
      <c r="H11" s="587"/>
      <c r="I11" s="587"/>
      <c r="J11" s="764"/>
      <c r="K11" s="539"/>
      <c r="L11" s="755" t="s">
        <v>1742</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1743</v>
      </c>
      <c r="B12" s="588" t="s">
        <v>1744</v>
      </c>
      <c r="C12" s="589"/>
      <c r="D12" s="590" t="s">
        <v>1745</v>
      </c>
      <c r="E12" s="591" t="s">
        <v>1746</v>
      </c>
      <c r="F12" s="592"/>
      <c r="G12" s="593"/>
      <c r="H12" s="593"/>
      <c r="I12" s="593"/>
      <c r="J12" s="765"/>
      <c r="K12" s="539"/>
      <c r="L12" s="766" t="s">
        <v>1747</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1748</v>
      </c>
      <c r="B13" s="594" t="s">
        <v>1749</v>
      </c>
      <c r="C13" s="570">
        <f>ROUND(C16*D16*E16*F16*G16*H16*I16*J16,4)</f>
        <v>0</v>
      </c>
      <c r="D13" s="595" t="s">
        <v>1750</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1751</v>
      </c>
      <c r="C14" s="600" t="s">
        <v>1752</v>
      </c>
      <c r="D14" s="601" t="s">
        <v>1753</v>
      </c>
      <c r="E14" s="602" t="s">
        <v>1754</v>
      </c>
      <c r="F14" s="603" t="s">
        <v>1755</v>
      </c>
      <c r="G14" s="603" t="s">
        <v>1755</v>
      </c>
      <c r="H14" s="603" t="s">
        <v>1755</v>
      </c>
      <c r="I14" s="603" t="s">
        <v>1755</v>
      </c>
      <c r="J14" s="603" t="s">
        <v>1755</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1756</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1662</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1757</v>
      </c>
      <c r="B17" s="614" t="s">
        <v>1758</v>
      </c>
      <c r="C17" s="615">
        <f>ROUND(IF(OR(E2="工业",E2="公共服务"),1,IF(AND(E18=0,E19=0),1,IF(AND(E18=J24,E19=G19),0.8,IF(E19=0,1+E17*(-0.2),1+E17*G17*(-0.2))))),4)</f>
        <v>1</v>
      </c>
      <c r="D17" s="616" t="s">
        <v>1759</v>
      </c>
      <c r="E17" s="615" t="e">
        <f>ROUND(G18/I18,2)</f>
        <v>#DIV/0!</v>
      </c>
      <c r="F17" s="616" t="s">
        <v>1760</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1761</v>
      </c>
      <c r="E18" s="621"/>
      <c r="F18" s="622" t="s">
        <v>1762</v>
      </c>
      <c r="G18" s="619">
        <f>ROUND(1-(1/(POWER(1+G24,E18))),4)</f>
        <v>0</v>
      </c>
      <c r="H18" s="622" t="s">
        <v>1763</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1764</v>
      </c>
      <c r="E19" s="626"/>
      <c r="F19" s="627" t="s">
        <v>1765</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5" t="s">
        <v>1766</v>
      </c>
      <c r="B20" s="628" t="s">
        <v>1767</v>
      </c>
      <c r="C20" s="629" t="e">
        <f>ROUND(IF(F21="与级别开发程度一致",0,(G21-E21)/C21),0)</f>
        <v>#DIV/0!</v>
      </c>
      <c r="D20" s="630" t="s">
        <v>1768</v>
      </c>
      <c r="E20" s="631"/>
      <c r="F20" s="3731" t="s">
        <v>1769</v>
      </c>
      <c r="G20" s="3732"/>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6"/>
      <c r="B21" s="633" t="s">
        <v>1770</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899</v>
      </c>
      <c r="B22" s="640" t="s">
        <v>1771</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904</v>
      </c>
      <c r="B23" s="645" t="s">
        <v>1772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1773</v>
      </c>
      <c r="E23" s="648">
        <v>44197</v>
      </c>
      <c r="F23" s="647" t="s">
        <v>1774</v>
      </c>
      <c r="G23" s="649">
        <f>'数据-取费表'!B2</f>
        <v>45218</v>
      </c>
      <c r="H23" s="650" t="s">
        <v>1775</v>
      </c>
      <c r="I23" s="787" t="str">
        <f>IF(H23="季度增幅（自定义）",SUMIF(N25:N28,E2,O25:O28),"")</f>
        <v/>
      </c>
      <c r="J23" s="788" t="s">
        <v>1776</v>
      </c>
      <c r="K23" s="784"/>
      <c r="L23" s="789" t="s">
        <v>1777</v>
      </c>
      <c r="M23" s="790">
        <f>ROUND(SUMIF(地价!B2:G2,E2,地价!B16:G16),0)</f>
        <v>0</v>
      </c>
      <c r="N23" s="791" t="s">
        <v>1778</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907</v>
      </c>
      <c r="B24" s="652" t="s">
        <v>1779</v>
      </c>
      <c r="C24" s="653" t="e">
        <f>ROUND(POWER(1+G24,J24-I24)*(POWER(1+G24,I24)-1)/(POWER(1+G24,J24)-1),4)</f>
        <v>#DIV/0!</v>
      </c>
      <c r="D24" s="654" t="s">
        <v>1780</v>
      </c>
      <c r="E24" s="655">
        <f>存贷款利率!E24/100</f>
        <v>4.3499999999999997E-2</v>
      </c>
      <c r="F24" s="654" t="s">
        <v>1781</v>
      </c>
      <c r="G24" s="656">
        <f>SUMIF(M30:Q30,E2,M33:Q33)</f>
        <v>0</v>
      </c>
      <c r="H24" s="654" t="s">
        <v>1782</v>
      </c>
      <c r="I24" s="794" t="e">
        <f>SUMIF('数据-取费表'!C6:C15,E2,'数据-取费表'!F6:F15)/COUNTIF('数据-取费表'!C6:C15,E2)</f>
        <v>#DIV/0!</v>
      </c>
      <c r="J24" s="795">
        <f>IF(E2="住宅",70,IF(E2="商业",40,50))</f>
        <v>50</v>
      </c>
      <c r="K24" s="784"/>
      <c r="L24" s="796" t="s">
        <v>1783</v>
      </c>
      <c r="M24" s="797">
        <f>ROUND(SUMPRODUCT((地价!A4:A16=YEAR(G23)&amp;"-"&amp;ROUNDUP(MONTH(G23)/3,0))*(地价!B2:G2=E2)*(地价!B4:G16)),0)</f>
        <v>0</v>
      </c>
      <c r="N24" s="798" t="s">
        <v>1784</v>
      </c>
      <c r="O24" s="799" t="s">
        <v>1785</v>
      </c>
      <c r="P24" s="800" t="s">
        <v>1786</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929</v>
      </c>
      <c r="B25" s="658" t="s">
        <v>1787</v>
      </c>
      <c r="C25" s="659">
        <f>IF(B25="容积率修正",IF(G3&lt;10,D26,J26),C27)</f>
        <v>0</v>
      </c>
      <c r="D25" s="660"/>
      <c r="E25" s="660"/>
      <c r="F25" s="660"/>
      <c r="G25" s="660"/>
      <c r="H25" s="660"/>
      <c r="I25" s="660"/>
      <c r="J25" s="801"/>
      <c r="K25" s="784"/>
      <c r="L25" s="785"/>
      <c r="M25" s="785"/>
      <c r="N25" s="802" t="s">
        <v>1788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1789</v>
      </c>
      <c r="B26" s="662" t="s">
        <v>1790</v>
      </c>
      <c r="C26" s="663" t="s">
        <v>1791</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1792</v>
      </c>
      <c r="J26" s="805" t="str">
        <f>IF(G3&gt;=10,D115,"——")</f>
        <v>——</v>
      </c>
      <c r="K26" s="784"/>
      <c r="L26" s="785"/>
      <c r="M26" s="785"/>
      <c r="N26" s="802" t="s">
        <v>1793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1794</v>
      </c>
      <c r="B27" s="665" t="s">
        <v>1795</v>
      </c>
      <c r="C27" s="666">
        <f>ROUND(IF(I3&lt;6,SUMPRODUCT((B106:B110=I3)*(C105:N105=G2)*(C106:N110)),SUMIF(C105:N105,G2,C112:N112)),4)</f>
        <v>0</v>
      </c>
      <c r="D27" s="667"/>
      <c r="E27" s="667"/>
      <c r="F27" s="668"/>
      <c r="G27" s="669"/>
      <c r="H27" s="670"/>
      <c r="I27" s="806"/>
      <c r="J27" s="807"/>
      <c r="K27" s="539"/>
      <c r="L27" s="540"/>
      <c r="M27" s="540"/>
      <c r="N27" s="802" t="s">
        <v>1796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1797</v>
      </c>
      <c r="B28" s="645" t="s">
        <v>1798</v>
      </c>
      <c r="C28" s="646">
        <f>SUMIF(A47:A101,E2,B47:B101)</f>
        <v>0</v>
      </c>
      <c r="D28" s="671"/>
      <c r="E28" s="672"/>
      <c r="F28" s="672"/>
      <c r="G28" s="672"/>
      <c r="H28" s="672"/>
      <c r="I28" s="672"/>
      <c r="J28" s="808"/>
      <c r="K28" s="784"/>
      <c r="L28" s="785"/>
      <c r="M28" s="785"/>
      <c r="N28" s="809" t="s">
        <v>1799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1800</v>
      </c>
      <c r="B29" s="673" t="s">
        <v>1801</v>
      </c>
      <c r="C29" s="674"/>
      <c r="D29" s="574"/>
      <c r="E29" s="574"/>
      <c r="F29" s="675"/>
      <c r="G29" s="574"/>
      <c r="H29" s="574"/>
      <c r="I29" s="574"/>
      <c r="J29" s="762"/>
      <c r="K29" s="539"/>
      <c r="L29" s="540"/>
      <c r="M29" s="540"/>
      <c r="N29" s="812" t="s">
        <v>1802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1803</v>
      </c>
      <c r="C30" s="677" t="e">
        <f>IF(B25="容积率修正",E33+SUM(E37:E42),SUM(V2:V16)+SUM(E37:E42))</f>
        <v>#DIV/0!</v>
      </c>
      <c r="D30" s="678"/>
      <c r="E30" s="667"/>
      <c r="F30" s="679"/>
      <c r="G30" s="667"/>
      <c r="H30" s="667"/>
      <c r="I30" s="667"/>
      <c r="J30" s="815"/>
      <c r="K30" s="539"/>
      <c r="L30" s="816" t="s">
        <v>1694</v>
      </c>
      <c r="M30" s="817" t="s">
        <v>1804</v>
      </c>
      <c r="N30" s="817" t="s">
        <v>1805</v>
      </c>
      <c r="O30" s="817" t="s">
        <v>1806</v>
      </c>
      <c r="P30" s="817" t="s">
        <v>1807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1808</v>
      </c>
      <c r="C31" s="681" t="e">
        <f>E34+SUM(I37:I42)</f>
        <v>#DIV/0!</v>
      </c>
      <c r="D31" s="682"/>
      <c r="E31" s="683"/>
      <c r="F31" s="684"/>
      <c r="G31" s="683"/>
      <c r="H31" s="683"/>
      <c r="I31" s="683"/>
      <c r="J31" s="818"/>
      <c r="K31" s="539"/>
      <c r="L31" s="819" t="s">
        <v>1809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1810</v>
      </c>
      <c r="C32" s="687" t="s">
        <v>1811</v>
      </c>
      <c r="D32" s="687" t="s">
        <v>562</v>
      </c>
      <c r="E32" s="688" t="s">
        <v>1812</v>
      </c>
      <c r="F32" s="689"/>
      <c r="G32" s="597"/>
      <c r="H32" s="597"/>
      <c r="I32" s="597"/>
      <c r="J32" s="768"/>
      <c r="K32" s="539"/>
      <c r="L32" s="820" t="s">
        <v>1781</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1813</v>
      </c>
      <c r="C33" s="692" t="e">
        <f>ROUND(C5*C22*C23*C24*C25*C28,0)</f>
        <v>#DIV/0!</v>
      </c>
      <c r="D33" s="693"/>
      <c r="E33" s="694" t="e">
        <f>ROUND(C33*D33/10000,0)</f>
        <v>#DIV/0!</v>
      </c>
      <c r="F33" s="695" t="s">
        <v>1814</v>
      </c>
      <c r="G33" s="696"/>
      <c r="H33" s="696"/>
      <c r="I33" s="696"/>
      <c r="J33" s="822"/>
      <c r="K33" s="539"/>
      <c r="L33" s="823" t="s">
        <v>1815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1816</v>
      </c>
      <c r="C34" s="635" t="e">
        <f>ROUND(IF(E2="工业",C33*M42,IF(B25="楼层修正",SUM(V2:V16)*M41*10000/D34,C33*M41)),0)</f>
        <v>#DIV/0!</v>
      </c>
      <c r="D34" s="699"/>
      <c r="E34" s="694" t="e">
        <f>ROUND(IF(B25="楼层修正",SUM(V2:V16)*M40,C34*D34/10000),0)</f>
        <v>#DIV/0!</v>
      </c>
      <c r="F34" s="700" t="s">
        <v>1817</v>
      </c>
      <c r="G34" s="701"/>
      <c r="H34" s="701"/>
      <c r="I34" s="701"/>
      <c r="J34" s="825"/>
      <c r="K34" s="539"/>
      <c r="L34" s="823" t="s">
        <v>1818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1819</v>
      </c>
      <c r="C35" s="704" t="s">
        <v>1820</v>
      </c>
      <c r="D35" s="597"/>
      <c r="E35" s="705"/>
      <c r="F35" s="705"/>
      <c r="G35" s="595" t="s">
        <v>1817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1811</v>
      </c>
      <c r="D36" s="708" t="s">
        <v>562</v>
      </c>
      <c r="E36" s="708" t="s">
        <v>1812</v>
      </c>
      <c r="F36" s="546" t="s">
        <v>1821</v>
      </c>
      <c r="G36" s="709" t="s">
        <v>1811</v>
      </c>
      <c r="H36" s="709" t="s">
        <v>562</v>
      </c>
      <c r="I36" s="709" t="s">
        <v>1812</v>
      </c>
      <c r="J36" s="429"/>
      <c r="K36" s="827" t="s">
        <v>1822</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7"/>
      <c r="B37" s="710" t="s">
        <v>1823</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1824</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8"/>
      <c r="B38" s="600" t="s">
        <v>1825</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8"/>
      <c r="B39" s="600" t="s">
        <v>1826</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1827</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1828</v>
      </c>
      <c r="M40" s="834"/>
      <c r="Z40" s="715"/>
      <c r="AA40" s="715"/>
      <c r="AB40" s="715"/>
      <c r="AC40" s="715"/>
      <c r="AD40" s="715"/>
      <c r="AE40" s="715"/>
      <c r="AF40" s="715"/>
      <c r="AG40" s="715"/>
      <c r="AH40" s="715"/>
      <c r="AI40" s="715"/>
      <c r="AJ40" s="715"/>
    </row>
    <row r="41" spans="1:37" s="539" customFormat="1">
      <c r="A41" s="712"/>
      <c r="B41" s="600" t="s">
        <v>1829</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1830</v>
      </c>
      <c r="M41" s="836">
        <v>0.25</v>
      </c>
      <c r="Z41" s="715"/>
      <c r="AA41" s="715"/>
      <c r="AB41" s="715"/>
      <c r="AC41" s="715"/>
      <c r="AD41" s="715"/>
      <c r="AE41" s="715"/>
      <c r="AF41" s="715"/>
      <c r="AG41" s="715"/>
      <c r="AH41" s="715"/>
      <c r="AI41" s="715"/>
      <c r="AJ41" s="715"/>
    </row>
    <row r="42" spans="1:37" s="539" customFormat="1">
      <c r="A42" s="697"/>
      <c r="B42" s="713" t="s">
        <v>1831</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1807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1832</v>
      </c>
      <c r="C44" s="546" t="e">
        <f>ROUND(POWER(1+E44,H44-G44)*(POWER(1+E44,G44)-1)/(POWER(1+E44,H44)-1),4)</f>
        <v>#DIV/0!</v>
      </c>
      <c r="D44" s="582" t="s">
        <v>1781</v>
      </c>
      <c r="E44" s="717">
        <f>G24</f>
        <v>0</v>
      </c>
      <c r="F44" s="582" t="s">
        <v>1782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1835</v>
      </c>
      <c r="B49" s="731" t="s">
        <v>1836</v>
      </c>
      <c r="C49" s="731" t="s">
        <v>1837</v>
      </c>
      <c r="D49" s="731" t="s">
        <v>1838</v>
      </c>
      <c r="E49" s="732" t="s">
        <v>1839</v>
      </c>
      <c r="F49" s="733" t="s">
        <v>1840</v>
      </c>
      <c r="G49" s="731" t="s">
        <v>1662</v>
      </c>
      <c r="H49" s="734" t="s">
        <v>1841</v>
      </c>
      <c r="I49" s="731" t="s">
        <v>1842</v>
      </c>
      <c r="J49" s="841" t="s">
        <v>1396</v>
      </c>
      <c r="K49" s="841" t="s">
        <v>1397</v>
      </c>
      <c r="L49" s="841" t="s">
        <v>1398</v>
      </c>
      <c r="M49" s="841" t="s">
        <v>1399</v>
      </c>
      <c r="N49" s="841" t="s">
        <v>1400</v>
      </c>
      <c r="AA49" s="715"/>
      <c r="AB49" s="715"/>
      <c r="AC49" s="715"/>
      <c r="AD49" s="715"/>
      <c r="AE49" s="715"/>
      <c r="AF49" s="715"/>
      <c r="AG49" s="715"/>
      <c r="AH49" s="715"/>
      <c r="AI49" s="715"/>
      <c r="AJ49" s="715"/>
      <c r="AK49" s="715"/>
    </row>
    <row r="50" spans="1:37" s="539" customFormat="1" ht="24.75">
      <c r="A50" s="730" t="s">
        <v>1843</v>
      </c>
      <c r="B50" s="735">
        <f>估价对象房地状况!C4</f>
        <v>0</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1844</v>
      </c>
      <c r="B51" s="741">
        <f>估价对象房地状况!C18</f>
        <v>0</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1845</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1846</v>
      </c>
      <c r="B53" s="744" t="s">
        <v>1847</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1848</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1849</v>
      </c>
      <c r="B55" s="745" t="s">
        <v>1850</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1851</v>
      </c>
      <c r="B56" s="747">
        <f>估价对象房地状况!C21</f>
        <v>0</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1852</v>
      </c>
      <c r="B57" s="741">
        <f>估价对象房地状况!C22</f>
        <v>0</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1853</v>
      </c>
      <c r="B58" s="749">
        <f>估价对象房地状况!C20</f>
        <v>0</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1854</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1835</v>
      </c>
      <c r="B60" s="731"/>
      <c r="C60" s="731" t="s">
        <v>1837</v>
      </c>
      <c r="D60" s="731" t="s">
        <v>1838</v>
      </c>
      <c r="E60" s="732" t="s">
        <v>1839</v>
      </c>
      <c r="F60" s="733" t="s">
        <v>1855</v>
      </c>
      <c r="G60" s="731" t="s">
        <v>1662</v>
      </c>
      <c r="H60" s="734" t="s">
        <v>1841</v>
      </c>
      <c r="I60" s="731" t="s">
        <v>1842</v>
      </c>
      <c r="J60" s="841" t="s">
        <v>1396</v>
      </c>
      <c r="K60" s="841" t="s">
        <v>1397</v>
      </c>
      <c r="L60" s="841" t="s">
        <v>1398</v>
      </c>
      <c r="M60" s="841" t="s">
        <v>1399</v>
      </c>
      <c r="N60" s="841" t="s">
        <v>1400</v>
      </c>
      <c r="AA60" s="715"/>
      <c r="AB60" s="715"/>
      <c r="AC60" s="715"/>
      <c r="AD60" s="715"/>
      <c r="AE60" s="715"/>
      <c r="AF60" s="715"/>
      <c r="AG60" s="715"/>
      <c r="AH60" s="715"/>
      <c r="AI60" s="715"/>
      <c r="AJ60" s="715"/>
      <c r="AK60" s="715"/>
    </row>
    <row r="61" spans="1:37" s="539" customFormat="1" ht="24">
      <c r="A61" s="730" t="s">
        <v>1856</v>
      </c>
      <c r="B61" s="735">
        <f>估价对象房地状况!C17</f>
        <v>0</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1844</v>
      </c>
      <c r="B62" s="741">
        <f>估价对象房地状况!C18</f>
        <v>0</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1845</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1846</v>
      </c>
      <c r="B64" s="744" t="s">
        <v>1847</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1848</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1849</v>
      </c>
      <c r="B66" s="745" t="s">
        <v>1850</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1851</v>
      </c>
      <c r="B67" s="747">
        <f>估价对象房地状况!C21</f>
        <v>0</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1852</v>
      </c>
      <c r="B68" s="747">
        <f>估价对象房地状况!C22</f>
        <v>0</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1853</v>
      </c>
      <c r="B69" s="874">
        <f>估价对象房地状况!C20</f>
        <v>0</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1857</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1835</v>
      </c>
      <c r="B71" s="731"/>
      <c r="C71" s="731" t="s">
        <v>1837</v>
      </c>
      <c r="D71" s="731" t="s">
        <v>1838</v>
      </c>
      <c r="E71" s="732" t="s">
        <v>1839</v>
      </c>
      <c r="F71" s="733" t="s">
        <v>1855</v>
      </c>
      <c r="G71" s="731" t="s">
        <v>1662</v>
      </c>
      <c r="H71" s="734" t="s">
        <v>1841</v>
      </c>
      <c r="I71" s="731" t="s">
        <v>1842</v>
      </c>
      <c r="J71" s="841" t="s">
        <v>1396</v>
      </c>
      <c r="K71" s="841" t="s">
        <v>1397</v>
      </c>
      <c r="L71" s="841" t="s">
        <v>1398</v>
      </c>
      <c r="M71" s="841" t="s">
        <v>1399</v>
      </c>
      <c r="N71" s="841" t="s">
        <v>1400</v>
      </c>
      <c r="AA71" s="715"/>
      <c r="AB71" s="715"/>
      <c r="AC71" s="715"/>
      <c r="AD71" s="715"/>
      <c r="AE71" s="715"/>
      <c r="AF71" s="715"/>
      <c r="AG71" s="715"/>
      <c r="AH71" s="715"/>
      <c r="AI71" s="715"/>
      <c r="AJ71" s="715"/>
      <c r="AK71" s="715"/>
    </row>
    <row r="72" spans="1:37" s="539" customFormat="1" ht="24">
      <c r="A72" s="730" t="s">
        <v>1858</v>
      </c>
      <c r="B72" s="735">
        <f>估价对象房地状况!C15</f>
        <v>0</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1844</v>
      </c>
      <c r="B73" s="741">
        <f>估价对象房地状况!C18</f>
        <v>0</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1845</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1859</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1851</v>
      </c>
      <c r="B76" s="747">
        <f>估价对象房地状况!C21</f>
        <v>0</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1852</v>
      </c>
      <c r="B77" s="747">
        <f>估价对象房地状况!C22</f>
        <v>0</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1849</v>
      </c>
      <c r="B78" s="745" t="s">
        <v>1850</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1853</v>
      </c>
      <c r="B79" s="735">
        <f>估价对象房地状况!C20</f>
        <v>0</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1860</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1861</v>
      </c>
      <c r="B81" s="725">
        <f>1+E83</f>
        <v>1</v>
      </c>
      <c r="C81" s="727"/>
      <c r="D81" s="727"/>
      <c r="E81" s="728"/>
      <c r="F81" s="729"/>
      <c r="G81" s="723"/>
      <c r="H81" s="723"/>
      <c r="I81" s="723"/>
      <c r="J81" s="722"/>
      <c r="K81" s="722"/>
      <c r="L81" s="722"/>
      <c r="M81" s="722"/>
      <c r="N81" s="722"/>
      <c r="Z81" s="543"/>
      <c r="AA81" s="541"/>
      <c r="AG81" s="545"/>
      <c r="AK81" s="541"/>
    </row>
    <row r="82" spans="1:37" ht="24.75">
      <c r="A82" s="730" t="s">
        <v>1835</v>
      </c>
      <c r="B82" s="731"/>
      <c r="C82" s="731" t="s">
        <v>1837</v>
      </c>
      <c r="D82" s="731" t="s">
        <v>1838</v>
      </c>
      <c r="E82" s="732" t="s">
        <v>1839</v>
      </c>
      <c r="F82" s="733" t="s">
        <v>1855</v>
      </c>
      <c r="G82" s="731" t="s">
        <v>1662</v>
      </c>
      <c r="H82" s="734" t="s">
        <v>1841</v>
      </c>
      <c r="I82" s="731" t="s">
        <v>1842</v>
      </c>
      <c r="J82" s="841" t="s">
        <v>1396</v>
      </c>
      <c r="K82" s="841" t="s">
        <v>1397</v>
      </c>
      <c r="L82" s="841" t="s">
        <v>1398</v>
      </c>
      <c r="M82" s="841" t="s">
        <v>1399</v>
      </c>
      <c r="N82" s="841" t="s">
        <v>1400</v>
      </c>
      <c r="Z82" s="543"/>
      <c r="AA82" s="541"/>
      <c r="AG82" s="545"/>
      <c r="AK82" s="541"/>
    </row>
    <row r="83" spans="1:37" ht="38.25">
      <c r="A83" s="730" t="s">
        <v>1862</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1844</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1845</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1859</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1851</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1852</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1849</v>
      </c>
      <c r="B89" s="745" t="s">
        <v>1863</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1864</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1835</v>
      </c>
      <c r="B92" s="886"/>
      <c r="C92" s="886" t="s">
        <v>1837</v>
      </c>
      <c r="D92" s="886" t="s">
        <v>1838</v>
      </c>
      <c r="E92" s="855" t="s">
        <v>1839</v>
      </c>
      <c r="F92" s="887" t="s">
        <v>1855</v>
      </c>
      <c r="G92" s="886" t="s">
        <v>1662</v>
      </c>
      <c r="H92" s="888" t="s">
        <v>1841</v>
      </c>
      <c r="I92" s="886" t="s">
        <v>1842</v>
      </c>
      <c r="J92" s="921" t="s">
        <v>1396</v>
      </c>
      <c r="K92" s="921" t="s">
        <v>1397</v>
      </c>
      <c r="L92" s="921" t="s">
        <v>1398</v>
      </c>
      <c r="M92" s="921" t="s">
        <v>1399</v>
      </c>
      <c r="N92" s="921" t="s">
        <v>1400</v>
      </c>
    </row>
    <row r="93" spans="1:37" ht="24">
      <c r="A93" s="743" t="s">
        <v>1865</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1844</v>
      </c>
      <c r="B94" s="892">
        <f>估价对象房地状况!C18</f>
        <v>0</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1845</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1846</v>
      </c>
      <c r="B96" s="894" t="s">
        <v>1847</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1848</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1849</v>
      </c>
      <c r="B98" s="895" t="s">
        <v>1850</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1851</v>
      </c>
      <c r="B99" s="892">
        <f>估价对象房地状况!C21</f>
        <v>0</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1852</v>
      </c>
      <c r="B100" s="892">
        <f>估价对象房地状况!C22</f>
        <v>0</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1853</v>
      </c>
      <c r="B101" s="897">
        <f>估价对象房地状况!C20</f>
        <v>0</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3" t="s">
        <v>1866</v>
      </c>
      <c r="B103" s="3733"/>
      <c r="C103" s="3733"/>
      <c r="D103" s="3733"/>
      <c r="E103" s="3733"/>
      <c r="F103" s="3733"/>
      <c r="G103" s="3733"/>
      <c r="H103" s="3733"/>
      <c r="I103" s="3733"/>
      <c r="J103" s="3733"/>
      <c r="K103" s="899"/>
      <c r="L103" s="899"/>
      <c r="M103" s="899"/>
      <c r="N103" s="899"/>
    </row>
    <row r="104" spans="1:14">
      <c r="A104" s="3739" t="s">
        <v>1867</v>
      </c>
      <c r="B104" s="3739" t="s">
        <v>1868</v>
      </c>
      <c r="C104" s="901" t="s">
        <v>1869</v>
      </c>
      <c r="D104" s="902"/>
      <c r="E104" s="902"/>
      <c r="F104" s="902"/>
      <c r="G104" s="902"/>
      <c r="H104" s="902"/>
      <c r="I104" s="902"/>
      <c r="J104" s="922"/>
      <c r="K104" s="923"/>
      <c r="L104" s="923"/>
      <c r="M104" s="923"/>
      <c r="N104" s="923"/>
    </row>
    <row r="105" spans="1:14">
      <c r="A105" s="3739"/>
      <c r="B105" s="3739"/>
      <c r="C105" s="900" t="s">
        <v>1718</v>
      </c>
      <c r="D105" s="900" t="s">
        <v>1719</v>
      </c>
      <c r="E105" s="900" t="s">
        <v>1720</v>
      </c>
      <c r="F105" s="900" t="s">
        <v>1721</v>
      </c>
      <c r="G105" s="900" t="s">
        <v>1722</v>
      </c>
      <c r="H105" s="900" t="s">
        <v>1723</v>
      </c>
      <c r="I105" s="900" t="s">
        <v>1724</v>
      </c>
      <c r="J105" s="900" t="s">
        <v>1725</v>
      </c>
      <c r="K105" s="900" t="s">
        <v>1726</v>
      </c>
      <c r="L105" s="900" t="s">
        <v>1727</v>
      </c>
      <c r="M105" s="900" t="s">
        <v>1728</v>
      </c>
      <c r="N105" s="900" t="s">
        <v>1729</v>
      </c>
    </row>
    <row r="106" spans="1:14">
      <c r="A106" s="3740" t="s">
        <v>1870</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1"/>
      <c r="B111" s="900" t="s">
        <v>1734</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2"/>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4" t="s">
        <v>1871</v>
      </c>
      <c r="B113" s="3734"/>
      <c r="C113" s="3734"/>
      <c r="D113" s="3734"/>
      <c r="E113" s="3734"/>
      <c r="F113" s="3734"/>
      <c r="G113" s="3734"/>
      <c r="H113" s="3734"/>
      <c r="I113" s="3734"/>
      <c r="J113" s="373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1872</v>
      </c>
      <c r="B116" s="907">
        <f>G3</f>
        <v>0</v>
      </c>
      <c r="C116" s="908" t="s">
        <v>1873</v>
      </c>
      <c r="D116" s="909">
        <f>SUMPRODUCT((A118:A122=F116)*(B117:M117=H116)*B118:M122)</f>
        <v>0</v>
      </c>
      <c r="E116" s="549" t="s">
        <v>1694</v>
      </c>
      <c r="F116" s="910">
        <f>E2</f>
        <v>0</v>
      </c>
      <c r="G116" s="549" t="s">
        <v>1695</v>
      </c>
      <c r="H116" s="910">
        <f>G2</f>
        <v>0</v>
      </c>
      <c r="I116" s="549"/>
      <c r="J116" s="924"/>
      <c r="K116" s="924"/>
      <c r="L116" s="924"/>
      <c r="M116" s="924"/>
      <c r="N116" s="905"/>
    </row>
    <row r="117" spans="1:14">
      <c r="A117" s="911"/>
      <c r="B117" s="912" t="s">
        <v>1874</v>
      </c>
      <c r="C117" s="912" t="s">
        <v>1875</v>
      </c>
      <c r="D117" s="912" t="s">
        <v>1876</v>
      </c>
      <c r="E117" s="913" t="s">
        <v>1877</v>
      </c>
      <c r="F117" s="913" t="s">
        <v>1878</v>
      </c>
      <c r="G117" s="913" t="s">
        <v>1879</v>
      </c>
      <c r="H117" s="914" t="s">
        <v>1880</v>
      </c>
      <c r="I117" s="914" t="s">
        <v>1881</v>
      </c>
      <c r="J117" s="925" t="s">
        <v>1882</v>
      </c>
      <c r="K117" s="925" t="s">
        <v>1883</v>
      </c>
      <c r="L117" s="925" t="s">
        <v>1884</v>
      </c>
      <c r="M117" s="926" t="s">
        <v>1885</v>
      </c>
      <c r="N117" s="905"/>
    </row>
    <row r="118" spans="1:14">
      <c r="A118" s="915" t="s">
        <v>1804</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1805</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1806</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1807</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1886</v>
      </c>
      <c r="B2" s="483">
        <v>3.5</v>
      </c>
      <c r="C2" s="483">
        <v>3.5</v>
      </c>
      <c r="D2" s="484">
        <v>2.5</v>
      </c>
      <c r="E2" s="484">
        <v>2.5</v>
      </c>
      <c r="F2" s="484">
        <v>2.5</v>
      </c>
      <c r="G2" s="484">
        <v>2.5</v>
      </c>
      <c r="H2" s="484">
        <v>2.5</v>
      </c>
      <c r="I2" s="483">
        <v>2</v>
      </c>
      <c r="J2" s="483">
        <v>2</v>
      </c>
      <c r="K2" s="483">
        <v>2</v>
      </c>
      <c r="L2" s="483">
        <v>2</v>
      </c>
      <c r="M2" s="527">
        <v>2</v>
      </c>
    </row>
    <row r="3" spans="1:13" ht="19.5" customHeight="1">
      <c r="A3" s="485" t="s">
        <v>549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1890</v>
      </c>
      <c r="B18" s="499"/>
      <c r="C18" s="500"/>
      <c r="D18" s="500"/>
      <c r="E18" s="499"/>
      <c r="F18" s="500"/>
      <c r="G18" s="500"/>
    </row>
    <row r="19" spans="1:13" ht="19.5" customHeight="1">
      <c r="A19" s="498" t="s">
        <v>1891</v>
      </c>
      <c r="B19" s="501" t="s">
        <v>1892</v>
      </c>
      <c r="C19" s="501" t="s">
        <v>1893</v>
      </c>
      <c r="D19" s="502"/>
      <c r="E19" s="498" t="s">
        <v>1894</v>
      </c>
      <c r="F19" s="503"/>
      <c r="G19" s="503"/>
    </row>
    <row r="20" spans="1:13" ht="19.5" customHeight="1">
      <c r="A20" s="3744" t="s">
        <v>1886</v>
      </c>
      <c r="B20" s="3750" t="s">
        <v>1895</v>
      </c>
      <c r="C20" s="504" t="s">
        <v>1896</v>
      </c>
      <c r="D20" s="505"/>
      <c r="E20" s="506">
        <v>1</v>
      </c>
      <c r="F20" s="507" t="s">
        <v>1897</v>
      </c>
      <c r="G20" s="507"/>
    </row>
    <row r="21" spans="1:13" ht="19.5" customHeight="1">
      <c r="A21" s="3745"/>
      <c r="B21" s="3751"/>
      <c r="C21" s="508" t="s">
        <v>1898</v>
      </c>
      <c r="D21" s="509"/>
      <c r="E21" s="510">
        <v>1</v>
      </c>
      <c r="F21" s="507" t="s">
        <v>1899</v>
      </c>
      <c r="G21" s="507"/>
    </row>
    <row r="22" spans="1:13" ht="19.5" customHeight="1">
      <c r="A22" s="3745"/>
      <c r="B22" s="3751"/>
      <c r="C22" s="508" t="s">
        <v>1900</v>
      </c>
      <c r="D22" s="509"/>
      <c r="E22" s="510">
        <v>0.9</v>
      </c>
      <c r="F22" s="507" t="s">
        <v>1901</v>
      </c>
      <c r="G22" s="507"/>
    </row>
    <row r="23" spans="1:13" ht="19.5" customHeight="1">
      <c r="A23" s="3745"/>
      <c r="B23" s="3751"/>
      <c r="C23" s="508" t="s">
        <v>1902</v>
      </c>
      <c r="D23" s="509"/>
      <c r="E23" s="510">
        <v>0.9</v>
      </c>
      <c r="F23" s="507" t="s">
        <v>1903</v>
      </c>
      <c r="G23" s="507"/>
    </row>
    <row r="24" spans="1:13" ht="19.5" customHeight="1">
      <c r="A24" s="3745"/>
      <c r="B24" s="3751"/>
      <c r="C24" s="508" t="s">
        <v>1904</v>
      </c>
      <c r="D24" s="509"/>
      <c r="E24" s="510">
        <v>0.8</v>
      </c>
      <c r="F24" s="507" t="s">
        <v>1905</v>
      </c>
      <c r="G24" s="507"/>
    </row>
    <row r="25" spans="1:13" ht="19.5" customHeight="1">
      <c r="A25" s="3746"/>
      <c r="B25" s="3752"/>
      <c r="C25" s="511" t="s">
        <v>1906</v>
      </c>
      <c r="D25" s="512"/>
      <c r="E25" s="513">
        <v>0.8</v>
      </c>
      <c r="F25" s="507" t="s">
        <v>1907</v>
      </c>
      <c r="G25" s="507"/>
    </row>
    <row r="26" spans="1:13" ht="19.5" customHeight="1">
      <c r="A26" s="514" t="s">
        <v>549</v>
      </c>
      <c r="B26" s="515" t="s">
        <v>1895</v>
      </c>
      <c r="C26" s="516" t="s">
        <v>1908</v>
      </c>
      <c r="D26" s="517"/>
      <c r="E26" s="518">
        <v>1</v>
      </c>
      <c r="F26" s="507" t="s">
        <v>1909</v>
      </c>
      <c r="G26" s="507"/>
    </row>
    <row r="27" spans="1:13" ht="19.5" customHeight="1">
      <c r="A27" s="3747" t="s">
        <v>280</v>
      </c>
      <c r="B27" s="3750" t="s">
        <v>280</v>
      </c>
      <c r="C27" s="504" t="s">
        <v>1910</v>
      </c>
      <c r="D27" s="505"/>
      <c r="E27" s="506">
        <v>1</v>
      </c>
      <c r="F27" s="507" t="s">
        <v>1911</v>
      </c>
      <c r="G27" s="507"/>
    </row>
    <row r="28" spans="1:13" ht="19.5" customHeight="1">
      <c r="A28" s="3748"/>
      <c r="B28" s="3751"/>
      <c r="C28" s="508" t="s">
        <v>1912</v>
      </c>
      <c r="D28" s="509"/>
      <c r="E28" s="510">
        <v>1</v>
      </c>
      <c r="F28" s="507" t="s">
        <v>1913</v>
      </c>
      <c r="G28" s="507"/>
    </row>
    <row r="29" spans="1:13" ht="19.5" customHeight="1">
      <c r="A29" s="3748"/>
      <c r="B29" s="3751"/>
      <c r="C29" s="508" t="s">
        <v>1914</v>
      </c>
      <c r="D29" s="509"/>
      <c r="E29" s="510">
        <v>0.8</v>
      </c>
      <c r="F29" s="507" t="s">
        <v>1915</v>
      </c>
      <c r="G29" s="507"/>
    </row>
    <row r="30" spans="1:13" ht="19.5" customHeight="1">
      <c r="A30" s="3748"/>
      <c r="B30" s="3751"/>
      <c r="C30" s="508" t="s">
        <v>1916</v>
      </c>
      <c r="D30" s="509"/>
      <c r="E30" s="510">
        <v>0.8</v>
      </c>
      <c r="F30" s="507" t="s">
        <v>1917</v>
      </c>
      <c r="G30" s="507"/>
    </row>
    <row r="31" spans="1:13" ht="19.5" customHeight="1">
      <c r="A31" s="3748"/>
      <c r="B31" s="3751"/>
      <c r="C31" s="508" t="s">
        <v>1918</v>
      </c>
      <c r="D31" s="509"/>
      <c r="E31" s="510">
        <v>0.8</v>
      </c>
      <c r="F31" s="507" t="s">
        <v>1919</v>
      </c>
      <c r="G31" s="507"/>
    </row>
    <row r="32" spans="1:13" ht="19.5" customHeight="1">
      <c r="A32" s="3748"/>
      <c r="B32" s="3751"/>
      <c r="C32" s="508" t="s">
        <v>1920</v>
      </c>
      <c r="D32" s="509"/>
      <c r="E32" s="510">
        <v>0.7</v>
      </c>
      <c r="F32" s="507" t="s">
        <v>1921</v>
      </c>
      <c r="G32" s="507"/>
    </row>
    <row r="33" spans="1:7" ht="19.5" customHeight="1">
      <c r="A33" s="3748"/>
      <c r="B33" s="3751"/>
      <c r="C33" s="508" t="s">
        <v>1922</v>
      </c>
      <c r="D33" s="509"/>
      <c r="E33" s="510">
        <v>0.8</v>
      </c>
      <c r="F33" s="507" t="s">
        <v>1923</v>
      </c>
      <c r="G33" s="507"/>
    </row>
    <row r="34" spans="1:7" ht="19.5" customHeight="1">
      <c r="A34" s="3748"/>
      <c r="B34" s="3751"/>
      <c r="C34" s="508" t="s">
        <v>1924</v>
      </c>
      <c r="D34" s="509"/>
      <c r="E34" s="510">
        <v>0.6</v>
      </c>
      <c r="F34" s="507" t="s">
        <v>1925</v>
      </c>
      <c r="G34" s="507"/>
    </row>
    <row r="35" spans="1:7" ht="19.5" customHeight="1">
      <c r="A35" s="3748"/>
      <c r="B35" s="3751"/>
      <c r="C35" s="508" t="s">
        <v>1926</v>
      </c>
      <c r="D35" s="509"/>
      <c r="E35" s="510">
        <v>0.2</v>
      </c>
      <c r="F35" s="507" t="s">
        <v>1927</v>
      </c>
      <c r="G35" s="507"/>
    </row>
    <row r="36" spans="1:7" ht="19.5" customHeight="1">
      <c r="A36" s="3748"/>
      <c r="B36" s="3751"/>
      <c r="C36" s="508" t="s">
        <v>1928</v>
      </c>
      <c r="D36" s="509"/>
      <c r="E36" s="510">
        <v>0.2</v>
      </c>
      <c r="F36" s="507" t="s">
        <v>1929</v>
      </c>
      <c r="G36" s="507"/>
    </row>
    <row r="37" spans="1:7" ht="19.5" customHeight="1">
      <c r="A37" s="3748"/>
      <c r="B37" s="3753" t="s">
        <v>1930</v>
      </c>
      <c r="C37" s="508" t="s">
        <v>1931</v>
      </c>
      <c r="D37" s="509"/>
      <c r="E37" s="510">
        <v>0.6</v>
      </c>
      <c r="F37" s="507" t="s">
        <v>1932</v>
      </c>
      <c r="G37" s="507"/>
    </row>
    <row r="38" spans="1:7" ht="19.5" customHeight="1">
      <c r="A38" s="3748"/>
      <c r="B38" s="3751"/>
      <c r="C38" s="508" t="s">
        <v>1933</v>
      </c>
      <c r="D38" s="509"/>
      <c r="E38" s="510">
        <v>0.6</v>
      </c>
      <c r="F38" s="507" t="s">
        <v>1934</v>
      </c>
      <c r="G38" s="507"/>
    </row>
    <row r="39" spans="1:7" ht="19.5" customHeight="1">
      <c r="A39" s="3749"/>
      <c r="B39" s="3752"/>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44" t="s">
        <v>408</v>
      </c>
      <c r="B41" s="3750" t="s">
        <v>1939</v>
      </c>
      <c r="C41" s="504" t="s">
        <v>1940</v>
      </c>
      <c r="D41" s="505"/>
      <c r="E41" s="506">
        <v>1</v>
      </c>
      <c r="F41" s="507" t="s">
        <v>1941</v>
      </c>
      <c r="G41" s="507"/>
    </row>
    <row r="42" spans="1:7" ht="19.5" customHeight="1">
      <c r="A42" s="3745"/>
      <c r="B42" s="3751"/>
      <c r="C42" s="508" t="s">
        <v>1942</v>
      </c>
      <c r="D42" s="509"/>
      <c r="E42" s="510">
        <v>1</v>
      </c>
      <c r="F42" s="507" t="s">
        <v>1943</v>
      </c>
      <c r="G42" s="507"/>
    </row>
    <row r="43" spans="1:7" ht="19.5" customHeight="1">
      <c r="A43" s="3745"/>
      <c r="B43" s="3754"/>
      <c r="C43" s="508" t="s">
        <v>1944</v>
      </c>
      <c r="D43" s="509"/>
      <c r="E43" s="510">
        <v>1.5</v>
      </c>
      <c r="F43" s="507" t="s">
        <v>1945</v>
      </c>
      <c r="G43" s="507"/>
    </row>
    <row r="44" spans="1:7" ht="19.5" customHeight="1">
      <c r="A44" s="3745"/>
      <c r="B44" s="520" t="s">
        <v>280</v>
      </c>
      <c r="C44" s="508" t="s">
        <v>1887</v>
      </c>
      <c r="D44" s="509"/>
      <c r="E44" s="510">
        <v>2</v>
      </c>
      <c r="F44" s="507" t="s">
        <v>1946</v>
      </c>
      <c r="G44" s="507"/>
    </row>
    <row r="45" spans="1:7" ht="19.5" customHeight="1">
      <c r="A45" s="3745"/>
      <c r="B45" s="3753" t="s">
        <v>1947</v>
      </c>
      <c r="C45" s="508" t="s">
        <v>1948</v>
      </c>
      <c r="D45" s="509"/>
      <c r="E45" s="510">
        <v>1</v>
      </c>
      <c r="F45" s="507" t="s">
        <v>1949</v>
      </c>
      <c r="G45" s="507"/>
    </row>
    <row r="46" spans="1:7" ht="19.5" customHeight="1">
      <c r="A46" s="3745"/>
      <c r="B46" s="3751"/>
      <c r="C46" s="508" t="s">
        <v>1950</v>
      </c>
      <c r="D46" s="509"/>
      <c r="E46" s="510">
        <v>1</v>
      </c>
      <c r="F46" s="507" t="s">
        <v>1951</v>
      </c>
      <c r="G46" s="507"/>
    </row>
    <row r="47" spans="1:7" ht="19.5" customHeight="1">
      <c r="A47" s="3745"/>
      <c r="B47" s="3751"/>
      <c r="C47" s="508" t="s">
        <v>1952</v>
      </c>
      <c r="D47" s="509"/>
      <c r="E47" s="510">
        <v>1</v>
      </c>
      <c r="F47" s="507" t="s">
        <v>1953</v>
      </c>
      <c r="G47" s="507"/>
    </row>
    <row r="48" spans="1:7" ht="19.5" customHeight="1">
      <c r="A48" s="3745"/>
      <c r="B48" s="3751"/>
      <c r="C48" s="508" t="s">
        <v>1954</v>
      </c>
      <c r="D48" s="509"/>
      <c r="E48" s="510">
        <v>1</v>
      </c>
      <c r="F48" s="507" t="s">
        <v>1955</v>
      </c>
      <c r="G48" s="507"/>
    </row>
    <row r="49" spans="1:7" ht="19.5" customHeight="1">
      <c r="A49" s="3745"/>
      <c r="B49" s="3751"/>
      <c r="C49" s="508" t="s">
        <v>1956</v>
      </c>
      <c r="D49" s="509"/>
      <c r="E49" s="510">
        <v>1</v>
      </c>
      <c r="F49" s="507" t="s">
        <v>1957</v>
      </c>
      <c r="G49" s="507"/>
    </row>
    <row r="50" spans="1:7" ht="19.5" customHeight="1">
      <c r="A50" s="3745"/>
      <c r="B50" s="3751"/>
      <c r="C50" s="508" t="s">
        <v>1958</v>
      </c>
      <c r="D50" s="509"/>
      <c r="E50" s="510">
        <v>1</v>
      </c>
      <c r="F50" s="507" t="s">
        <v>1959</v>
      </c>
      <c r="G50" s="507"/>
    </row>
    <row r="51" spans="1:7" ht="19.5" customHeight="1">
      <c r="A51" s="3746"/>
      <c r="B51" s="3752"/>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1962</v>
      </c>
      <c r="C54" s="496" t="s">
        <v>1962</v>
      </c>
      <c r="D54" s="496" t="s">
        <v>1962</v>
      </c>
      <c r="E54" s="498" t="s">
        <v>1962</v>
      </c>
      <c r="F54" s="498" t="s">
        <v>1963</v>
      </c>
      <c r="G54" s="498" t="s">
        <v>1962</v>
      </c>
    </row>
    <row r="55" spans="1:7" ht="19.5" customHeight="1">
      <c r="A55" s="523"/>
      <c r="B55" s="498" t="s">
        <v>1886</v>
      </c>
      <c r="C55" s="498" t="s">
        <v>1886</v>
      </c>
      <c r="D55" s="498" t="s">
        <v>1886</v>
      </c>
      <c r="E55" s="496" t="s">
        <v>549</v>
      </c>
      <c r="F55" s="496" t="s">
        <v>408</v>
      </c>
      <c r="G55" s="496" t="s">
        <v>1595</v>
      </c>
    </row>
    <row r="56" spans="1:7" ht="19.5" customHeight="1">
      <c r="A56" s="524"/>
      <c r="B56" s="496">
        <v>1</v>
      </c>
      <c r="C56" s="496">
        <v>2</v>
      </c>
      <c r="D56" s="496">
        <v>3</v>
      </c>
      <c r="E56" s="525" t="s">
        <v>1964</v>
      </c>
      <c r="F56" s="525" t="s">
        <v>1964</v>
      </c>
      <c r="G56" s="525" t="s">
        <v>1964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1965</v>
      </c>
      <c r="E70" s="537"/>
      <c r="F70" s="537"/>
    </row>
    <row r="71" spans="1:7" ht="19.5" customHeight="1">
      <c r="A71" s="520" t="s">
        <v>1966</v>
      </c>
      <c r="B71" s="520" t="s">
        <v>1967</v>
      </c>
      <c r="C71" s="520" t="s">
        <v>1968</v>
      </c>
      <c r="D71" s="520" t="s">
        <v>1969</v>
      </c>
      <c r="E71" s="520" t="s">
        <v>1970</v>
      </c>
      <c r="F71" s="520" t="s">
        <v>1971</v>
      </c>
    </row>
    <row r="72" spans="1:7" ht="13.5">
      <c r="A72" s="520"/>
      <c r="B72" s="520"/>
      <c r="C72" s="520" t="s">
        <v>1972</v>
      </c>
      <c r="D72" s="520"/>
      <c r="E72" s="520" t="s">
        <v>124</v>
      </c>
      <c r="F72" s="520" t="s">
        <v>124</v>
      </c>
    </row>
    <row r="73" spans="1:7" ht="13.5">
      <c r="A73" s="520">
        <v>1</v>
      </c>
      <c r="B73" s="3753" t="s">
        <v>1973</v>
      </c>
      <c r="C73" s="496" t="s">
        <v>1974</v>
      </c>
      <c r="D73" s="496" t="s">
        <v>1975</v>
      </c>
      <c r="E73" s="520">
        <v>0.2</v>
      </c>
      <c r="F73" s="520">
        <v>25</v>
      </c>
    </row>
    <row r="74" spans="1:7" ht="24">
      <c r="A74" s="520">
        <v>2</v>
      </c>
      <c r="B74" s="3751"/>
      <c r="C74" s="496" t="s">
        <v>1976</v>
      </c>
      <c r="D74" s="496" t="s">
        <v>1977</v>
      </c>
      <c r="E74" s="520">
        <v>0.2</v>
      </c>
      <c r="F74" s="520">
        <v>25</v>
      </c>
    </row>
    <row r="75" spans="1:7" ht="24">
      <c r="A75" s="520">
        <v>3</v>
      </c>
      <c r="B75" s="3751"/>
      <c r="C75" s="496" t="s">
        <v>1978</v>
      </c>
      <c r="D75" s="496" t="s">
        <v>1979</v>
      </c>
      <c r="E75" s="520">
        <v>0.2</v>
      </c>
      <c r="F75" s="520">
        <v>25</v>
      </c>
    </row>
    <row r="76" spans="1:7" ht="13.5">
      <c r="A76" s="520">
        <v>4</v>
      </c>
      <c r="B76" s="3751"/>
      <c r="C76" s="496" t="s">
        <v>1980</v>
      </c>
      <c r="D76" s="496" t="s">
        <v>1981</v>
      </c>
      <c r="E76" s="520">
        <v>0.15</v>
      </c>
      <c r="F76" s="520">
        <v>20</v>
      </c>
    </row>
    <row r="77" spans="1:7" ht="24">
      <c r="A77" s="520">
        <v>5</v>
      </c>
      <c r="B77" s="3751"/>
      <c r="C77" s="496" t="s">
        <v>1982</v>
      </c>
      <c r="D77" s="496" t="s">
        <v>1983</v>
      </c>
      <c r="E77" s="520">
        <v>0.15</v>
      </c>
      <c r="F77" s="520">
        <v>20</v>
      </c>
    </row>
    <row r="78" spans="1:7" ht="24">
      <c r="A78" s="520">
        <v>6</v>
      </c>
      <c r="B78" s="3751"/>
      <c r="C78" s="496" t="s">
        <v>1984</v>
      </c>
      <c r="D78" s="496" t="s">
        <v>1985</v>
      </c>
      <c r="E78" s="520">
        <v>0.15</v>
      </c>
      <c r="F78" s="520">
        <v>20</v>
      </c>
    </row>
    <row r="79" spans="1:7" ht="24">
      <c r="A79" s="520">
        <v>7</v>
      </c>
      <c r="B79" s="3751"/>
      <c r="C79" s="496" t="s">
        <v>1986</v>
      </c>
      <c r="D79" s="496" t="s">
        <v>1987</v>
      </c>
      <c r="E79" s="520">
        <v>0.15</v>
      </c>
      <c r="F79" s="520">
        <v>20</v>
      </c>
    </row>
    <row r="80" spans="1:7" ht="24">
      <c r="A80" s="520">
        <v>8</v>
      </c>
      <c r="B80" s="3751"/>
      <c r="C80" s="496" t="s">
        <v>1988</v>
      </c>
      <c r="D80" s="496" t="s">
        <v>1989</v>
      </c>
      <c r="E80" s="520">
        <v>0.1</v>
      </c>
      <c r="F80" s="520">
        <v>15</v>
      </c>
    </row>
    <row r="81" spans="1:6" ht="24">
      <c r="A81" s="520">
        <v>9</v>
      </c>
      <c r="B81" s="3751"/>
      <c r="C81" s="496" t="s">
        <v>1990</v>
      </c>
      <c r="D81" s="496" t="s">
        <v>1991</v>
      </c>
      <c r="E81" s="520">
        <v>0.1</v>
      </c>
      <c r="F81" s="520">
        <v>15</v>
      </c>
    </row>
    <row r="82" spans="1:6" ht="24">
      <c r="A82" s="520">
        <v>10</v>
      </c>
      <c r="B82" s="3751"/>
      <c r="C82" s="496" t="s">
        <v>1992</v>
      </c>
      <c r="D82" s="496" t="s">
        <v>1993</v>
      </c>
      <c r="E82" s="520">
        <v>0.1</v>
      </c>
      <c r="F82" s="520">
        <v>15</v>
      </c>
    </row>
    <row r="83" spans="1:6" ht="24">
      <c r="A83" s="520">
        <v>11</v>
      </c>
      <c r="B83" s="3751"/>
      <c r="C83" s="496" t="s">
        <v>1994</v>
      </c>
      <c r="D83" s="496" t="s">
        <v>1995</v>
      </c>
      <c r="E83" s="520">
        <v>0.1</v>
      </c>
      <c r="F83" s="520">
        <v>15</v>
      </c>
    </row>
    <row r="84" spans="1:6" ht="24">
      <c r="A84" s="520">
        <v>12</v>
      </c>
      <c r="B84" s="3751"/>
      <c r="C84" s="496" t="s">
        <v>1996</v>
      </c>
      <c r="D84" s="496" t="s">
        <v>1997</v>
      </c>
      <c r="E84" s="520">
        <v>0.1</v>
      </c>
      <c r="F84" s="520">
        <v>15</v>
      </c>
    </row>
    <row r="85" spans="1:6" ht="13.5">
      <c r="A85" s="520">
        <v>13</v>
      </c>
      <c r="B85" s="3751"/>
      <c r="C85" s="496" t="s">
        <v>1998</v>
      </c>
      <c r="D85" s="496" t="s">
        <v>1999</v>
      </c>
      <c r="E85" s="520">
        <v>0.1</v>
      </c>
      <c r="F85" s="520">
        <v>15</v>
      </c>
    </row>
    <row r="86" spans="1:6" ht="13.5">
      <c r="A86" s="520">
        <v>14</v>
      </c>
      <c r="B86" s="3751"/>
      <c r="C86" s="496" t="s">
        <v>2000</v>
      </c>
      <c r="D86" s="496" t="s">
        <v>2001</v>
      </c>
      <c r="E86" s="520">
        <v>0.1</v>
      </c>
      <c r="F86" s="520">
        <v>15</v>
      </c>
    </row>
    <row r="87" spans="1:6" ht="13.5">
      <c r="A87" s="520">
        <v>15</v>
      </c>
      <c r="B87" s="3751"/>
      <c r="C87" s="496" t="s">
        <v>2002</v>
      </c>
      <c r="D87" s="496" t="s">
        <v>2003</v>
      </c>
      <c r="E87" s="520">
        <v>0.1</v>
      </c>
      <c r="F87" s="520">
        <v>15</v>
      </c>
    </row>
    <row r="88" spans="1:6" ht="24">
      <c r="A88" s="520">
        <v>16</v>
      </c>
      <c r="B88" s="3751"/>
      <c r="C88" s="496" t="s">
        <v>2004</v>
      </c>
      <c r="D88" s="496" t="s">
        <v>2005</v>
      </c>
      <c r="E88" s="520">
        <v>0.1</v>
      </c>
      <c r="F88" s="520">
        <v>15</v>
      </c>
    </row>
    <row r="89" spans="1:6" ht="24">
      <c r="A89" s="520">
        <v>17</v>
      </c>
      <c r="B89" s="3754"/>
      <c r="C89" s="496" t="s">
        <v>2006</v>
      </c>
      <c r="D89" s="496" t="s">
        <v>2007</v>
      </c>
      <c r="E89" s="520">
        <v>0.1</v>
      </c>
      <c r="F89" s="520">
        <v>15</v>
      </c>
    </row>
    <row r="90" spans="1:6" ht="13.5">
      <c r="A90" s="520">
        <v>18</v>
      </c>
      <c r="B90" s="3753" t="s">
        <v>2008</v>
      </c>
      <c r="C90" s="496" t="s">
        <v>2009</v>
      </c>
      <c r="D90" s="496" t="s">
        <v>2010</v>
      </c>
      <c r="E90" s="520">
        <v>0.2</v>
      </c>
      <c r="F90" s="520">
        <v>25</v>
      </c>
    </row>
    <row r="91" spans="1:6" ht="24">
      <c r="A91" s="520">
        <v>19</v>
      </c>
      <c r="B91" s="3751"/>
      <c r="C91" s="496" t="s">
        <v>2011</v>
      </c>
      <c r="D91" s="496" t="s">
        <v>2012</v>
      </c>
      <c r="E91" s="520">
        <v>0.2</v>
      </c>
      <c r="F91" s="520">
        <v>25</v>
      </c>
    </row>
    <row r="92" spans="1:6" ht="13.5">
      <c r="A92" s="520">
        <v>20</v>
      </c>
      <c r="B92" s="3751"/>
      <c r="C92" s="496" t="s">
        <v>2013</v>
      </c>
      <c r="D92" s="496" t="s">
        <v>2014</v>
      </c>
      <c r="E92" s="520">
        <v>0.15</v>
      </c>
      <c r="F92" s="520">
        <v>20</v>
      </c>
    </row>
    <row r="93" spans="1:6" ht="13.5">
      <c r="A93" s="520">
        <v>21</v>
      </c>
      <c r="B93" s="3751"/>
      <c r="C93" s="496" t="s">
        <v>2015</v>
      </c>
      <c r="D93" s="496" t="s">
        <v>2016</v>
      </c>
      <c r="E93" s="520">
        <v>0.15</v>
      </c>
      <c r="F93" s="520">
        <v>20</v>
      </c>
    </row>
    <row r="94" spans="1:6" ht="13.5">
      <c r="A94" s="520">
        <v>22</v>
      </c>
      <c r="B94" s="3751"/>
      <c r="C94" s="496" t="s">
        <v>2017</v>
      </c>
      <c r="D94" s="496" t="s">
        <v>2018</v>
      </c>
      <c r="E94" s="520">
        <v>0.15</v>
      </c>
      <c r="F94" s="520">
        <v>20</v>
      </c>
    </row>
    <row r="95" spans="1:6" ht="36">
      <c r="A95" s="520">
        <v>23</v>
      </c>
      <c r="B95" s="3751"/>
      <c r="C95" s="496" t="s">
        <v>2019</v>
      </c>
      <c r="D95" s="496" t="s">
        <v>2020</v>
      </c>
      <c r="E95" s="520">
        <v>0.15</v>
      </c>
      <c r="F95" s="520">
        <v>20</v>
      </c>
    </row>
    <row r="96" spans="1:6" ht="13.5">
      <c r="A96" s="520">
        <v>24</v>
      </c>
      <c r="B96" s="3751"/>
      <c r="C96" s="496" t="s">
        <v>2021</v>
      </c>
      <c r="D96" s="496" t="s">
        <v>2022</v>
      </c>
      <c r="E96" s="520">
        <v>0.1</v>
      </c>
      <c r="F96" s="520">
        <v>15</v>
      </c>
    </row>
    <row r="97" spans="1:6" ht="13.5">
      <c r="A97" s="520">
        <v>25</v>
      </c>
      <c r="B97" s="3751"/>
      <c r="C97" s="496" t="s">
        <v>2023</v>
      </c>
      <c r="D97" s="496" t="s">
        <v>2024</v>
      </c>
      <c r="E97" s="520">
        <v>0.1</v>
      </c>
      <c r="F97" s="520">
        <v>15</v>
      </c>
    </row>
    <row r="98" spans="1:6" ht="24">
      <c r="A98" s="520">
        <v>26</v>
      </c>
      <c r="B98" s="3751"/>
      <c r="C98" s="496" t="s">
        <v>2025</v>
      </c>
      <c r="D98" s="496" t="s">
        <v>2026</v>
      </c>
      <c r="E98" s="520">
        <v>0.1</v>
      </c>
      <c r="F98" s="520">
        <v>15</v>
      </c>
    </row>
    <row r="99" spans="1:6" ht="24">
      <c r="A99" s="520">
        <v>27</v>
      </c>
      <c r="B99" s="3751"/>
      <c r="C99" s="496" t="s">
        <v>2027</v>
      </c>
      <c r="D99" s="496" t="s">
        <v>2028</v>
      </c>
      <c r="E99" s="520">
        <v>0.1</v>
      </c>
      <c r="F99" s="520">
        <v>15</v>
      </c>
    </row>
    <row r="100" spans="1:6" ht="13.5">
      <c r="A100" s="520">
        <v>28</v>
      </c>
      <c r="B100" s="3751"/>
      <c r="C100" s="496" t="s">
        <v>2029</v>
      </c>
      <c r="D100" s="496" t="s">
        <v>2030</v>
      </c>
      <c r="E100" s="520">
        <v>0.1</v>
      </c>
      <c r="F100" s="520">
        <v>15</v>
      </c>
    </row>
    <row r="101" spans="1:6" ht="13.5">
      <c r="A101" s="520">
        <v>29</v>
      </c>
      <c r="B101" s="3751"/>
      <c r="C101" s="496" t="s">
        <v>2031</v>
      </c>
      <c r="D101" s="496" t="s">
        <v>2032</v>
      </c>
      <c r="E101" s="520">
        <v>0.1</v>
      </c>
      <c r="F101" s="520">
        <v>15</v>
      </c>
    </row>
    <row r="102" spans="1:6" ht="13.5">
      <c r="A102" s="520">
        <v>30</v>
      </c>
      <c r="B102" s="3751"/>
      <c r="C102" s="496" t="s">
        <v>2033</v>
      </c>
      <c r="D102" s="496" t="s">
        <v>2034</v>
      </c>
      <c r="E102" s="520">
        <v>0.1</v>
      </c>
      <c r="F102" s="520">
        <v>15</v>
      </c>
    </row>
    <row r="103" spans="1:6" ht="24">
      <c r="A103" s="520">
        <v>31</v>
      </c>
      <c r="B103" s="3751"/>
      <c r="C103" s="496" t="s">
        <v>2035</v>
      </c>
      <c r="D103" s="496" t="s">
        <v>2036</v>
      </c>
      <c r="E103" s="520">
        <v>0.1</v>
      </c>
      <c r="F103" s="520">
        <v>15</v>
      </c>
    </row>
    <row r="104" spans="1:6" ht="24">
      <c r="A104" s="520">
        <v>32</v>
      </c>
      <c r="B104" s="3751"/>
      <c r="C104" s="496" t="s">
        <v>2037</v>
      </c>
      <c r="D104" s="496" t="s">
        <v>2038</v>
      </c>
      <c r="E104" s="520">
        <v>0.1</v>
      </c>
      <c r="F104" s="520">
        <v>15</v>
      </c>
    </row>
    <row r="105" spans="1:6" ht="24">
      <c r="A105" s="520">
        <v>33</v>
      </c>
      <c r="B105" s="3751"/>
      <c r="C105" s="496" t="s">
        <v>2039</v>
      </c>
      <c r="D105" s="496" t="s">
        <v>2040</v>
      </c>
      <c r="E105" s="520">
        <v>0.1</v>
      </c>
      <c r="F105" s="520">
        <v>15</v>
      </c>
    </row>
    <row r="106" spans="1:6" ht="24">
      <c r="A106" s="520">
        <v>34</v>
      </c>
      <c r="B106" s="3754"/>
      <c r="C106" s="496" t="s">
        <v>2041</v>
      </c>
      <c r="D106" s="496" t="s">
        <v>2042</v>
      </c>
      <c r="E106" s="520">
        <v>0.1</v>
      </c>
      <c r="F106" s="520">
        <v>15</v>
      </c>
    </row>
    <row r="107" spans="1:6" ht="24">
      <c r="A107" s="520">
        <v>35</v>
      </c>
      <c r="B107" s="3753" t="s">
        <v>2043</v>
      </c>
      <c r="C107" s="520" t="s">
        <v>2044</v>
      </c>
      <c r="D107" s="496" t="s">
        <v>2045</v>
      </c>
      <c r="E107" s="520">
        <v>0.15</v>
      </c>
      <c r="F107" s="520">
        <v>20</v>
      </c>
    </row>
    <row r="108" spans="1:6" ht="13.5">
      <c r="A108" s="520">
        <v>36</v>
      </c>
      <c r="B108" s="3751"/>
      <c r="C108" s="520" t="s">
        <v>2046</v>
      </c>
      <c r="D108" s="496" t="s">
        <v>2047</v>
      </c>
      <c r="E108" s="520">
        <v>0.15</v>
      </c>
      <c r="F108" s="520">
        <v>20</v>
      </c>
    </row>
    <row r="109" spans="1:6" ht="13.5">
      <c r="A109" s="520">
        <v>37</v>
      </c>
      <c r="B109" s="3751"/>
      <c r="C109" s="520" t="s">
        <v>2048</v>
      </c>
      <c r="D109" s="496" t="s">
        <v>2049</v>
      </c>
      <c r="E109" s="520">
        <v>0.15</v>
      </c>
      <c r="F109" s="520">
        <v>20</v>
      </c>
    </row>
    <row r="110" spans="1:6" ht="13.5">
      <c r="A110" s="520">
        <v>38</v>
      </c>
      <c r="B110" s="3751"/>
      <c r="C110" s="520" t="s">
        <v>2050</v>
      </c>
      <c r="D110" s="496" t="s">
        <v>2051</v>
      </c>
      <c r="E110" s="520">
        <v>0.1</v>
      </c>
      <c r="F110" s="520">
        <v>15</v>
      </c>
    </row>
    <row r="111" spans="1:6" ht="24">
      <c r="A111" s="520">
        <v>39</v>
      </c>
      <c r="B111" s="3751"/>
      <c r="C111" s="520" t="s">
        <v>2052</v>
      </c>
      <c r="D111" s="496" t="s">
        <v>2053</v>
      </c>
      <c r="E111" s="520">
        <v>0.1</v>
      </c>
      <c r="F111" s="520">
        <v>15</v>
      </c>
    </row>
    <row r="112" spans="1:6" ht="24">
      <c r="A112" s="520">
        <v>40</v>
      </c>
      <c r="B112" s="3754"/>
      <c r="C112" s="520" t="s">
        <v>2054</v>
      </c>
      <c r="D112" s="496" t="s">
        <v>2055</v>
      </c>
      <c r="E112" s="520">
        <v>0.1</v>
      </c>
      <c r="F112" s="520">
        <v>15</v>
      </c>
    </row>
    <row r="113" spans="1:6" ht="13.5">
      <c r="A113" s="520">
        <v>41</v>
      </c>
      <c r="B113" s="3755" t="s">
        <v>2056</v>
      </c>
      <c r="C113" s="520" t="s">
        <v>2057</v>
      </c>
      <c r="D113" s="496" t="s">
        <v>2058</v>
      </c>
      <c r="E113" s="520">
        <v>0.1</v>
      </c>
      <c r="F113" s="520">
        <v>15</v>
      </c>
    </row>
    <row r="114" spans="1:6" ht="13.5">
      <c r="A114" s="520">
        <v>42</v>
      </c>
      <c r="B114" s="3755"/>
      <c r="C114" s="520" t="s">
        <v>2059</v>
      </c>
      <c r="D114" s="496" t="s">
        <v>2060</v>
      </c>
      <c r="E114" s="520">
        <v>0.1</v>
      </c>
      <c r="F114" s="520">
        <v>15</v>
      </c>
    </row>
    <row r="115" spans="1:6" ht="24">
      <c r="A115" s="520">
        <v>43</v>
      </c>
      <c r="B115" s="3755"/>
      <c r="C115" s="520" t="s">
        <v>2061</v>
      </c>
      <c r="D115" s="496" t="s">
        <v>2062</v>
      </c>
      <c r="E115" s="520">
        <v>0.1</v>
      </c>
      <c r="F115" s="520">
        <v>15</v>
      </c>
    </row>
    <row r="116" spans="1:6" ht="13.5">
      <c r="A116" s="520">
        <v>44</v>
      </c>
      <c r="B116" s="3753" t="s">
        <v>2063</v>
      </c>
      <c r="C116" s="520" t="s">
        <v>2064</v>
      </c>
      <c r="D116" s="496" t="s">
        <v>2065</v>
      </c>
      <c r="E116" s="520">
        <v>0.1</v>
      </c>
      <c r="F116" s="520">
        <v>15</v>
      </c>
    </row>
    <row r="117" spans="1:6" ht="24">
      <c r="A117" s="520">
        <v>45</v>
      </c>
      <c r="B117" s="3754"/>
      <c r="C117" s="496" t="s">
        <v>2066</v>
      </c>
      <c r="D117" s="496" t="s">
        <v>2067</v>
      </c>
      <c r="E117" s="520">
        <v>0.1</v>
      </c>
      <c r="F117" s="520">
        <v>15</v>
      </c>
    </row>
    <row r="118" spans="1:6" ht="24">
      <c r="A118" s="520">
        <v>46</v>
      </c>
      <c r="B118" s="3753" t="s">
        <v>2068</v>
      </c>
      <c r="C118" s="520" t="s">
        <v>2069</v>
      </c>
      <c r="D118" s="496" t="s">
        <v>2070</v>
      </c>
      <c r="E118" s="520">
        <v>0.1</v>
      </c>
      <c r="F118" s="520">
        <v>15</v>
      </c>
    </row>
    <row r="119" spans="1:6" ht="24">
      <c r="A119" s="520">
        <v>47</v>
      </c>
      <c r="B119" s="3754"/>
      <c r="C119" s="520" t="s">
        <v>2071</v>
      </c>
      <c r="D119" s="496" t="s">
        <v>2072</v>
      </c>
      <c r="E119" s="520">
        <v>0.1</v>
      </c>
      <c r="F119" s="520">
        <v>15</v>
      </c>
    </row>
    <row r="120" spans="1:6" ht="13.5">
      <c r="A120" s="520">
        <v>48</v>
      </c>
      <c r="B120" s="3753" t="s">
        <v>2073</v>
      </c>
      <c r="C120" s="520" t="s">
        <v>2074</v>
      </c>
      <c r="D120" s="496" t="s">
        <v>2075</v>
      </c>
      <c r="E120" s="520">
        <v>0.1</v>
      </c>
      <c r="F120" s="520">
        <v>15</v>
      </c>
    </row>
    <row r="121" spans="1:6" ht="13.5">
      <c r="A121" s="520">
        <v>49</v>
      </c>
      <c r="B121" s="3754"/>
      <c r="C121" s="520" t="s">
        <v>2076</v>
      </c>
      <c r="D121" s="496" t="s">
        <v>2077</v>
      </c>
      <c r="E121" s="520">
        <v>0.1</v>
      </c>
      <c r="F121" s="520">
        <v>15</v>
      </c>
    </row>
    <row r="122" spans="1:6" ht="24">
      <c r="A122" s="520">
        <v>50</v>
      </c>
      <c r="B122" s="3755" t="s">
        <v>2078</v>
      </c>
      <c r="C122" s="520" t="s">
        <v>2079</v>
      </c>
      <c r="D122" s="496" t="s">
        <v>2080</v>
      </c>
      <c r="E122" s="520">
        <v>0.1</v>
      </c>
      <c r="F122" s="520">
        <v>15</v>
      </c>
    </row>
    <row r="123" spans="1:6" ht="24">
      <c r="A123" s="520">
        <v>51</v>
      </c>
      <c r="B123" s="3755"/>
      <c r="C123" s="520" t="s">
        <v>2081</v>
      </c>
      <c r="D123" s="496" t="s">
        <v>2082</v>
      </c>
      <c r="E123" s="520">
        <v>0.1</v>
      </c>
      <c r="F123" s="520">
        <v>15</v>
      </c>
    </row>
    <row r="124" spans="1:6" ht="24">
      <c r="A124" s="520">
        <v>52</v>
      </c>
      <c r="B124" s="3755" t="s">
        <v>2083</v>
      </c>
      <c r="C124" s="520" t="s">
        <v>2084</v>
      </c>
      <c r="D124" s="496" t="s">
        <v>2085</v>
      </c>
      <c r="E124" s="520">
        <v>0.1</v>
      </c>
      <c r="F124" s="520">
        <v>15</v>
      </c>
    </row>
    <row r="125" spans="1:6" ht="24">
      <c r="A125" s="520">
        <v>53</v>
      </c>
      <c r="B125" s="3755"/>
      <c r="C125" s="520" t="s">
        <v>2086</v>
      </c>
      <c r="D125" s="496" t="s">
        <v>2087</v>
      </c>
      <c r="E125" s="520">
        <v>0.1</v>
      </c>
      <c r="F125" s="520">
        <v>15</v>
      </c>
    </row>
    <row r="126" spans="1:6" ht="13.5">
      <c r="A126" s="520">
        <v>54</v>
      </c>
      <c r="B126" s="520" t="s">
        <v>2088</v>
      </c>
      <c r="C126" s="520" t="s">
        <v>2089</v>
      </c>
      <c r="D126" s="496" t="s">
        <v>2090</v>
      </c>
      <c r="E126" s="520">
        <v>0.1</v>
      </c>
      <c r="F126" s="520">
        <v>15</v>
      </c>
    </row>
    <row r="127" spans="1:6" ht="13.5">
      <c r="A127" s="520">
        <v>55</v>
      </c>
      <c r="B127" s="3755" t="s">
        <v>2091</v>
      </c>
      <c r="C127" s="520" t="s">
        <v>2092</v>
      </c>
      <c r="D127" s="496" t="s">
        <v>2093</v>
      </c>
      <c r="E127" s="520">
        <v>0.1</v>
      </c>
      <c r="F127" s="520">
        <v>15</v>
      </c>
    </row>
    <row r="128" spans="1:6" ht="13.5">
      <c r="A128" s="520">
        <v>56</v>
      </c>
      <c r="B128" s="3755"/>
      <c r="C128" s="520" t="s">
        <v>2094</v>
      </c>
      <c r="D128" s="496" t="s">
        <v>2095</v>
      </c>
      <c r="E128" s="520">
        <v>0.1</v>
      </c>
      <c r="F128" s="520">
        <v>15</v>
      </c>
    </row>
    <row r="129" spans="1:6" ht="24">
      <c r="A129" s="520">
        <v>57</v>
      </c>
      <c r="B129" s="3755"/>
      <c r="C129" s="520" t="s">
        <v>2096</v>
      </c>
      <c r="D129" s="496" t="s">
        <v>2097</v>
      </c>
      <c r="E129" s="520">
        <v>0.1</v>
      </c>
      <c r="F129" s="520">
        <v>15</v>
      </c>
    </row>
    <row r="130" spans="1:6" ht="24">
      <c r="A130" s="520">
        <v>58</v>
      </c>
      <c r="B130" s="3755" t="s">
        <v>2098</v>
      </c>
      <c r="C130" s="520" t="s">
        <v>2099</v>
      </c>
      <c r="D130" s="496" t="s">
        <v>2100</v>
      </c>
      <c r="E130" s="520">
        <v>0.1</v>
      </c>
      <c r="F130" s="520">
        <v>15</v>
      </c>
    </row>
    <row r="131" spans="1:6" ht="13.5">
      <c r="A131" s="520">
        <v>59</v>
      </c>
      <c r="B131" s="3755"/>
      <c r="C131" s="520" t="s">
        <v>2101</v>
      </c>
      <c r="D131" s="496" t="s">
        <v>2102</v>
      </c>
      <c r="E131" s="520">
        <v>0.1</v>
      </c>
      <c r="F131" s="520">
        <v>15</v>
      </c>
    </row>
    <row r="132" spans="1:6" ht="13.5">
      <c r="A132" s="520">
        <v>60</v>
      </c>
      <c r="B132" s="3753" t="s">
        <v>2103</v>
      </c>
      <c r="C132" s="520" t="s">
        <v>2104</v>
      </c>
      <c r="D132" s="496" t="s">
        <v>2105</v>
      </c>
      <c r="E132" s="520">
        <v>0.1</v>
      </c>
      <c r="F132" s="520">
        <v>15</v>
      </c>
    </row>
    <row r="133" spans="1:6" ht="13.5">
      <c r="A133" s="520">
        <v>61</v>
      </c>
      <c r="B133" s="3754"/>
      <c r="C133" s="520" t="s">
        <v>2106</v>
      </c>
      <c r="D133" s="496" t="s">
        <v>2107</v>
      </c>
      <c r="E133" s="520">
        <v>0.1</v>
      </c>
      <c r="F133" s="520">
        <v>15</v>
      </c>
    </row>
    <row r="134" spans="1:6" ht="24">
      <c r="A134" s="520">
        <v>62</v>
      </c>
      <c r="B134" s="520" t="s">
        <v>2108</v>
      </c>
      <c r="C134" s="520" t="s">
        <v>2109</v>
      </c>
      <c r="D134" s="496" t="s">
        <v>2110</v>
      </c>
      <c r="E134" s="520">
        <v>0.1</v>
      </c>
      <c r="F134" s="520">
        <v>15</v>
      </c>
    </row>
    <row r="135" spans="1:6" ht="13.5">
      <c r="A135" s="520">
        <v>63</v>
      </c>
      <c r="B135" s="3755" t="s">
        <v>2111</v>
      </c>
      <c r="C135" s="520" t="s">
        <v>2112</v>
      </c>
      <c r="D135" s="496" t="s">
        <v>2113</v>
      </c>
      <c r="E135" s="520">
        <v>0.1</v>
      </c>
      <c r="F135" s="520">
        <v>15</v>
      </c>
    </row>
    <row r="136" spans="1:6" ht="13.5">
      <c r="A136" s="520">
        <v>64</v>
      </c>
      <c r="B136" s="3755"/>
      <c r="C136" s="520" t="s">
        <v>2114</v>
      </c>
      <c r="D136" s="496" t="s">
        <v>2115</v>
      </c>
      <c r="E136" s="520">
        <v>0.1</v>
      </c>
      <c r="F136" s="520">
        <v>15</v>
      </c>
    </row>
    <row r="137" spans="1:6" ht="13.5">
      <c r="A137" s="520">
        <v>65</v>
      </c>
      <c r="B137" s="520" t="s">
        <v>2116</v>
      </c>
      <c r="C137" s="520" t="s">
        <v>2117</v>
      </c>
      <c r="D137" s="496" t="s">
        <v>2118</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2119</v>
      </c>
      <c r="B1" s="461"/>
      <c r="C1" s="461"/>
      <c r="D1" s="461"/>
      <c r="E1" s="461"/>
      <c r="F1" s="461"/>
      <c r="G1" s="461"/>
      <c r="H1" s="461"/>
      <c r="I1" s="461"/>
      <c r="J1" s="461"/>
      <c r="K1" s="461"/>
      <c r="L1" s="461"/>
      <c r="M1" s="461"/>
      <c r="N1" s="468"/>
    </row>
    <row r="2" spans="1:20">
      <c r="A2" s="462" t="s">
        <v>2120</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2121</v>
      </c>
      <c r="R2" s="473" t="s">
        <v>2122</v>
      </c>
      <c r="S2" s="473" t="s">
        <v>2123</v>
      </c>
      <c r="T2" s="473" t="s">
        <v>2124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2125</v>
      </c>
      <c r="B93" s="461"/>
      <c r="C93" s="461"/>
      <c r="D93" s="461"/>
      <c r="E93" s="461"/>
      <c r="F93" s="461"/>
      <c r="G93" s="461"/>
      <c r="H93" s="461"/>
      <c r="I93" s="461"/>
      <c r="J93" s="461"/>
      <c r="K93" s="461"/>
      <c r="L93" s="461"/>
      <c r="M93" s="461"/>
    </row>
    <row r="94" spans="1:20">
      <c r="A94" s="462" t="s">
        <v>2120</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2121</v>
      </c>
      <c r="R94" s="473" t="s">
        <v>2122</v>
      </c>
      <c r="S94" s="473" t="s">
        <v>2123</v>
      </c>
      <c r="T94" s="473" t="s">
        <v>2124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2126</v>
      </c>
      <c r="B185" s="461"/>
      <c r="C185" s="461"/>
      <c r="D185" s="461"/>
      <c r="E185" s="461"/>
      <c r="F185" s="461"/>
      <c r="G185" s="461"/>
      <c r="H185" s="461"/>
      <c r="I185" s="461"/>
      <c r="J185" s="461"/>
      <c r="K185" s="461"/>
      <c r="L185" s="461"/>
      <c r="M185" s="461"/>
    </row>
    <row r="186" spans="1:20">
      <c r="A186" s="462" t="s">
        <v>2120</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2121</v>
      </c>
      <c r="R186" s="473" t="s">
        <v>2122</v>
      </c>
      <c r="S186" s="473" t="s">
        <v>2123</v>
      </c>
      <c r="T186" s="473" t="s">
        <v>2124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2127</v>
      </c>
      <c r="B277" s="461"/>
      <c r="C277" s="461"/>
      <c r="D277" s="461"/>
      <c r="E277" s="461"/>
      <c r="F277" s="461"/>
      <c r="G277" s="461"/>
      <c r="H277" s="461"/>
      <c r="I277" s="461"/>
      <c r="J277" s="461"/>
      <c r="K277" s="461"/>
      <c r="L277" s="461"/>
      <c r="M277" s="461"/>
    </row>
    <row r="278" spans="1:21">
      <c r="A278" s="462" t="s">
        <v>2120</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2121</v>
      </c>
      <c r="R278" s="473" t="s">
        <v>2122</v>
      </c>
      <c r="S278" s="473" t="s">
        <v>2128</v>
      </c>
      <c r="T278" s="473" t="s">
        <v>2129</v>
      </c>
      <c r="U278" s="473" t="s">
        <v>2124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2130</v>
      </c>
      <c r="B369" s="477"/>
      <c r="C369" s="477"/>
      <c r="D369" s="477"/>
      <c r="E369" s="477"/>
      <c r="F369" s="477"/>
      <c r="G369" s="477"/>
      <c r="H369" s="477"/>
      <c r="I369" s="477"/>
      <c r="J369" s="477"/>
      <c r="K369" s="477"/>
      <c r="L369" s="477"/>
      <c r="M369" s="477"/>
    </row>
    <row r="370" spans="1:20">
      <c r="A370" s="462" t="s">
        <v>2120</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2121</v>
      </c>
      <c r="R370" s="473" t="s">
        <v>2122</v>
      </c>
      <c r="S370" s="473" t="s">
        <v>2123</v>
      </c>
      <c r="T370" s="473" t="s">
        <v>2124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2131</v>
      </c>
      <c r="B1" s="375"/>
      <c r="C1" s="376"/>
      <c r="D1" s="376"/>
      <c r="E1" s="376"/>
      <c r="F1" s="376"/>
      <c r="G1" s="377"/>
    </row>
    <row r="2" spans="1:7" s="366" customFormat="1" ht="18" customHeight="1">
      <c r="A2" s="378" t="s">
        <v>2132</v>
      </c>
      <c r="B2" s="379">
        <f ca="1">C52</f>
        <v>27769</v>
      </c>
      <c r="C2" s="380" t="s">
        <v>1423</v>
      </c>
      <c r="D2" s="377"/>
      <c r="E2" s="377"/>
      <c r="F2" s="377"/>
      <c r="G2" s="377"/>
    </row>
    <row r="3" spans="1:7" s="366" customFormat="1" ht="18" customHeight="1">
      <c r="A3" s="381" t="s">
        <v>2133</v>
      </c>
      <c r="B3" s="382">
        <f ca="1">ROUND(B2*10000/'数据-汇总表'!E3,0)</f>
        <v>5967978</v>
      </c>
      <c r="C3" s="380" t="s">
        <v>1605</v>
      </c>
      <c r="D3" s="377"/>
      <c r="E3" s="377"/>
      <c r="F3" s="377"/>
      <c r="G3" s="377"/>
    </row>
    <row r="4" spans="1:7" s="367" customFormat="1" ht="15.75">
      <c r="A4" s="383" t="s">
        <v>2134</v>
      </c>
      <c r="B4" s="384"/>
      <c r="C4" s="384"/>
      <c r="D4" s="384"/>
      <c r="E4" s="384"/>
      <c r="F4" s="384"/>
      <c r="G4" s="385"/>
    </row>
    <row r="5" spans="1:7" s="368" customFormat="1" ht="13.5" customHeight="1">
      <c r="A5" s="386" t="s">
        <v>987</v>
      </c>
      <c r="B5" s="387" t="s">
        <v>2135</v>
      </c>
      <c r="C5" s="388">
        <f>C6+C7+C8</f>
        <v>20610</v>
      </c>
      <c r="D5" s="388" t="s">
        <v>2136</v>
      </c>
      <c r="E5" s="389" t="s">
        <v>2137</v>
      </c>
      <c r="F5" s="389" t="s">
        <v>2138</v>
      </c>
      <c r="G5" s="390"/>
    </row>
    <row r="6" spans="1:7" s="368" customFormat="1" ht="13.5" customHeight="1">
      <c r="A6" s="391" t="s">
        <v>991</v>
      </c>
      <c r="B6" s="392" t="s">
        <v>2139</v>
      </c>
      <c r="C6" s="393">
        <v>20000</v>
      </c>
      <c r="D6" s="394"/>
      <c r="E6" s="395"/>
      <c r="F6" s="395"/>
      <c r="G6" s="396"/>
    </row>
    <row r="7" spans="1:7" s="368" customFormat="1" ht="13.5" customHeight="1">
      <c r="A7" s="391" t="s">
        <v>993</v>
      </c>
      <c r="B7" s="392" t="s">
        <v>2140</v>
      </c>
      <c r="C7" s="397">
        <f>ROUND(C6*F7,0)</f>
        <v>610</v>
      </c>
      <c r="D7" s="397"/>
      <c r="E7" s="395"/>
      <c r="F7" s="398">
        <f>'数据-取费表'!B48+'数据-取费表'!B49</f>
        <v>3.0499999999999999E-2</v>
      </c>
      <c r="G7" s="396"/>
    </row>
    <row r="8" spans="1:7" s="369" customFormat="1">
      <c r="A8" s="391" t="s">
        <v>995</v>
      </c>
      <c r="B8" s="392" t="s">
        <v>2141</v>
      </c>
      <c r="C8" s="397" t="str">
        <f>IF(G8="已包含在土地购买价格中","0",'数据-取费表'!B29)</f>
        <v>0</v>
      </c>
      <c r="D8" s="399"/>
      <c r="E8" s="397"/>
      <c r="F8" s="398"/>
      <c r="G8" s="400" t="s">
        <v>2142</v>
      </c>
    </row>
    <row r="9" spans="1:7" s="368" customFormat="1" ht="13.5" customHeight="1">
      <c r="A9" s="401" t="s">
        <v>997</v>
      </c>
      <c r="B9" s="402" t="s">
        <v>2143</v>
      </c>
      <c r="C9" s="403">
        <f>ROUND(D9*E9/10000,0)</f>
        <v>0</v>
      </c>
      <c r="D9" s="404">
        <f>'数据-汇总表'!E5</f>
        <v>0</v>
      </c>
      <c r="E9" s="403">
        <f>'数据-取费表'!B27</f>
        <v>0</v>
      </c>
      <c r="F9" s="398"/>
      <c r="G9" s="405"/>
    </row>
    <row r="10" spans="1:7" s="368" customFormat="1" ht="13.5" customHeight="1">
      <c r="A10" s="401" t="s">
        <v>1000</v>
      </c>
      <c r="B10" s="402" t="s">
        <v>2144</v>
      </c>
      <c r="C10" s="403">
        <f>ROUND(D10*E10/10000,0)</f>
        <v>1</v>
      </c>
      <c r="D10" s="404">
        <f>'数据-汇总表'!E6</f>
        <v>46.53</v>
      </c>
      <c r="E10" s="403">
        <f>'数据-取费表'!B28</f>
        <v>200</v>
      </c>
      <c r="F10" s="398"/>
      <c r="G10" s="405"/>
    </row>
    <row r="11" spans="1:7" s="368" customFormat="1" ht="13.5" hidden="1" customHeight="1">
      <c r="A11" s="406" t="s">
        <v>1002</v>
      </c>
      <c r="B11" s="392" t="s">
        <v>2145</v>
      </c>
      <c r="C11" s="388"/>
      <c r="D11" s="407"/>
      <c r="E11" s="395"/>
      <c r="F11" s="395"/>
      <c r="G11" s="396"/>
    </row>
    <row r="12" spans="1:7" s="368" customFormat="1" ht="13.5" hidden="1" customHeight="1">
      <c r="A12" s="406" t="s">
        <v>1004</v>
      </c>
      <c r="B12" s="392" t="s">
        <v>2146</v>
      </c>
      <c r="C12" s="388">
        <v>0</v>
      </c>
      <c r="D12" s="407"/>
      <c r="E12" s="408"/>
      <c r="F12" s="398">
        <v>3.0499999999999999E-2</v>
      </c>
      <c r="G12" s="396"/>
    </row>
    <row r="13" spans="1:7" s="368" customFormat="1" ht="13.5" hidden="1" customHeight="1">
      <c r="A13" s="406" t="s">
        <v>1005</v>
      </c>
      <c r="B13" s="392" t="s">
        <v>2147</v>
      </c>
      <c r="C13" s="388"/>
      <c r="D13" s="407"/>
      <c r="E13" s="395"/>
      <c r="F13" s="395"/>
      <c r="G13" s="396"/>
    </row>
    <row r="14" spans="1:7" s="368" customFormat="1" ht="13.5" hidden="1" customHeight="1">
      <c r="A14" s="406" t="s">
        <v>1007</v>
      </c>
      <c r="B14" s="392" t="s">
        <v>2141</v>
      </c>
      <c r="C14" s="388"/>
      <c r="D14" s="407"/>
      <c r="E14" s="395"/>
      <c r="F14" s="395"/>
      <c r="G14" s="396" t="s">
        <v>2148</v>
      </c>
    </row>
    <row r="15" spans="1:7" s="368" customFormat="1" ht="13.5" hidden="1" customHeight="1">
      <c r="A15" s="406" t="s">
        <v>1009</v>
      </c>
      <c r="B15" s="392" t="s">
        <v>2149</v>
      </c>
      <c r="C15" s="397"/>
      <c r="D15" s="407"/>
      <c r="E15" s="395"/>
      <c r="F15" s="395"/>
      <c r="G15" s="396" t="s">
        <v>2150</v>
      </c>
    </row>
    <row r="16" spans="1:7" s="368" customFormat="1" ht="13.5" hidden="1" customHeight="1">
      <c r="A16" s="406" t="s">
        <v>1012</v>
      </c>
      <c r="B16" s="392" t="s">
        <v>2141</v>
      </c>
      <c r="C16" s="397"/>
      <c r="D16" s="407"/>
      <c r="E16" s="395"/>
      <c r="F16" s="395"/>
      <c r="G16" s="396"/>
    </row>
    <row r="17" spans="1:7" s="368" customFormat="1" ht="13.5" hidden="1" customHeight="1">
      <c r="A17" s="406" t="s">
        <v>1013</v>
      </c>
      <c r="B17" s="392" t="s">
        <v>2151</v>
      </c>
      <c r="C17" s="409"/>
      <c r="D17" s="410"/>
      <c r="E17" s="409"/>
      <c r="F17" s="409"/>
      <c r="G17" s="396" t="s">
        <v>2150</v>
      </c>
    </row>
    <row r="18" spans="1:7" s="368" customFormat="1" ht="13.5" hidden="1" customHeight="1">
      <c r="A18" s="406" t="s">
        <v>1015</v>
      </c>
      <c r="B18" s="392" t="s">
        <v>2152</v>
      </c>
      <c r="C18" s="397">
        <v>0</v>
      </c>
      <c r="D18" s="407"/>
      <c r="E18" s="395"/>
      <c r="F18" s="398">
        <v>3.0499999999999999E-2</v>
      </c>
      <c r="G18" s="396" t="s">
        <v>2153</v>
      </c>
    </row>
    <row r="19" spans="1:7" s="369" customFormat="1" ht="13.5" customHeight="1">
      <c r="A19" s="411" t="s">
        <v>1707</v>
      </c>
      <c r="B19" s="387" t="s">
        <v>2154</v>
      </c>
      <c r="C19" s="388">
        <f>IF(G19="已包含在土地取得成本中","0",ROUND(D19*E19/10000,0))</f>
        <v>1</v>
      </c>
      <c r="D19" s="412">
        <f>'数据-汇总表'!E3</f>
        <v>46.53</v>
      </c>
      <c r="E19" s="388">
        <f>'数据-取费表'!B31</f>
        <v>200</v>
      </c>
      <c r="F19" s="413"/>
      <c r="G19" s="400" t="s">
        <v>2155</v>
      </c>
    </row>
    <row r="20" spans="1:7" s="368" customFormat="1" ht="13.5" customHeight="1">
      <c r="A20" s="411" t="s">
        <v>1743</v>
      </c>
      <c r="B20" s="387" t="s">
        <v>2156</v>
      </c>
      <c r="C20" s="414">
        <f>ROUND((C5+C19)*F20,0)</f>
        <v>412</v>
      </c>
      <c r="D20" s="414"/>
      <c r="E20" s="414"/>
      <c r="F20" s="415">
        <f>'数据-取费表'!B37</f>
        <v>0.02</v>
      </c>
      <c r="G20" s="416" t="s">
        <v>2157</v>
      </c>
    </row>
    <row r="21" spans="1:7" s="368" customFormat="1" ht="13.5" customHeight="1">
      <c r="A21" s="411" t="s">
        <v>1748</v>
      </c>
      <c r="B21" s="387" t="s">
        <v>2158</v>
      </c>
      <c r="C21" s="417">
        <f>F21</f>
        <v>0.02</v>
      </c>
      <c r="D21" s="418" t="s">
        <v>2159</v>
      </c>
      <c r="E21" s="414"/>
      <c r="F21" s="415">
        <f>'数据-取费表'!B38</f>
        <v>0.02</v>
      </c>
      <c r="G21" s="419" t="s">
        <v>2160</v>
      </c>
    </row>
    <row r="22" spans="1:7" s="368" customFormat="1" ht="13.5" customHeight="1">
      <c r="A22" s="411" t="s">
        <v>1757</v>
      </c>
      <c r="B22" s="387" t="s">
        <v>2161</v>
      </c>
      <c r="C22" s="420">
        <f ca="1">ROUND(SUM(C23:C25),0)</f>
        <v>1461</v>
      </c>
      <c r="D22" s="417">
        <f ca="1">C26</f>
        <v>6.9999999999999999E-4</v>
      </c>
      <c r="E22" s="418" t="s">
        <v>2159</v>
      </c>
      <c r="F22" s="421">
        <f ca="1">'数据-取费表'!B40</f>
        <v>3.4500000000000003E-2</v>
      </c>
      <c r="G22" s="416" t="str">
        <f>IF('数据-取费表'!B22&lt;=1,"单利计息","复利计息")</f>
        <v>复利计息</v>
      </c>
    </row>
    <row r="23" spans="1:7" s="368" customFormat="1" ht="13.5" customHeight="1">
      <c r="A23" s="422" t="s">
        <v>991</v>
      </c>
      <c r="B23" s="392" t="s">
        <v>2162</v>
      </c>
      <c r="C23" s="423">
        <f ca="1">ROUND(IF('数据-取费表'!B22&lt;=1,C5*F22*'数据-取费表'!B23,C5*(POWER((1+F22),'数据-取费表'!B23)-1)),0)</f>
        <v>1447</v>
      </c>
      <c r="D23" s="424"/>
      <c r="E23" s="424"/>
      <c r="F23" s="425"/>
      <c r="G23" s="426" t="s">
        <v>2163</v>
      </c>
    </row>
    <row r="24" spans="1:7" s="368" customFormat="1" ht="13.5" customHeight="1">
      <c r="A24" s="422" t="s">
        <v>993</v>
      </c>
      <c r="B24" s="392" t="s">
        <v>2164</v>
      </c>
      <c r="C24" s="423">
        <f ca="1">ROUND(IF('数据-取费表'!B22&lt;=1,C19*F22*('数据-取费表'!B19/2+'数据-取费表'!B21),C19*(POWER((1+F22),('数据-取费表'!B19/2+'数据-取费表'!B21))-1)),0)</f>
        <v>0</v>
      </c>
      <c r="D24" s="424"/>
      <c r="E24" s="424"/>
      <c r="F24" s="425"/>
      <c r="G24" s="426" t="s">
        <v>2165</v>
      </c>
    </row>
    <row r="25" spans="1:7" s="368" customFormat="1" ht="24">
      <c r="A25" s="422" t="s">
        <v>995</v>
      </c>
      <c r="B25" s="392" t="s">
        <v>2166</v>
      </c>
      <c r="C25" s="423">
        <f ca="1">ROUND(IF('数据-取费表'!B22&lt;=1,C20*F22*'数据-取费表'!B23/2,C20*(POWER((1+F22),'数据-取费表'!B23/2)-1)),0)</f>
        <v>14</v>
      </c>
      <c r="D25" s="424"/>
      <c r="E25" s="427"/>
      <c r="F25" s="425"/>
      <c r="G25" s="428" t="s">
        <v>2167</v>
      </c>
    </row>
    <row r="26" spans="1:7" s="368" customFormat="1">
      <c r="A26" s="422" t="s">
        <v>1035</v>
      </c>
      <c r="B26" s="392" t="s">
        <v>2168</v>
      </c>
      <c r="C26" s="424">
        <f ca="1">ROUND(IF('数据-取费表'!B22&lt;=1,F21*F22*'数据-取费表'!B23/2,F21*(POWER((1+F22),'数据-取费表'!B23/2)-1)),4)</f>
        <v>6.9999999999999999E-4</v>
      </c>
      <c r="D26" s="424"/>
      <c r="E26" s="427"/>
      <c r="F26" s="425"/>
      <c r="G26" s="429"/>
    </row>
    <row r="27" spans="1:7" s="368" customFormat="1" ht="24.75">
      <c r="A27" s="411" t="s">
        <v>1766</v>
      </c>
      <c r="B27" s="430" t="s">
        <v>2169</v>
      </c>
      <c r="C27" s="431">
        <f>C28</f>
        <v>3153</v>
      </c>
      <c r="D27" s="417">
        <f>C29</f>
        <v>3.0000000000000001E-3</v>
      </c>
      <c r="E27" s="418" t="s">
        <v>2159</v>
      </c>
      <c r="F27" s="432">
        <f>'数据-取费表'!Q16</f>
        <v>0.15</v>
      </c>
      <c r="G27" s="433" t="s">
        <v>2170</v>
      </c>
    </row>
    <row r="28" spans="1:7" s="368" customFormat="1" ht="13.5" customHeight="1">
      <c r="A28" s="422" t="s">
        <v>991</v>
      </c>
      <c r="B28" s="434" t="s">
        <v>2171</v>
      </c>
      <c r="C28" s="435">
        <f>ROUND((C5+C19+C20)*F27*'数据-取费表'!B21/'数据-取费表'!B20,0)</f>
        <v>3153</v>
      </c>
      <c r="D28" s="417"/>
      <c r="E28" s="418"/>
      <c r="F28" s="432"/>
      <c r="G28" s="433"/>
    </row>
    <row r="29" spans="1:7" s="368" customFormat="1" ht="13.5" customHeight="1">
      <c r="A29" s="422" t="s">
        <v>993</v>
      </c>
      <c r="B29" s="434" t="s">
        <v>2172</v>
      </c>
      <c r="C29" s="424">
        <f>ROUND(C21*F27*'数据-取费表'!B21/'数据-取费表'!B20,4)</f>
        <v>3.0000000000000001E-3</v>
      </c>
      <c r="D29" s="417"/>
      <c r="E29" s="418"/>
      <c r="F29" s="432"/>
      <c r="G29" s="433"/>
    </row>
    <row r="30" spans="1:7" s="368" customFormat="1" ht="13.5" customHeight="1">
      <c r="A30" s="411" t="s">
        <v>2173</v>
      </c>
      <c r="B30" s="387" t="s">
        <v>2174</v>
      </c>
      <c r="C30" s="417">
        <f>F30</f>
        <v>5.5000000000000007E-2</v>
      </c>
      <c r="D30" s="418" t="s">
        <v>2175</v>
      </c>
      <c r="E30" s="427"/>
      <c r="F30" s="421">
        <f>'数据-取费表'!B41</f>
        <v>5.5000000000000007E-2</v>
      </c>
      <c r="G30" s="419" t="s">
        <v>2176</v>
      </c>
    </row>
    <row r="31" spans="1:7" ht="16.5" customHeight="1">
      <c r="A31" s="436">
        <v>1</v>
      </c>
      <c r="B31" s="387" t="s">
        <v>2177</v>
      </c>
      <c r="C31" s="388">
        <f ca="1">ROUND((C5+C19+C20+C22+C27)/(1-C21-D22-D27-C30/(1+'数据-取费表'!B42)),0)</f>
        <v>27748</v>
      </c>
      <c r="D31" s="437"/>
      <c r="E31" s="388"/>
      <c r="F31" s="438"/>
      <c r="G31" s="419" t="s">
        <v>2178</v>
      </c>
    </row>
    <row r="32" spans="1:7" s="367" customFormat="1" ht="15.75">
      <c r="A32" s="439" t="s">
        <v>2179</v>
      </c>
      <c r="B32" s="440"/>
      <c r="C32" s="440"/>
      <c r="D32" s="440"/>
      <c r="E32" s="440"/>
      <c r="F32" s="440"/>
      <c r="G32" s="441"/>
    </row>
    <row r="33" spans="1:7" s="368" customFormat="1" ht="13.5" customHeight="1">
      <c r="A33" s="386" t="s">
        <v>987</v>
      </c>
      <c r="B33" s="387" t="s">
        <v>2180</v>
      </c>
      <c r="C33" s="442">
        <f>SUM(C34:C38)</f>
        <v>21</v>
      </c>
      <c r="D33" s="414"/>
      <c r="E33" s="389"/>
      <c r="F33" s="427"/>
      <c r="G33" s="419"/>
    </row>
    <row r="34" spans="1:7" s="370" customFormat="1" ht="13.5" customHeight="1">
      <c r="A34" s="422" t="s">
        <v>991</v>
      </c>
      <c r="B34" s="392" t="s">
        <v>2181</v>
      </c>
      <c r="C34" s="397">
        <f>IF(F34=100%,'数据-取费表'!M16-SUMIF('数据-取费表'!C:C,"公共配套",'数据-取费表'!M:M),'数据-取费表'!O16-SUMIF('数据-取费表'!C:C,"公共配套",'数据-取费表'!O:O))</f>
        <v>19</v>
      </c>
      <c r="D34" s="394"/>
      <c r="E34" s="397"/>
      <c r="F34" s="443">
        <f>IF('数据-取费表'!B24=0,1,'数据-取费表'!N16)</f>
        <v>1</v>
      </c>
      <c r="G34" s="396" t="s">
        <v>2182</v>
      </c>
    </row>
    <row r="35" spans="1:7" ht="13.5" customHeight="1">
      <c r="A35" s="422" t="s">
        <v>993</v>
      </c>
      <c r="B35" s="392" t="s">
        <v>2183</v>
      </c>
      <c r="C35" s="397">
        <f>ROUND(C34*F35,0)</f>
        <v>1</v>
      </c>
      <c r="D35" s="397"/>
      <c r="E35" s="397"/>
      <c r="F35" s="444">
        <f>'数据-取费表'!B33</f>
        <v>0.03</v>
      </c>
      <c r="G35" s="396" t="s">
        <v>2184</v>
      </c>
    </row>
    <row r="36" spans="1:7" ht="24">
      <c r="A36" s="422" t="s">
        <v>995</v>
      </c>
      <c r="B36" s="392" t="s">
        <v>2185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2186</v>
      </c>
    </row>
    <row r="37" spans="1:7" s="370" customFormat="1" ht="13.5" customHeight="1">
      <c r="A37" s="422" t="s">
        <v>1035</v>
      </c>
      <c r="B37" s="392" t="s">
        <v>2187</v>
      </c>
      <c r="C37" s="435">
        <f>ROUND(E37*D37*F34/10000,0)</f>
        <v>1</v>
      </c>
      <c r="D37" s="394">
        <f>'数据-汇总表'!E3</f>
        <v>46.53</v>
      </c>
      <c r="E37" s="435">
        <f>'数据-取费表'!B35</f>
        <v>200</v>
      </c>
      <c r="F37" s="444"/>
      <c r="G37" s="446" t="s">
        <v>2188</v>
      </c>
    </row>
    <row r="38" spans="1:7" ht="13.5" customHeight="1">
      <c r="A38" s="422" t="s">
        <v>1057</v>
      </c>
      <c r="B38" s="392" t="s">
        <v>2146</v>
      </c>
      <c r="C38" s="397">
        <f>ROUND(C34*F38,0)</f>
        <v>0</v>
      </c>
      <c r="D38" s="397"/>
      <c r="E38" s="397"/>
      <c r="F38" s="444">
        <f>'数据-取费表'!B36</f>
        <v>1.4999999999999999E-2</v>
      </c>
      <c r="G38" s="396" t="s">
        <v>2184</v>
      </c>
    </row>
    <row r="39" spans="1:7" s="368" customFormat="1" ht="13.5" customHeight="1">
      <c r="A39" s="411" t="s">
        <v>1707</v>
      </c>
      <c r="B39" s="387" t="s">
        <v>2156</v>
      </c>
      <c r="C39" s="414">
        <f>ROUND(C33*F20,0)</f>
        <v>0</v>
      </c>
      <c r="D39" s="414"/>
      <c r="E39" s="414"/>
      <c r="F39" s="415"/>
      <c r="G39" s="416" t="s">
        <v>2189</v>
      </c>
    </row>
    <row r="40" spans="1:7" s="368" customFormat="1" ht="13.5" customHeight="1">
      <c r="A40" s="411" t="s">
        <v>1743</v>
      </c>
      <c r="B40" s="387" t="s">
        <v>2158</v>
      </c>
      <c r="C40" s="447">
        <f>F21</f>
        <v>0.02</v>
      </c>
      <c r="D40" s="418" t="s">
        <v>2190</v>
      </c>
      <c r="E40" s="414"/>
      <c r="F40" s="415"/>
      <c r="G40" s="419" t="s">
        <v>2191</v>
      </c>
    </row>
    <row r="41" spans="1:7" s="368" customFormat="1" ht="13.5" customHeight="1">
      <c r="A41" s="411" t="s">
        <v>1748</v>
      </c>
      <c r="B41" s="387" t="s">
        <v>2161</v>
      </c>
      <c r="C41" s="414">
        <f ca="1">ROUND(SUM(C42:C43),0)</f>
        <v>1</v>
      </c>
      <c r="D41" s="417">
        <f ca="1">C44</f>
        <v>6.9999999999999999E-4</v>
      </c>
      <c r="E41" s="418" t="s">
        <v>2190</v>
      </c>
      <c r="F41" s="421"/>
      <c r="G41" s="416" t="str">
        <f>IF('数据-取费表'!B22&lt;=1,"单利计息","复利计息")</f>
        <v>复利计息</v>
      </c>
    </row>
    <row r="42" spans="1:7" ht="13.5" customHeight="1">
      <c r="A42" s="422" t="s">
        <v>991</v>
      </c>
      <c r="B42" s="392" t="s">
        <v>2162</v>
      </c>
      <c r="C42" s="424">
        <f ca="1">ROUND(IF('数据-取费表'!B22&lt;=1,C33*F22*'数据-取费表'!B21/2,C33*(POWER((1+F22),'数据-取费表'!B21/2)-1)),0)</f>
        <v>1</v>
      </c>
      <c r="D42" s="424"/>
      <c r="E42" s="424"/>
      <c r="F42" s="425"/>
      <c r="G42" s="3618" t="s">
        <v>2192</v>
      </c>
    </row>
    <row r="43" spans="1:7" ht="13.5" customHeight="1">
      <c r="A43" s="422" t="s">
        <v>993</v>
      </c>
      <c r="B43" s="392" t="s">
        <v>2164</v>
      </c>
      <c r="C43" s="424">
        <f ca="1">ROUND(IF('数据-取费表'!B22&lt;=1,C39*F22*'数据-取费表'!B21/2,C39*(POWER((1+F22),'数据-取费表'!B21/2)-1)),0)</f>
        <v>0</v>
      </c>
      <c r="D43" s="424"/>
      <c r="E43" s="424"/>
      <c r="F43" s="425"/>
      <c r="G43" s="3619"/>
    </row>
    <row r="44" spans="1:7" ht="13.5" customHeight="1">
      <c r="A44" s="422" t="s">
        <v>995</v>
      </c>
      <c r="B44" s="392" t="s">
        <v>2166</v>
      </c>
      <c r="C44" s="424">
        <f ca="1">ROUND(IF('数据-取费表'!B22&lt;=1,C40*F22*'数据-取费表'!B21/2,C40*(POWER((1+F22),'数据-取费表'!B21/2)-1)),4)</f>
        <v>6.9999999999999999E-4</v>
      </c>
      <c r="D44" s="424"/>
      <c r="E44" s="424"/>
      <c r="F44" s="425"/>
      <c r="G44" s="3620"/>
    </row>
    <row r="45" spans="1:7" s="368" customFormat="1" ht="13.5" customHeight="1">
      <c r="A45" s="411" t="s">
        <v>1757</v>
      </c>
      <c r="B45" s="430" t="s">
        <v>2169</v>
      </c>
      <c r="C45" s="431">
        <f>C46</f>
        <v>3</v>
      </c>
      <c r="D45" s="417">
        <f>C47</f>
        <v>3.0000000000000001E-3</v>
      </c>
      <c r="E45" s="418" t="s">
        <v>2190</v>
      </c>
      <c r="F45" s="432"/>
      <c r="G45" s="433" t="s">
        <v>2193</v>
      </c>
    </row>
    <row r="46" spans="1:7" s="368" customFormat="1" ht="13.5" customHeight="1">
      <c r="A46" s="422" t="s">
        <v>991</v>
      </c>
      <c r="B46" s="434" t="s">
        <v>2194</v>
      </c>
      <c r="C46" s="435">
        <f>ROUND((C33+C39)*F27,0)</f>
        <v>3</v>
      </c>
      <c r="D46" s="448"/>
      <c r="E46" s="418"/>
      <c r="F46" s="432"/>
      <c r="G46" s="433"/>
    </row>
    <row r="47" spans="1:7" s="368" customFormat="1" ht="13.5" customHeight="1">
      <c r="A47" s="422" t="s">
        <v>993</v>
      </c>
      <c r="B47" s="434" t="s">
        <v>2195</v>
      </c>
      <c r="C47" s="424">
        <f>ROUND(C40*F27,4)</f>
        <v>3.0000000000000001E-3</v>
      </c>
      <c r="D47" s="448"/>
      <c r="E47" s="418"/>
      <c r="F47" s="432"/>
      <c r="G47" s="433"/>
    </row>
    <row r="48" spans="1:7" s="368" customFormat="1" ht="13.5" customHeight="1">
      <c r="A48" s="411" t="s">
        <v>1766</v>
      </c>
      <c r="B48" s="387" t="s">
        <v>2174</v>
      </c>
      <c r="C48" s="447">
        <f>F30</f>
        <v>5.5000000000000007E-2</v>
      </c>
      <c r="D48" s="418" t="s">
        <v>2196</v>
      </c>
      <c r="E48" s="414"/>
      <c r="F48" s="421"/>
      <c r="G48" s="419" t="s">
        <v>2197</v>
      </c>
    </row>
    <row r="49" spans="1:7" ht="16.5" customHeight="1">
      <c r="A49" s="411" t="s">
        <v>2173</v>
      </c>
      <c r="B49" s="387" t="s">
        <v>2198</v>
      </c>
      <c r="C49" s="414">
        <f ca="1">ROUND((C33+C39+C41+C45)/(1-C40-D41-D45-C48/(1+'数据-取费表'!B42)),0)</f>
        <v>27</v>
      </c>
      <c r="D49" s="414"/>
      <c r="E49" s="414"/>
      <c r="F49" s="449"/>
      <c r="G49" s="419" t="s">
        <v>2199</v>
      </c>
    </row>
    <row r="50" spans="1:7" s="370" customFormat="1" ht="24">
      <c r="A50" s="411" t="s">
        <v>2200</v>
      </c>
      <c r="B50" s="387" t="s">
        <v>2201</v>
      </c>
      <c r="C50" s="414"/>
      <c r="D50" s="414"/>
      <c r="E50" s="414"/>
      <c r="F50" s="449">
        <f>IF('数据-取费表'!B24=0,'数据-取费表'!N16,1)</f>
        <v>0.77</v>
      </c>
      <c r="G50" s="433" t="s">
        <v>2202</v>
      </c>
    </row>
    <row r="51" spans="1:7" ht="16.5" customHeight="1">
      <c r="A51" s="411" t="s">
        <v>2203</v>
      </c>
      <c r="B51" s="387" t="s">
        <v>2204</v>
      </c>
      <c r="C51" s="414">
        <f ca="1">ROUND(C49*F50,0)</f>
        <v>21</v>
      </c>
      <c r="D51" s="414"/>
      <c r="E51" s="414"/>
      <c r="F51" s="449"/>
      <c r="G51" s="419" t="s">
        <v>2205</v>
      </c>
    </row>
    <row r="52" spans="1:7" s="367" customFormat="1" ht="15.75">
      <c r="A52" s="450" t="s">
        <v>2206</v>
      </c>
      <c r="B52" s="451"/>
      <c r="C52" s="452">
        <f ca="1">C31+C51</f>
        <v>27769</v>
      </c>
      <c r="D52" s="451"/>
      <c r="E52" s="451"/>
      <c r="F52" s="451"/>
      <c r="G52" s="453"/>
    </row>
    <row r="55" spans="1:7" ht="15">
      <c r="B55" s="454" t="s">
        <v>2207</v>
      </c>
      <c r="C55" s="455"/>
    </row>
    <row r="56" spans="1:7">
      <c r="B56" s="456" t="s">
        <v>2208</v>
      </c>
      <c r="C56" s="457">
        <f ca="1">ROUND(C51/C52,3)</f>
        <v>1E-3</v>
      </c>
    </row>
    <row r="57" spans="1:7">
      <c r="B57" s="456" t="s">
        <v>2209</v>
      </c>
      <c r="C57" s="458">
        <f ca="1">1-C56</f>
        <v>0.999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8">
      <c r="A3" s="3444" t="str">
        <f>IF(项目基本情况!B9="房地产市场价值","估价结果一览表（市场价值不需“结果表-1”）","估价结果一览表")</f>
        <v>估价结果一览表</v>
      </c>
      <c r="B3" s="3444"/>
      <c r="C3" s="3444"/>
      <c r="D3" s="3444"/>
      <c r="E3" s="3444"/>
    </row>
    <row r="4" spans="1:5" ht="18.75">
      <c r="A4" s="3382"/>
      <c r="B4" s="3445" t="s">
        <v>95</v>
      </c>
      <c r="C4" s="3445"/>
      <c r="D4" s="3445"/>
      <c r="E4" s="3382"/>
    </row>
    <row r="5" spans="1:5" ht="15.75">
      <c r="A5" s="3381"/>
      <c r="B5" s="3437" t="s">
        <v>96</v>
      </c>
      <c r="C5" s="3383" t="s">
        <v>97</v>
      </c>
      <c r="D5" s="3384">
        <f ca="1">结果表!H101</f>
        <v>106</v>
      </c>
      <c r="E5" s="3381"/>
    </row>
    <row r="6" spans="1:5" ht="15.75">
      <c r="A6" s="3381"/>
      <c r="B6" s="3437"/>
      <c r="C6" s="3383" t="s">
        <v>98</v>
      </c>
      <c r="D6" s="3384" t="str">
        <f ca="1">NUMBERSTRING(INT(D5*10000),2)&amp;"元整"</f>
        <v>壹佰零陆万元整</v>
      </c>
      <c r="E6" s="3381"/>
    </row>
    <row r="7" spans="1:5" ht="15.75">
      <c r="A7" s="3381"/>
      <c r="B7" s="3438"/>
      <c r="C7" s="3385" t="s">
        <v>99</v>
      </c>
      <c r="D7" s="3386">
        <f ca="1">结果表!H102</f>
        <v>22860</v>
      </c>
      <c r="E7" s="3381"/>
    </row>
    <row r="8" spans="1:5" ht="15.75">
      <c r="A8" s="3381"/>
      <c r="B8" s="3439" t="str">
        <f>结果表!E103</f>
        <v>2.估价师知悉的法定优先受偿款</v>
      </c>
      <c r="C8" s="3387" t="s">
        <v>100</v>
      </c>
      <c r="D8" s="3386">
        <f>结果表!H103</f>
        <v>0</v>
      </c>
      <c r="E8" s="3381"/>
    </row>
    <row r="9" spans="1:5" ht="15.75">
      <c r="A9" s="3381"/>
      <c r="B9" s="3441"/>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6" t="str">
        <f>结果表!E107</f>
        <v>3.房地产抵押价值</v>
      </c>
      <c r="C13" s="3391" t="s">
        <v>97</v>
      </c>
      <c r="D13" s="3392">
        <f ca="1">结果表!H107</f>
        <v>106</v>
      </c>
      <c r="E13" s="3381"/>
    </row>
    <row r="14" spans="1:5" ht="15.75">
      <c r="A14" s="3381"/>
      <c r="B14" s="3437"/>
      <c r="C14" s="3383" t="s">
        <v>98</v>
      </c>
      <c r="D14" s="3384" t="str">
        <f ca="1">NUMBERSTRING(INT(D13*10000),2)&amp;"元整"</f>
        <v>壹佰零陆万元整</v>
      </c>
      <c r="E14" s="3381"/>
    </row>
    <row r="15" spans="1:5" ht="15">
      <c r="A15" s="3381"/>
      <c r="B15" s="3438"/>
      <c r="C15" s="3385" t="s">
        <v>99</v>
      </c>
      <c r="D15" s="3393">
        <f ca="1">结果表!H108</f>
        <v>22860</v>
      </c>
      <c r="E15" s="3381"/>
    </row>
    <row r="16" spans="1:5" ht="15">
      <c r="A16" s="3381"/>
      <c r="B16" s="3439" t="str">
        <f>结果表!E109</f>
        <v>——</v>
      </c>
      <c r="C16" s="3391" t="s">
        <v>97</v>
      </c>
      <c r="D16" s="3394" t="str">
        <f>结果表!H109</f>
        <v>——</v>
      </c>
      <c r="E16" s="3381"/>
    </row>
    <row r="17" spans="1:5" ht="15.75">
      <c r="A17" s="3381"/>
      <c r="B17" s="3440"/>
      <c r="C17" s="3383" t="s">
        <v>98</v>
      </c>
      <c r="D17" s="3384" t="e">
        <f>NUMBERSTRING(INT(D16*10000),2)&amp;"元整"</f>
        <v>#VALUE!</v>
      </c>
      <c r="E17" s="3381"/>
    </row>
    <row r="18" spans="1:5" ht="15">
      <c r="A18" s="3381"/>
      <c r="B18" s="3441"/>
      <c r="C18" s="3385" t="s">
        <v>99</v>
      </c>
      <c r="D18" s="3393" t="str">
        <f>结果表!H110</f>
        <v>——</v>
      </c>
      <c r="E18" s="3381"/>
    </row>
    <row r="19" spans="1:5" ht="15.75">
      <c r="A19" s="3381"/>
      <c r="B19" s="3436" t="str">
        <f>结果表!E111</f>
        <v>——</v>
      </c>
      <c r="C19" s="3391" t="s">
        <v>97</v>
      </c>
      <c r="D19" s="3386" t="str">
        <f>结果表!H111</f>
        <v>——</v>
      </c>
      <c r="E19" s="3381"/>
    </row>
    <row r="20" spans="1:5" ht="15.75">
      <c r="A20" s="3381"/>
      <c r="B20" s="3437"/>
      <c r="C20" s="3383" t="s">
        <v>98</v>
      </c>
      <c r="D20" s="3384" t="e">
        <f>NUMBERSTRING(INT(D19*10000),2)&amp;"元整"</f>
        <v>#VALUE!</v>
      </c>
      <c r="E20" s="3381"/>
    </row>
    <row r="21" spans="1:5" ht="15">
      <c r="A21" s="3381"/>
      <c r="B21" s="3442"/>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T26:T49"/>
  <sheetViews>
    <sheetView topLeftCell="D1" workbookViewId="0">
      <selection activeCell="J1" sqref="J1"/>
    </sheetView>
  </sheetViews>
  <sheetFormatPr defaultColWidth="9" defaultRowHeight="13.5"/>
  <sheetData>
    <row r="26" spans="20:20">
      <c r="T26">
        <f>15500/143/30</f>
        <v>3.6130536130536131</v>
      </c>
    </row>
    <row r="33" spans="20:20">
      <c r="T33">
        <f>23000/218.71/30</f>
        <v>3.5054028927194305</v>
      </c>
    </row>
    <row r="41" spans="20:20">
      <c r="T41">
        <f>26000/211.83/30</f>
        <v>4.0913310988371174</v>
      </c>
    </row>
    <row r="49" spans="20:20">
      <c r="T49">
        <f>32000/277.96/30</f>
        <v>3.8374826114069176</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6" t="s">
        <v>2210</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2211</v>
      </c>
      <c r="B2" s="338"/>
      <c r="C2" s="338"/>
      <c r="D2" s="338"/>
      <c r="E2" s="338"/>
      <c r="F2" s="338"/>
      <c r="G2" s="339" t="s">
        <v>2212</v>
      </c>
      <c r="I2" s="346" t="s">
        <v>2213</v>
      </c>
      <c r="J2" s="346" t="s">
        <v>2214</v>
      </c>
      <c r="K2" s="346" t="s">
        <v>2215</v>
      </c>
      <c r="L2" s="346" t="s">
        <v>2216</v>
      </c>
      <c r="M2" s="346" t="s">
        <v>2217</v>
      </c>
      <c r="N2" s="346" t="s">
        <v>2218</v>
      </c>
      <c r="O2" s="346" t="s">
        <v>2219</v>
      </c>
      <c r="P2" s="346" t="s">
        <v>2220</v>
      </c>
      <c r="Q2" s="346" t="s">
        <v>2221</v>
      </c>
      <c r="R2" s="346" t="s">
        <v>2222</v>
      </c>
      <c r="S2" s="346" t="s">
        <v>2223</v>
      </c>
      <c r="T2" s="346" t="s">
        <v>2224</v>
      </c>
    </row>
    <row r="3" spans="1:20" s="335" customFormat="1">
      <c r="A3" s="3758" t="s">
        <v>2225</v>
      </c>
      <c r="B3" s="340"/>
      <c r="C3" s="341" t="s">
        <v>1886</v>
      </c>
      <c r="D3" s="341" t="s">
        <v>549</v>
      </c>
      <c r="E3" s="341" t="s">
        <v>412</v>
      </c>
      <c r="F3" s="341" t="s">
        <v>408</v>
      </c>
      <c r="G3" s="341" t="s">
        <v>280</v>
      </c>
      <c r="H3" s="342"/>
      <c r="I3" s="347" t="s">
        <v>2226</v>
      </c>
      <c r="J3" s="348" t="s">
        <v>2227</v>
      </c>
      <c r="K3" s="348" t="s">
        <v>2228</v>
      </c>
      <c r="L3" s="347" t="s">
        <v>2229</v>
      </c>
      <c r="M3" s="347" t="s">
        <v>2230</v>
      </c>
      <c r="N3" s="347" t="s">
        <v>2231</v>
      </c>
      <c r="O3" s="347" t="s">
        <v>2232</v>
      </c>
      <c r="P3" s="347" t="s">
        <v>2233</v>
      </c>
      <c r="Q3" s="347" t="s">
        <v>2234</v>
      </c>
      <c r="R3" s="347" t="s">
        <v>2235</v>
      </c>
      <c r="S3" s="347" t="s">
        <v>2236</v>
      </c>
      <c r="T3" s="347" t="s">
        <v>2237</v>
      </c>
    </row>
    <row r="4" spans="1:20" s="335" customFormat="1">
      <c r="A4" s="3759"/>
      <c r="B4" s="343" t="s">
        <v>2238</v>
      </c>
      <c r="C4" s="343" t="s">
        <v>2239</v>
      </c>
      <c r="D4" s="343" t="s">
        <v>2239</v>
      </c>
      <c r="E4" s="343" t="s">
        <v>2239</v>
      </c>
      <c r="F4" s="344" t="s">
        <v>2239</v>
      </c>
      <c r="G4" s="344" t="s">
        <v>2239</v>
      </c>
      <c r="H4" s="342"/>
      <c r="I4" s="348" t="s">
        <v>2240</v>
      </c>
      <c r="J4" s="348" t="s">
        <v>2241</v>
      </c>
      <c r="K4" s="348" t="s">
        <v>2242</v>
      </c>
      <c r="L4" s="347" t="s">
        <v>2243</v>
      </c>
      <c r="M4" s="347" t="s">
        <v>2244</v>
      </c>
      <c r="N4" s="347" t="s">
        <v>2245</v>
      </c>
      <c r="O4" s="347" t="s">
        <v>2246</v>
      </c>
      <c r="P4" s="347" t="s">
        <v>2247</v>
      </c>
      <c r="Q4" s="347" t="s">
        <v>2248</v>
      </c>
      <c r="R4" s="347" t="s">
        <v>2249</v>
      </c>
      <c r="S4" s="347" t="s">
        <v>2250</v>
      </c>
      <c r="T4" s="347" t="s">
        <v>2251</v>
      </c>
    </row>
    <row r="5" spans="1:20">
      <c r="A5" s="345" t="s">
        <v>230</v>
      </c>
      <c r="B5" s="346" t="s">
        <v>2213</v>
      </c>
      <c r="C5" s="346">
        <v>34550</v>
      </c>
      <c r="D5" s="346">
        <v>34470</v>
      </c>
      <c r="E5" s="346">
        <v>34330</v>
      </c>
      <c r="F5" s="346">
        <v>13400</v>
      </c>
      <c r="G5" s="346">
        <v>25450</v>
      </c>
      <c r="H5" s="342"/>
      <c r="I5" s="347" t="s">
        <v>2252</v>
      </c>
      <c r="J5" s="348" t="s">
        <v>2253</v>
      </c>
      <c r="K5" s="348" t="s">
        <v>2254</v>
      </c>
      <c r="L5" s="347" t="s">
        <v>2255</v>
      </c>
      <c r="M5" s="347" t="s">
        <v>2256</v>
      </c>
      <c r="N5" s="347" t="s">
        <v>2257</v>
      </c>
      <c r="O5" s="347" t="s">
        <v>2258</v>
      </c>
      <c r="P5" s="347" t="s">
        <v>2259</v>
      </c>
      <c r="Q5" s="347" t="s">
        <v>2260</v>
      </c>
      <c r="R5" s="347" t="s">
        <v>2261</v>
      </c>
      <c r="S5" s="347" t="s">
        <v>2262</v>
      </c>
      <c r="T5" s="347" t="s">
        <v>2263</v>
      </c>
    </row>
    <row r="6" spans="1:20">
      <c r="A6" s="347" t="s">
        <v>230</v>
      </c>
      <c r="B6" s="347" t="s">
        <v>2226</v>
      </c>
      <c r="C6" s="347">
        <v>36990</v>
      </c>
      <c r="D6" s="347">
        <v>36850</v>
      </c>
      <c r="E6" s="347">
        <v>36700</v>
      </c>
      <c r="F6" s="347">
        <v>14590</v>
      </c>
      <c r="G6" s="347">
        <v>27450</v>
      </c>
      <c r="H6" s="342"/>
      <c r="I6" s="350" t="s">
        <v>2264</v>
      </c>
      <c r="J6" s="348" t="s">
        <v>2265</v>
      </c>
      <c r="K6" s="348" t="s">
        <v>2266</v>
      </c>
      <c r="L6" s="347" t="s">
        <v>2267</v>
      </c>
      <c r="M6" s="347" t="s">
        <v>2268</v>
      </c>
      <c r="N6" s="347" t="s">
        <v>2269</v>
      </c>
      <c r="O6" s="347" t="s">
        <v>2270</v>
      </c>
      <c r="P6" s="347" t="s">
        <v>2271</v>
      </c>
      <c r="Q6" s="347" t="s">
        <v>2272</v>
      </c>
      <c r="R6" s="347" t="s">
        <v>2273</v>
      </c>
      <c r="S6" s="347" t="s">
        <v>2274</v>
      </c>
      <c r="T6" s="347" t="s">
        <v>2275</v>
      </c>
    </row>
    <row r="7" spans="1:20">
      <c r="A7" s="347" t="s">
        <v>230</v>
      </c>
      <c r="B7" s="348" t="s">
        <v>2240</v>
      </c>
      <c r="C7" s="347">
        <v>34850</v>
      </c>
      <c r="D7" s="347">
        <v>34690</v>
      </c>
      <c r="E7" s="347">
        <v>34550</v>
      </c>
      <c r="F7" s="347">
        <v>14360</v>
      </c>
      <c r="G7" s="347">
        <v>25620</v>
      </c>
      <c r="H7" s="342"/>
      <c r="J7" s="348" t="s">
        <v>2276</v>
      </c>
      <c r="K7" s="348" t="s">
        <v>2277</v>
      </c>
      <c r="L7" s="347" t="s">
        <v>2278</v>
      </c>
      <c r="M7" s="347" t="s">
        <v>2279</v>
      </c>
      <c r="N7" s="347" t="s">
        <v>2280</v>
      </c>
      <c r="O7" s="347" t="s">
        <v>2281</v>
      </c>
      <c r="P7" s="347" t="s">
        <v>2282</v>
      </c>
      <c r="Q7" s="347" t="s">
        <v>2283</v>
      </c>
      <c r="R7" s="347" t="s">
        <v>2284</v>
      </c>
      <c r="S7" s="347" t="s">
        <v>2285</v>
      </c>
      <c r="T7" s="347" t="s">
        <v>2286</v>
      </c>
    </row>
    <row r="8" spans="1:20">
      <c r="A8" s="347" t="s">
        <v>230</v>
      </c>
      <c r="B8" s="347" t="s">
        <v>2252</v>
      </c>
      <c r="C8" s="347">
        <v>32630</v>
      </c>
      <c r="D8" s="347">
        <v>32510</v>
      </c>
      <c r="E8" s="347">
        <v>32420</v>
      </c>
      <c r="F8" s="347">
        <v>13300</v>
      </c>
      <c r="G8" s="347">
        <v>24010</v>
      </c>
      <c r="H8" s="342"/>
      <c r="J8" s="348" t="s">
        <v>2287</v>
      </c>
      <c r="K8" s="348" t="s">
        <v>2288</v>
      </c>
      <c r="L8" s="347" t="s">
        <v>2289</v>
      </c>
      <c r="M8" s="347" t="s">
        <v>2290</v>
      </c>
      <c r="N8" s="347" t="s">
        <v>2291</v>
      </c>
      <c r="O8" s="347" t="s">
        <v>2292</v>
      </c>
      <c r="P8" s="347" t="s">
        <v>2293</v>
      </c>
      <c r="Q8" s="347" t="s">
        <v>2294</v>
      </c>
      <c r="R8" s="347" t="s">
        <v>2295</v>
      </c>
      <c r="S8" s="347" t="s">
        <v>2296</v>
      </c>
      <c r="T8" s="351" t="s">
        <v>2297</v>
      </c>
    </row>
    <row r="9" spans="1:20">
      <c r="A9" s="349" t="s">
        <v>230</v>
      </c>
      <c r="B9" s="350" t="s">
        <v>2264</v>
      </c>
      <c r="C9" s="351">
        <v>36370</v>
      </c>
      <c r="D9" s="351">
        <v>36210</v>
      </c>
      <c r="E9" s="351">
        <v>36050</v>
      </c>
      <c r="F9" s="351"/>
      <c r="G9" s="351">
        <v>26740</v>
      </c>
      <c r="H9" s="342"/>
      <c r="J9" s="348" t="s">
        <v>2298</v>
      </c>
      <c r="K9" s="348" t="s">
        <v>2299</v>
      </c>
      <c r="L9" s="347" t="s">
        <v>2300</v>
      </c>
      <c r="M9" s="347" t="s">
        <v>2301</v>
      </c>
      <c r="N9" s="347" t="s">
        <v>2302</v>
      </c>
      <c r="O9" s="347" t="s">
        <v>2303</v>
      </c>
      <c r="P9" s="347" t="s">
        <v>2304</v>
      </c>
      <c r="Q9" s="347" t="s">
        <v>2305</v>
      </c>
      <c r="R9" s="347" t="s">
        <v>2306</v>
      </c>
      <c r="S9" s="347" t="s">
        <v>2307</v>
      </c>
    </row>
    <row r="10" spans="1:20">
      <c r="A10" s="345" t="s">
        <v>241</v>
      </c>
      <c r="B10" s="346" t="s">
        <v>2214</v>
      </c>
      <c r="C10" s="347">
        <v>32350</v>
      </c>
      <c r="D10" s="347">
        <v>31430</v>
      </c>
      <c r="E10" s="347">
        <v>31320</v>
      </c>
      <c r="F10" s="347">
        <v>10850</v>
      </c>
      <c r="G10" s="347">
        <v>22860</v>
      </c>
      <c r="H10" s="342"/>
      <c r="J10" s="348" t="s">
        <v>2308</v>
      </c>
      <c r="K10" s="348" t="s">
        <v>2309</v>
      </c>
      <c r="L10" s="347" t="s">
        <v>2310</v>
      </c>
      <c r="M10" s="347" t="s">
        <v>2311</v>
      </c>
      <c r="N10" s="347" t="s">
        <v>2312</v>
      </c>
      <c r="O10" s="347" t="s">
        <v>2313</v>
      </c>
      <c r="P10" s="347" t="s">
        <v>2314</v>
      </c>
      <c r="Q10" s="347" t="s">
        <v>2315</v>
      </c>
      <c r="R10" s="347" t="s">
        <v>2316</v>
      </c>
      <c r="S10" s="347" t="s">
        <v>2317</v>
      </c>
    </row>
    <row r="11" spans="1:20">
      <c r="A11" s="347" t="s">
        <v>241</v>
      </c>
      <c r="B11" s="348" t="s">
        <v>2227</v>
      </c>
      <c r="C11" s="347">
        <v>31590</v>
      </c>
      <c r="D11" s="347">
        <v>29490</v>
      </c>
      <c r="E11" s="347">
        <v>28700</v>
      </c>
      <c r="F11" s="347">
        <v>10410</v>
      </c>
      <c r="G11" s="347">
        <v>21460</v>
      </c>
      <c r="H11" s="342"/>
      <c r="J11" s="348" t="s">
        <v>2318</v>
      </c>
      <c r="K11" s="348" t="s">
        <v>2319</v>
      </c>
      <c r="L11" s="347" t="s">
        <v>2320</v>
      </c>
      <c r="M11" s="347" t="s">
        <v>2321</v>
      </c>
      <c r="N11" s="347" t="s">
        <v>2322</v>
      </c>
      <c r="O11" s="347" t="s">
        <v>2323</v>
      </c>
      <c r="P11" s="347" t="s">
        <v>2324</v>
      </c>
      <c r="Q11" s="347" t="s">
        <v>2325</v>
      </c>
      <c r="R11" s="347" t="s">
        <v>2326</v>
      </c>
      <c r="S11" s="347" t="s">
        <v>2327</v>
      </c>
    </row>
    <row r="12" spans="1:20">
      <c r="A12" s="347" t="s">
        <v>241</v>
      </c>
      <c r="B12" s="348" t="s">
        <v>2241</v>
      </c>
      <c r="C12" s="347">
        <v>29640</v>
      </c>
      <c r="D12" s="347">
        <v>27550</v>
      </c>
      <c r="E12" s="347">
        <v>28010</v>
      </c>
      <c r="F12" s="347">
        <v>8730</v>
      </c>
      <c r="G12" s="347">
        <v>20050</v>
      </c>
      <c r="H12" s="342"/>
      <c r="J12" s="348" t="s">
        <v>2328</v>
      </c>
      <c r="K12" s="348" t="s">
        <v>2329</v>
      </c>
      <c r="L12" s="347" t="s">
        <v>2330</v>
      </c>
      <c r="M12" s="347" t="s">
        <v>2331</v>
      </c>
      <c r="N12" s="347" t="s">
        <v>2332</v>
      </c>
      <c r="O12" s="347" t="s">
        <v>2333</v>
      </c>
      <c r="P12" s="347" t="s">
        <v>2334</v>
      </c>
      <c r="Q12" s="347" t="s">
        <v>2335</v>
      </c>
      <c r="R12" s="347" t="s">
        <v>2336</v>
      </c>
      <c r="S12" s="347" t="s">
        <v>2337</v>
      </c>
    </row>
    <row r="13" spans="1:20">
      <c r="A13" s="347" t="s">
        <v>241</v>
      </c>
      <c r="B13" s="348" t="s">
        <v>2253</v>
      </c>
      <c r="C13" s="347">
        <v>29680</v>
      </c>
      <c r="D13" s="347">
        <v>27660</v>
      </c>
      <c r="E13" s="347">
        <v>28210</v>
      </c>
      <c r="F13" s="347">
        <v>9590</v>
      </c>
      <c r="G13" s="347">
        <v>20120</v>
      </c>
      <c r="H13" s="342"/>
      <c r="J13" s="348" t="s">
        <v>2338</v>
      </c>
      <c r="K13" s="348" t="s">
        <v>2339</v>
      </c>
      <c r="L13" s="347" t="s">
        <v>2340</v>
      </c>
      <c r="M13" s="347" t="s">
        <v>2341</v>
      </c>
      <c r="N13" s="347" t="s">
        <v>2342</v>
      </c>
      <c r="O13" s="347" t="s">
        <v>2343</v>
      </c>
      <c r="P13" s="347" t="s">
        <v>2344</v>
      </c>
      <c r="Q13" s="347" t="s">
        <v>2345</v>
      </c>
      <c r="R13" s="347" t="s">
        <v>2346</v>
      </c>
      <c r="S13" s="347" t="s">
        <v>2347</v>
      </c>
    </row>
    <row r="14" spans="1:20">
      <c r="A14" s="347" t="s">
        <v>241</v>
      </c>
      <c r="B14" s="348" t="s">
        <v>2265</v>
      </c>
      <c r="C14" s="347">
        <v>30520</v>
      </c>
      <c r="D14" s="347">
        <v>29510</v>
      </c>
      <c r="E14" s="347">
        <v>29400</v>
      </c>
      <c r="F14" s="347">
        <v>9630</v>
      </c>
      <c r="G14" s="347">
        <v>21480</v>
      </c>
      <c r="H14" s="342"/>
      <c r="J14" s="348" t="s">
        <v>2348</v>
      </c>
      <c r="K14" s="348" t="s">
        <v>2349</v>
      </c>
      <c r="L14" s="347" t="s">
        <v>2350</v>
      </c>
      <c r="M14" s="347" t="s">
        <v>2351</v>
      </c>
      <c r="N14" s="347" t="s">
        <v>2352</v>
      </c>
      <c r="O14" s="347" t="s">
        <v>2353</v>
      </c>
      <c r="P14" s="347" t="s">
        <v>2354</v>
      </c>
      <c r="Q14" s="347" t="s">
        <v>2355</v>
      </c>
      <c r="R14" s="347" t="s">
        <v>2356</v>
      </c>
      <c r="S14" s="347" t="s">
        <v>2357</v>
      </c>
    </row>
    <row r="15" spans="1:20">
      <c r="A15" s="347" t="s">
        <v>241</v>
      </c>
      <c r="B15" s="348" t="s">
        <v>2276</v>
      </c>
      <c r="C15" s="347">
        <v>29090</v>
      </c>
      <c r="D15" s="347">
        <v>27590</v>
      </c>
      <c r="E15" s="347">
        <v>28120</v>
      </c>
      <c r="F15" s="347">
        <v>9110</v>
      </c>
      <c r="G15" s="347">
        <v>20070</v>
      </c>
      <c r="H15" s="342"/>
      <c r="J15" s="348" t="s">
        <v>2358</v>
      </c>
      <c r="K15" s="348" t="s">
        <v>2359</v>
      </c>
      <c r="L15" s="347" t="s">
        <v>2360</v>
      </c>
      <c r="M15" s="347" t="s">
        <v>2361</v>
      </c>
      <c r="N15" s="347" t="s">
        <v>2362</v>
      </c>
      <c r="O15" s="347" t="s">
        <v>2363</v>
      </c>
      <c r="P15" s="347" t="s">
        <v>2364</v>
      </c>
      <c r="Q15" s="347" t="s">
        <v>2365</v>
      </c>
      <c r="R15" s="347" t="s">
        <v>2366</v>
      </c>
      <c r="S15" s="347" t="s">
        <v>2367</v>
      </c>
    </row>
    <row r="16" spans="1:20">
      <c r="A16" s="347" t="s">
        <v>241</v>
      </c>
      <c r="B16" s="348" t="s">
        <v>2287</v>
      </c>
      <c r="C16" s="347">
        <v>26790</v>
      </c>
      <c r="D16" s="347">
        <v>30370</v>
      </c>
      <c r="E16" s="347">
        <v>30240</v>
      </c>
      <c r="F16" s="347">
        <v>11590</v>
      </c>
      <c r="G16" s="347">
        <v>22090</v>
      </c>
      <c r="H16" s="342"/>
      <c r="J16" s="348" t="s">
        <v>2368</v>
      </c>
      <c r="K16" s="348" t="s">
        <v>2369</v>
      </c>
      <c r="L16" s="347" t="s">
        <v>2370</v>
      </c>
      <c r="M16" s="347" t="s">
        <v>2371</v>
      </c>
      <c r="N16" s="347" t="s">
        <v>2372</v>
      </c>
      <c r="O16" s="347" t="s">
        <v>2373</v>
      </c>
      <c r="P16" s="347" t="s">
        <v>2374</v>
      </c>
      <c r="Q16" s="347" t="s">
        <v>2375</v>
      </c>
      <c r="R16" s="347" t="s">
        <v>2376</v>
      </c>
      <c r="S16" s="347" t="s">
        <v>2377</v>
      </c>
    </row>
    <row r="17" spans="1:19" ht="14.25" customHeight="1">
      <c r="A17" s="347" t="s">
        <v>241</v>
      </c>
      <c r="B17" s="348" t="s">
        <v>2298</v>
      </c>
      <c r="C17" s="347">
        <v>29180</v>
      </c>
      <c r="D17" s="347">
        <v>27620</v>
      </c>
      <c r="E17" s="347">
        <v>28180</v>
      </c>
      <c r="F17" s="347">
        <v>10790</v>
      </c>
      <c r="G17" s="347">
        <v>20090</v>
      </c>
      <c r="H17" s="342"/>
      <c r="J17" s="348" t="s">
        <v>2378</v>
      </c>
      <c r="K17" s="348" t="s">
        <v>2379</v>
      </c>
      <c r="L17" s="347" t="s">
        <v>2380</v>
      </c>
      <c r="M17" s="347" t="s">
        <v>2381</v>
      </c>
      <c r="N17" s="347" t="s">
        <v>2382</v>
      </c>
      <c r="O17" s="347" t="s">
        <v>2383</v>
      </c>
      <c r="P17" s="347" t="s">
        <v>2384</v>
      </c>
      <c r="Q17" s="347" t="s">
        <v>2385</v>
      </c>
      <c r="R17" s="347" t="s">
        <v>2386</v>
      </c>
      <c r="S17" s="347" t="s">
        <v>2387</v>
      </c>
    </row>
    <row r="18" spans="1:19" ht="14.25" customHeight="1">
      <c r="A18" s="347" t="s">
        <v>241</v>
      </c>
      <c r="B18" s="348" t="s">
        <v>2308</v>
      </c>
      <c r="C18" s="347">
        <v>26840</v>
      </c>
      <c r="D18" s="347">
        <v>28930</v>
      </c>
      <c r="E18" s="347">
        <v>28820</v>
      </c>
      <c r="F18" s="347"/>
      <c r="G18" s="347">
        <v>21050</v>
      </c>
      <c r="H18" s="342"/>
      <c r="J18" s="348" t="s">
        <v>2388</v>
      </c>
      <c r="K18" s="348" t="s">
        <v>2389</v>
      </c>
      <c r="L18" s="347" t="s">
        <v>2390</v>
      </c>
      <c r="M18" s="347" t="s">
        <v>2391</v>
      </c>
      <c r="N18" s="347" t="s">
        <v>2392</v>
      </c>
      <c r="O18" s="347" t="s">
        <v>2393</v>
      </c>
      <c r="P18" s="347" t="s">
        <v>2394</v>
      </c>
      <c r="Q18" s="347" t="s">
        <v>2395</v>
      </c>
      <c r="R18" s="347" t="s">
        <v>2396</v>
      </c>
      <c r="S18" s="347" t="s">
        <v>2397</v>
      </c>
    </row>
    <row r="19" spans="1:19" ht="14.25" customHeight="1">
      <c r="A19" s="347" t="s">
        <v>241</v>
      </c>
      <c r="B19" s="348" t="s">
        <v>2318</v>
      </c>
      <c r="C19" s="347">
        <v>27750</v>
      </c>
      <c r="D19" s="347">
        <v>26680</v>
      </c>
      <c r="E19" s="347">
        <v>26590</v>
      </c>
      <c r="F19" s="347"/>
      <c r="G19" s="347">
        <v>19420</v>
      </c>
      <c r="H19" s="342"/>
      <c r="J19" s="348" t="s">
        <v>2398</v>
      </c>
      <c r="K19" s="348" t="s">
        <v>2399</v>
      </c>
      <c r="L19" s="347" t="s">
        <v>2400</v>
      </c>
      <c r="M19" s="347" t="s">
        <v>2401</v>
      </c>
      <c r="N19" s="347" t="s">
        <v>2402</v>
      </c>
      <c r="O19" s="347" t="s">
        <v>2403</v>
      </c>
      <c r="P19" s="347" t="s">
        <v>2404</v>
      </c>
      <c r="Q19" s="347" t="s">
        <v>2405</v>
      </c>
      <c r="R19" s="347" t="s">
        <v>2406</v>
      </c>
      <c r="S19" s="347" t="s">
        <v>2407</v>
      </c>
    </row>
    <row r="20" spans="1:19" ht="14.25" customHeight="1">
      <c r="A20" s="347" t="s">
        <v>241</v>
      </c>
      <c r="B20" s="348" t="s">
        <v>2328</v>
      </c>
      <c r="C20" s="347">
        <v>27050</v>
      </c>
      <c r="D20" s="347">
        <v>29010</v>
      </c>
      <c r="E20" s="347">
        <v>28910</v>
      </c>
      <c r="F20" s="347"/>
      <c r="G20" s="347">
        <v>21110</v>
      </c>
      <c r="J20" s="348" t="s">
        <v>2408</v>
      </c>
      <c r="K20" s="348" t="s">
        <v>2409</v>
      </c>
      <c r="L20" s="347" t="s">
        <v>2410</v>
      </c>
      <c r="M20" s="347" t="s">
        <v>2411</v>
      </c>
      <c r="N20" s="347" t="s">
        <v>2412</v>
      </c>
      <c r="O20" s="347" t="s">
        <v>2413</v>
      </c>
      <c r="P20" s="347" t="s">
        <v>2414</v>
      </c>
      <c r="Q20" s="347" t="s">
        <v>2415</v>
      </c>
      <c r="R20" s="347" t="s">
        <v>2416</v>
      </c>
      <c r="S20" s="347" t="s">
        <v>2417</v>
      </c>
    </row>
    <row r="21" spans="1:19" ht="14.25" customHeight="1">
      <c r="A21" s="347" t="s">
        <v>241</v>
      </c>
      <c r="B21" s="348" t="s">
        <v>2338</v>
      </c>
      <c r="C21" s="347">
        <v>32370</v>
      </c>
      <c r="D21" s="347">
        <v>26730</v>
      </c>
      <c r="E21" s="347">
        <v>26640</v>
      </c>
      <c r="F21" s="347"/>
      <c r="G21" s="347">
        <v>19440</v>
      </c>
      <c r="J21" s="351" t="s">
        <v>2418</v>
      </c>
      <c r="K21" s="348" t="s">
        <v>2419</v>
      </c>
      <c r="L21" s="347" t="s">
        <v>2420</v>
      </c>
      <c r="M21" s="347" t="s">
        <v>2421</v>
      </c>
      <c r="N21" s="347" t="s">
        <v>2422</v>
      </c>
      <c r="O21" s="347" t="s">
        <v>2423</v>
      </c>
      <c r="P21" s="347" t="s">
        <v>2424</v>
      </c>
      <c r="Q21" s="347" t="s">
        <v>2425</v>
      </c>
      <c r="R21" s="347" t="s">
        <v>2426</v>
      </c>
      <c r="S21" s="351" t="s">
        <v>2427</v>
      </c>
    </row>
    <row r="22" spans="1:19" ht="14.25" customHeight="1">
      <c r="A22" s="347" t="s">
        <v>241</v>
      </c>
      <c r="B22" s="348" t="s">
        <v>2348</v>
      </c>
      <c r="C22" s="347">
        <v>29830</v>
      </c>
      <c r="D22" s="347">
        <v>27600</v>
      </c>
      <c r="E22" s="347">
        <v>28150</v>
      </c>
      <c r="F22" s="347"/>
      <c r="G22" s="347">
        <v>20080</v>
      </c>
      <c r="K22" s="348" t="s">
        <v>2428</v>
      </c>
      <c r="L22" s="347" t="s">
        <v>2429</v>
      </c>
      <c r="M22" s="347" t="s">
        <v>2430</v>
      </c>
      <c r="N22" s="347" t="s">
        <v>2431</v>
      </c>
      <c r="O22" s="347" t="s">
        <v>2432</v>
      </c>
      <c r="P22" s="347" t="s">
        <v>2433</v>
      </c>
      <c r="Q22" s="347" t="s">
        <v>2434</v>
      </c>
      <c r="R22" s="347" t="s">
        <v>2435</v>
      </c>
    </row>
    <row r="23" spans="1:19" ht="14.25" customHeight="1">
      <c r="A23" s="347" t="s">
        <v>241</v>
      </c>
      <c r="B23" s="348" t="s">
        <v>2358</v>
      </c>
      <c r="C23" s="347">
        <v>27800</v>
      </c>
      <c r="D23" s="347">
        <v>26900</v>
      </c>
      <c r="E23" s="347">
        <v>27170</v>
      </c>
      <c r="F23" s="347"/>
      <c r="G23" s="347">
        <v>19570</v>
      </c>
      <c r="K23" s="348" t="s">
        <v>2436</v>
      </c>
      <c r="L23" s="347" t="s">
        <v>2437</v>
      </c>
      <c r="M23" s="347" t="s">
        <v>2438</v>
      </c>
      <c r="N23" s="347" t="s">
        <v>2439</v>
      </c>
      <c r="O23" s="347" t="s">
        <v>2440</v>
      </c>
      <c r="P23" s="347" t="s">
        <v>2441</v>
      </c>
      <c r="Q23" s="347" t="s">
        <v>2442</v>
      </c>
      <c r="R23" s="347" t="s">
        <v>2443</v>
      </c>
    </row>
    <row r="24" spans="1:19" ht="14.25" customHeight="1">
      <c r="A24" s="347" t="s">
        <v>241</v>
      </c>
      <c r="B24" s="348" t="s">
        <v>2368</v>
      </c>
      <c r="C24" s="347">
        <v>27930</v>
      </c>
      <c r="D24" s="347">
        <v>32260</v>
      </c>
      <c r="E24" s="347">
        <v>32120</v>
      </c>
      <c r="F24" s="347"/>
      <c r="G24" s="347">
        <v>23470</v>
      </c>
      <c r="K24" s="348" t="s">
        <v>2444</v>
      </c>
      <c r="L24" s="347" t="s">
        <v>2445</v>
      </c>
      <c r="M24" s="347" t="s">
        <v>2446</v>
      </c>
      <c r="N24" s="347" t="s">
        <v>2447</v>
      </c>
      <c r="O24" s="347" t="s">
        <v>2448</v>
      </c>
      <c r="P24" s="347" t="s">
        <v>2449</v>
      </c>
      <c r="Q24" s="361" t="s">
        <v>2450</v>
      </c>
      <c r="R24" s="347" t="s">
        <v>2451</v>
      </c>
    </row>
    <row r="25" spans="1:19" ht="14.25" customHeight="1">
      <c r="A25" s="347" t="s">
        <v>241</v>
      </c>
      <c r="B25" s="348" t="s">
        <v>2378</v>
      </c>
      <c r="C25" s="347">
        <v>32230</v>
      </c>
      <c r="D25" s="347">
        <v>29640</v>
      </c>
      <c r="E25" s="347">
        <v>29510</v>
      </c>
      <c r="F25" s="347"/>
      <c r="G25" s="347">
        <v>21560</v>
      </c>
      <c r="K25" s="348" t="s">
        <v>2452</v>
      </c>
      <c r="L25" s="347" t="s">
        <v>2453</v>
      </c>
      <c r="M25" s="347" t="s">
        <v>2454</v>
      </c>
      <c r="N25" s="347" t="s">
        <v>2455</v>
      </c>
      <c r="O25" s="347" t="s">
        <v>2456</v>
      </c>
      <c r="P25" s="347" t="s">
        <v>2457</v>
      </c>
      <c r="Q25" s="361" t="s">
        <v>2458</v>
      </c>
      <c r="R25" s="347" t="s">
        <v>2459</v>
      </c>
    </row>
    <row r="26" spans="1:19" ht="14.25" customHeight="1">
      <c r="A26" s="347" t="s">
        <v>241</v>
      </c>
      <c r="B26" s="348" t="s">
        <v>2388</v>
      </c>
      <c r="C26" s="347">
        <v>31690</v>
      </c>
      <c r="D26" s="347">
        <v>27650</v>
      </c>
      <c r="E26" s="347">
        <v>28200</v>
      </c>
      <c r="F26" s="347"/>
      <c r="G26" s="347">
        <v>20110</v>
      </c>
      <c r="K26" s="350" t="s">
        <v>2460</v>
      </c>
      <c r="L26" s="347" t="s">
        <v>2461</v>
      </c>
      <c r="M26" s="347" t="s">
        <v>2462</v>
      </c>
      <c r="N26" s="347" t="s">
        <v>2463</v>
      </c>
      <c r="O26" s="347" t="s">
        <v>2464</v>
      </c>
      <c r="P26" s="347" t="s">
        <v>2465</v>
      </c>
      <c r="Q26" s="361" t="s">
        <v>2466</v>
      </c>
      <c r="R26" s="347" t="s">
        <v>2467</v>
      </c>
    </row>
    <row r="27" spans="1:19" ht="14.25" customHeight="1">
      <c r="A27" s="347" t="s">
        <v>241</v>
      </c>
      <c r="B27" s="348" t="s">
        <v>2398</v>
      </c>
      <c r="C27" s="347">
        <v>29610</v>
      </c>
      <c r="D27" s="347">
        <v>27770</v>
      </c>
      <c r="E27" s="347">
        <v>28300</v>
      </c>
      <c r="F27" s="347"/>
      <c r="G27" s="347">
        <v>20210</v>
      </c>
      <c r="L27" s="347" t="s">
        <v>2468</v>
      </c>
      <c r="M27" s="347" t="s">
        <v>2469</v>
      </c>
      <c r="N27" s="347" t="s">
        <v>2470</v>
      </c>
      <c r="O27" s="347" t="s">
        <v>2471</v>
      </c>
      <c r="P27" s="347" t="s">
        <v>2472</v>
      </c>
      <c r="Q27" s="347" t="s">
        <v>2473</v>
      </c>
      <c r="R27" s="347" t="s">
        <v>2474</v>
      </c>
    </row>
    <row r="28" spans="1:19" ht="14.25" customHeight="1">
      <c r="A28" s="347" t="s">
        <v>241</v>
      </c>
      <c r="B28" s="348" t="s">
        <v>2408</v>
      </c>
      <c r="C28" s="347"/>
      <c r="D28" s="347">
        <v>31520</v>
      </c>
      <c r="E28" s="347">
        <v>31410</v>
      </c>
      <c r="F28" s="347"/>
      <c r="G28" s="347">
        <v>22940</v>
      </c>
      <c r="L28" s="347" t="s">
        <v>2475</v>
      </c>
      <c r="M28" s="347" t="s">
        <v>2476</v>
      </c>
      <c r="N28" s="347" t="s">
        <v>2477</v>
      </c>
      <c r="O28" s="347" t="s">
        <v>2478</v>
      </c>
      <c r="P28" s="347" t="s">
        <v>2479</v>
      </c>
      <c r="Q28" s="347" t="s">
        <v>2480</v>
      </c>
      <c r="R28" s="347" t="s">
        <v>2481</v>
      </c>
    </row>
    <row r="29" spans="1:19" ht="14.25" customHeight="1">
      <c r="A29" s="349" t="s">
        <v>241</v>
      </c>
      <c r="B29" s="352" t="s">
        <v>2418</v>
      </c>
      <c r="C29" s="353"/>
      <c r="D29" s="353">
        <v>29460</v>
      </c>
      <c r="E29" s="353">
        <v>28640</v>
      </c>
      <c r="F29" s="353"/>
      <c r="G29" s="353">
        <v>21430</v>
      </c>
      <c r="L29" s="347" t="s">
        <v>2482</v>
      </c>
      <c r="M29" s="347" t="s">
        <v>2483</v>
      </c>
      <c r="N29" s="347" t="s">
        <v>2484</v>
      </c>
      <c r="O29" s="347" t="s">
        <v>2485</v>
      </c>
      <c r="P29" s="347" t="s">
        <v>2486</v>
      </c>
      <c r="Q29" s="347" t="s">
        <v>2487</v>
      </c>
      <c r="R29" s="347" t="s">
        <v>2488</v>
      </c>
    </row>
    <row r="30" spans="1:19" ht="14.25" customHeight="1">
      <c r="A30" s="345" t="s">
        <v>251</v>
      </c>
      <c r="B30" s="346" t="s">
        <v>2215</v>
      </c>
      <c r="C30" s="346">
        <v>26890</v>
      </c>
      <c r="D30" s="346">
        <v>26770</v>
      </c>
      <c r="E30" s="346">
        <v>25700</v>
      </c>
      <c r="F30" s="346">
        <v>8180</v>
      </c>
      <c r="G30" s="354">
        <v>18740</v>
      </c>
      <c r="L30" s="347" t="s">
        <v>2489</v>
      </c>
      <c r="M30" s="347" t="s">
        <v>2490</v>
      </c>
      <c r="N30" s="347" t="s">
        <v>2491</v>
      </c>
      <c r="O30" s="347" t="s">
        <v>2492</v>
      </c>
      <c r="P30" s="347" t="s">
        <v>2493</v>
      </c>
      <c r="Q30" s="347" t="s">
        <v>2494</v>
      </c>
      <c r="R30" s="347" t="s">
        <v>2495</v>
      </c>
    </row>
    <row r="31" spans="1:19" ht="14.25" customHeight="1">
      <c r="A31" s="347" t="s">
        <v>251</v>
      </c>
      <c r="B31" s="348" t="s">
        <v>2228</v>
      </c>
      <c r="C31" s="347">
        <v>24550</v>
      </c>
      <c r="D31" s="347">
        <v>23990</v>
      </c>
      <c r="E31" s="347">
        <v>22930</v>
      </c>
      <c r="F31" s="347">
        <v>7470</v>
      </c>
      <c r="G31" s="355">
        <v>16790</v>
      </c>
      <c r="L31" s="347" t="s">
        <v>2496</v>
      </c>
      <c r="M31" s="347" t="s">
        <v>2497</v>
      </c>
      <c r="N31" s="347" t="s">
        <v>2498</v>
      </c>
      <c r="O31" s="347" t="s">
        <v>2499</v>
      </c>
      <c r="P31" s="347" t="s">
        <v>2500</v>
      </c>
      <c r="Q31" s="347" t="s">
        <v>2501</v>
      </c>
      <c r="R31" s="347" t="s">
        <v>2502</v>
      </c>
    </row>
    <row r="32" spans="1:19" ht="14.25" customHeight="1">
      <c r="A32" s="347" t="s">
        <v>251</v>
      </c>
      <c r="B32" s="348" t="s">
        <v>2242</v>
      </c>
      <c r="C32" s="347">
        <v>27210</v>
      </c>
      <c r="D32" s="347">
        <v>23240</v>
      </c>
      <c r="E32" s="347">
        <v>23260</v>
      </c>
      <c r="F32" s="347">
        <v>7130</v>
      </c>
      <c r="G32" s="355">
        <v>16270</v>
      </c>
      <c r="L32" s="347" t="s">
        <v>2503</v>
      </c>
      <c r="M32" s="347" t="s">
        <v>2504</v>
      </c>
      <c r="N32" s="347" t="s">
        <v>2505</v>
      </c>
      <c r="O32" s="347" t="s">
        <v>2506</v>
      </c>
      <c r="P32" s="347" t="s">
        <v>2507</v>
      </c>
      <c r="Q32" s="347" t="s">
        <v>2508</v>
      </c>
      <c r="R32" s="351" t="s">
        <v>2509</v>
      </c>
    </row>
    <row r="33" spans="1:17" ht="14.25" customHeight="1">
      <c r="A33" s="347" t="s">
        <v>251</v>
      </c>
      <c r="B33" s="348" t="s">
        <v>2254</v>
      </c>
      <c r="C33" s="347">
        <v>27300</v>
      </c>
      <c r="D33" s="347">
        <v>22980</v>
      </c>
      <c r="E33" s="347">
        <v>24260</v>
      </c>
      <c r="F33" s="347">
        <v>5860</v>
      </c>
      <c r="G33" s="355">
        <v>16090</v>
      </c>
      <c r="L33" s="351" t="s">
        <v>2510</v>
      </c>
      <c r="M33" s="347" t="s">
        <v>2511</v>
      </c>
      <c r="N33" s="347" t="s">
        <v>2512</v>
      </c>
      <c r="O33" s="347" t="s">
        <v>2513</v>
      </c>
      <c r="P33" s="347" t="s">
        <v>2514</v>
      </c>
      <c r="Q33" s="347" t="s">
        <v>2515</v>
      </c>
    </row>
    <row r="34" spans="1:17" ht="14.25" customHeight="1">
      <c r="A34" s="347" t="s">
        <v>251</v>
      </c>
      <c r="B34" s="348" t="s">
        <v>2266</v>
      </c>
      <c r="C34" s="347">
        <v>23090</v>
      </c>
      <c r="D34" s="347">
        <v>23390</v>
      </c>
      <c r="E34" s="347">
        <v>23510</v>
      </c>
      <c r="F34" s="347">
        <v>6700</v>
      </c>
      <c r="G34" s="355">
        <v>16370</v>
      </c>
      <c r="M34" s="347" t="s">
        <v>2516</v>
      </c>
      <c r="N34" s="347" t="s">
        <v>2517</v>
      </c>
      <c r="O34" s="347" t="s">
        <v>2518</v>
      </c>
      <c r="P34" s="347" t="s">
        <v>2519</v>
      </c>
      <c r="Q34" s="347" t="s">
        <v>2520</v>
      </c>
    </row>
    <row r="35" spans="1:17" ht="14.25" customHeight="1">
      <c r="A35" s="347" t="s">
        <v>251</v>
      </c>
      <c r="B35" s="348" t="s">
        <v>2277</v>
      </c>
      <c r="C35" s="347">
        <v>27270</v>
      </c>
      <c r="D35" s="347">
        <v>24270</v>
      </c>
      <c r="E35" s="347">
        <v>24950</v>
      </c>
      <c r="F35" s="347">
        <v>6600</v>
      </c>
      <c r="G35" s="355">
        <v>16990</v>
      </c>
      <c r="M35" s="347" t="s">
        <v>2521</v>
      </c>
      <c r="N35" s="347" t="s">
        <v>2522</v>
      </c>
      <c r="O35" s="347" t="s">
        <v>2523</v>
      </c>
      <c r="P35" s="347" t="s">
        <v>2524</v>
      </c>
      <c r="Q35" s="347" t="s">
        <v>2525</v>
      </c>
    </row>
    <row r="36" spans="1:17" ht="14.25" customHeight="1">
      <c r="A36" s="347" t="s">
        <v>251</v>
      </c>
      <c r="B36" s="348" t="s">
        <v>2288</v>
      </c>
      <c r="C36" s="347">
        <v>23490</v>
      </c>
      <c r="D36" s="347">
        <v>23020</v>
      </c>
      <c r="E36" s="347">
        <v>25230</v>
      </c>
      <c r="F36" s="347">
        <v>6780</v>
      </c>
      <c r="G36" s="355">
        <v>16120</v>
      </c>
      <c r="M36" s="347" t="s">
        <v>2526</v>
      </c>
      <c r="N36" s="347" t="s">
        <v>2527</v>
      </c>
      <c r="O36" s="347" t="s">
        <v>2528</v>
      </c>
      <c r="P36" s="347" t="s">
        <v>2529</v>
      </c>
      <c r="Q36" s="347" t="s">
        <v>2530</v>
      </c>
    </row>
    <row r="37" spans="1:17" ht="14.25" customHeight="1">
      <c r="A37" s="347" t="s">
        <v>251</v>
      </c>
      <c r="B37" s="348" t="s">
        <v>2299</v>
      </c>
      <c r="C37" s="347">
        <v>24380</v>
      </c>
      <c r="D37" s="347">
        <v>22240</v>
      </c>
      <c r="E37" s="347">
        <v>25980</v>
      </c>
      <c r="F37" s="347">
        <v>8160</v>
      </c>
      <c r="G37" s="355">
        <v>15570</v>
      </c>
      <c r="M37" s="347" t="s">
        <v>2531</v>
      </c>
      <c r="N37" s="347" t="s">
        <v>2532</v>
      </c>
      <c r="O37" s="347" t="s">
        <v>2533</v>
      </c>
      <c r="P37" s="347" t="s">
        <v>2534</v>
      </c>
      <c r="Q37" s="347" t="s">
        <v>2535</v>
      </c>
    </row>
    <row r="38" spans="1:17" ht="14.25" customHeight="1">
      <c r="A38" s="347" t="s">
        <v>251</v>
      </c>
      <c r="B38" s="348" t="s">
        <v>2309</v>
      </c>
      <c r="C38" s="347">
        <v>23120</v>
      </c>
      <c r="D38" s="347">
        <v>24630</v>
      </c>
      <c r="E38" s="347">
        <v>25030</v>
      </c>
      <c r="F38" s="347">
        <v>7710</v>
      </c>
      <c r="G38" s="355">
        <v>17240</v>
      </c>
      <c r="M38" s="347" t="s">
        <v>2536</v>
      </c>
      <c r="N38" s="347" t="s">
        <v>2537</v>
      </c>
      <c r="O38" s="347" t="s">
        <v>2538</v>
      </c>
      <c r="P38" s="347" t="s">
        <v>2539</v>
      </c>
      <c r="Q38" s="347" t="s">
        <v>2540</v>
      </c>
    </row>
    <row r="39" spans="1:17" ht="14.25" customHeight="1">
      <c r="A39" s="347" t="s">
        <v>251</v>
      </c>
      <c r="B39" s="348" t="s">
        <v>2319</v>
      </c>
      <c r="C39" s="347">
        <v>22330</v>
      </c>
      <c r="D39" s="347">
        <v>21140</v>
      </c>
      <c r="E39" s="347">
        <v>23970</v>
      </c>
      <c r="F39" s="347">
        <v>7940</v>
      </c>
      <c r="G39" s="355">
        <v>14790</v>
      </c>
      <c r="M39" s="347" t="s">
        <v>2541</v>
      </c>
      <c r="N39" s="347" t="s">
        <v>2542</v>
      </c>
      <c r="O39" s="347" t="s">
        <v>2543</v>
      </c>
      <c r="P39" s="347" t="s">
        <v>2544</v>
      </c>
      <c r="Q39" s="347" t="s">
        <v>2545</v>
      </c>
    </row>
    <row r="40" spans="1:17" ht="14.25" customHeight="1">
      <c r="A40" s="347" t="s">
        <v>251</v>
      </c>
      <c r="B40" s="348" t="s">
        <v>2329</v>
      </c>
      <c r="C40" s="347">
        <v>24740</v>
      </c>
      <c r="D40" s="347">
        <v>24690</v>
      </c>
      <c r="E40" s="347">
        <v>22610</v>
      </c>
      <c r="F40" s="347"/>
      <c r="G40" s="355">
        <v>17280</v>
      </c>
      <c r="M40" s="347" t="s">
        <v>2546</v>
      </c>
      <c r="N40" s="347" t="s">
        <v>2547</v>
      </c>
      <c r="O40" s="347" t="s">
        <v>2548</v>
      </c>
      <c r="P40" s="347" t="s">
        <v>2549</v>
      </c>
      <c r="Q40" s="347" t="s">
        <v>2550</v>
      </c>
    </row>
    <row r="41" spans="1:17" ht="14.25" customHeight="1">
      <c r="A41" s="347" t="s">
        <v>251</v>
      </c>
      <c r="B41" s="348" t="s">
        <v>2339</v>
      </c>
      <c r="C41" s="347">
        <v>21220</v>
      </c>
      <c r="D41" s="347">
        <v>21120</v>
      </c>
      <c r="E41" s="347">
        <v>22590</v>
      </c>
      <c r="F41" s="347"/>
      <c r="G41" s="355">
        <v>14780</v>
      </c>
      <c r="M41" s="351" t="s">
        <v>2551</v>
      </c>
      <c r="N41" s="347" t="s">
        <v>2552</v>
      </c>
      <c r="O41" s="347" t="s">
        <v>2553</v>
      </c>
      <c r="P41" s="347" t="s">
        <v>2554</v>
      </c>
      <c r="Q41" s="347" t="s">
        <v>2555</v>
      </c>
    </row>
    <row r="42" spans="1:17" ht="14.25" customHeight="1">
      <c r="A42" s="347" t="s">
        <v>251</v>
      </c>
      <c r="B42" s="348" t="s">
        <v>2349</v>
      </c>
      <c r="C42" s="347">
        <v>24800</v>
      </c>
      <c r="D42" s="347">
        <v>22280</v>
      </c>
      <c r="E42" s="347">
        <v>24350</v>
      </c>
      <c r="F42" s="347"/>
      <c r="G42" s="355">
        <v>15590</v>
      </c>
      <c r="N42" s="347" t="s">
        <v>2556</v>
      </c>
      <c r="O42" s="347" t="s">
        <v>2557</v>
      </c>
      <c r="P42" s="347" t="s">
        <v>2558</v>
      </c>
      <c r="Q42" s="347" t="s">
        <v>2559</v>
      </c>
    </row>
    <row r="43" spans="1:17" ht="14.25" customHeight="1">
      <c r="A43" s="347" t="s">
        <v>251</v>
      </c>
      <c r="B43" s="348" t="s">
        <v>2359</v>
      </c>
      <c r="C43" s="347">
        <v>21210</v>
      </c>
      <c r="D43" s="347">
        <v>21160</v>
      </c>
      <c r="E43" s="347">
        <v>22650</v>
      </c>
      <c r="F43" s="347"/>
      <c r="G43" s="355">
        <v>14800</v>
      </c>
      <c r="N43" s="347" t="s">
        <v>2560</v>
      </c>
      <c r="O43" s="347" t="s">
        <v>2561</v>
      </c>
      <c r="P43" s="347" t="s">
        <v>2562</v>
      </c>
      <c r="Q43" s="347" t="s">
        <v>2563</v>
      </c>
    </row>
    <row r="44" spans="1:17" ht="14.25" customHeight="1">
      <c r="A44" s="347" t="s">
        <v>251</v>
      </c>
      <c r="B44" s="348" t="s">
        <v>2369</v>
      </c>
      <c r="C44" s="347">
        <v>22370</v>
      </c>
      <c r="D44" s="347">
        <v>23140</v>
      </c>
      <c r="E44" s="347">
        <v>25090</v>
      </c>
      <c r="F44" s="347"/>
      <c r="G44" s="355">
        <v>16190</v>
      </c>
      <c r="N44" s="347" t="s">
        <v>2564</v>
      </c>
      <c r="O44" s="347" t="s">
        <v>2565</v>
      </c>
      <c r="P44" s="351" t="s">
        <v>2566</v>
      </c>
      <c r="Q44" s="347" t="s">
        <v>2567</v>
      </c>
    </row>
    <row r="45" spans="1:17" ht="14.25" customHeight="1">
      <c r="A45" s="347" t="s">
        <v>251</v>
      </c>
      <c r="B45" s="348" t="s">
        <v>2379</v>
      </c>
      <c r="C45" s="347">
        <v>21240</v>
      </c>
      <c r="D45" s="347">
        <v>27050</v>
      </c>
      <c r="E45" s="347">
        <v>28000</v>
      </c>
      <c r="F45" s="347"/>
      <c r="G45" s="355">
        <v>18940</v>
      </c>
      <c r="N45" s="347" t="s">
        <v>2568</v>
      </c>
      <c r="O45" s="351" t="s">
        <v>2569</v>
      </c>
      <c r="Q45" s="347" t="s">
        <v>2570</v>
      </c>
    </row>
    <row r="46" spans="1:17" ht="14.25" customHeight="1">
      <c r="A46" s="347" t="s">
        <v>251</v>
      </c>
      <c r="B46" s="348" t="s">
        <v>2389</v>
      </c>
      <c r="C46" s="347">
        <v>23240</v>
      </c>
      <c r="D46" s="347">
        <v>23000</v>
      </c>
      <c r="E46" s="347">
        <v>24980</v>
      </c>
      <c r="F46" s="347"/>
      <c r="G46" s="355">
        <v>16100</v>
      </c>
      <c r="N46" s="347" t="s">
        <v>2571</v>
      </c>
      <c r="Q46" s="347" t="s">
        <v>2572</v>
      </c>
    </row>
    <row r="47" spans="1:17" ht="14.25" customHeight="1">
      <c r="A47" s="347" t="s">
        <v>251</v>
      </c>
      <c r="B47" s="348" t="s">
        <v>2399</v>
      </c>
      <c r="C47" s="347">
        <v>27150</v>
      </c>
      <c r="D47" s="347">
        <v>23310</v>
      </c>
      <c r="E47" s="347">
        <v>25150</v>
      </c>
      <c r="F47" s="347"/>
      <c r="G47" s="355">
        <v>16310</v>
      </c>
      <c r="N47" s="347" t="s">
        <v>2573</v>
      </c>
      <c r="Q47" s="347" t="s">
        <v>2574</v>
      </c>
    </row>
    <row r="48" spans="1:17" ht="14.25" customHeight="1">
      <c r="A48" s="347" t="s">
        <v>251</v>
      </c>
      <c r="B48" s="348" t="s">
        <v>2409</v>
      </c>
      <c r="C48" s="347">
        <v>23100</v>
      </c>
      <c r="D48" s="347">
        <v>21110</v>
      </c>
      <c r="E48" s="347">
        <v>23080</v>
      </c>
      <c r="F48" s="347"/>
      <c r="G48" s="355">
        <v>14780</v>
      </c>
      <c r="N48" s="347" t="s">
        <v>2575</v>
      </c>
      <c r="Q48" s="347" t="s">
        <v>2576</v>
      </c>
    </row>
    <row r="49" spans="1:17" ht="14.25" customHeight="1">
      <c r="A49" s="347" t="s">
        <v>251</v>
      </c>
      <c r="B49" s="348" t="s">
        <v>2419</v>
      </c>
      <c r="C49" s="347">
        <v>23400</v>
      </c>
      <c r="D49" s="347">
        <v>22920</v>
      </c>
      <c r="E49" s="347">
        <v>24900</v>
      </c>
      <c r="F49" s="347"/>
      <c r="G49" s="355">
        <v>16040</v>
      </c>
      <c r="N49" s="347" t="s">
        <v>2577</v>
      </c>
      <c r="Q49" s="347" t="s">
        <v>2578</v>
      </c>
    </row>
    <row r="50" spans="1:17" ht="14.25" customHeight="1">
      <c r="A50" s="347" t="s">
        <v>251</v>
      </c>
      <c r="B50" s="348" t="s">
        <v>2428</v>
      </c>
      <c r="C50" s="347">
        <v>21200</v>
      </c>
      <c r="D50" s="347">
        <v>26540</v>
      </c>
      <c r="E50" s="347">
        <v>23200</v>
      </c>
      <c r="F50" s="347"/>
      <c r="G50" s="355">
        <v>18580</v>
      </c>
      <c r="N50" s="347" t="s">
        <v>2579</v>
      </c>
      <c r="Q50" s="348" t="s">
        <v>2580</v>
      </c>
    </row>
    <row r="51" spans="1:17" ht="14.25" customHeight="1">
      <c r="A51" s="347" t="s">
        <v>251</v>
      </c>
      <c r="B51" s="348" t="s">
        <v>2436</v>
      </c>
      <c r="C51" s="347">
        <v>23000</v>
      </c>
      <c r="D51" s="347">
        <v>23460</v>
      </c>
      <c r="E51" s="347">
        <v>25290</v>
      </c>
      <c r="F51" s="347"/>
      <c r="G51" s="355">
        <v>16420</v>
      </c>
      <c r="N51" s="347" t="s">
        <v>2581</v>
      </c>
      <c r="Q51" s="351" t="s">
        <v>2582</v>
      </c>
    </row>
    <row r="52" spans="1:17" ht="14.25" customHeight="1">
      <c r="A52" s="347" t="s">
        <v>251</v>
      </c>
      <c r="B52" s="348" t="s">
        <v>2444</v>
      </c>
      <c r="C52" s="347">
        <v>26660</v>
      </c>
      <c r="D52" s="347">
        <v>22350</v>
      </c>
      <c r="E52" s="347">
        <v>22920</v>
      </c>
      <c r="F52" s="347"/>
      <c r="G52" s="355">
        <v>15640</v>
      </c>
      <c r="N52" s="347" t="s">
        <v>2583</v>
      </c>
    </row>
    <row r="53" spans="1:17" ht="14.25" customHeight="1">
      <c r="A53" s="347" t="s">
        <v>251</v>
      </c>
      <c r="B53" s="348" t="s">
        <v>2452</v>
      </c>
      <c r="C53" s="347">
        <v>23580</v>
      </c>
      <c r="D53" s="347"/>
      <c r="E53" s="347">
        <v>24280</v>
      </c>
      <c r="F53" s="347"/>
      <c r="G53" s="355"/>
      <c r="N53" s="347" t="s">
        <v>2584</v>
      </c>
    </row>
    <row r="54" spans="1:17" ht="14.25" customHeight="1">
      <c r="A54" s="356" t="s">
        <v>251</v>
      </c>
      <c r="B54" s="350" t="s">
        <v>2460</v>
      </c>
      <c r="C54" s="351">
        <v>22460</v>
      </c>
      <c r="D54" s="351"/>
      <c r="E54" s="351"/>
      <c r="F54" s="351"/>
      <c r="G54" s="357"/>
      <c r="N54" s="347" t="s">
        <v>2585</v>
      </c>
    </row>
    <row r="55" spans="1:17" ht="14.25" customHeight="1">
      <c r="A55" s="345" t="s">
        <v>259</v>
      </c>
      <c r="B55" s="346" t="s">
        <v>2216</v>
      </c>
      <c r="C55" s="347">
        <v>21970</v>
      </c>
      <c r="D55" s="347">
        <v>20370</v>
      </c>
      <c r="E55" s="347">
        <v>20180</v>
      </c>
      <c r="F55" s="347">
        <v>5730</v>
      </c>
      <c r="G55" s="347">
        <v>13820</v>
      </c>
      <c r="N55" s="347" t="s">
        <v>2586</v>
      </c>
    </row>
    <row r="56" spans="1:17" ht="14.25" customHeight="1">
      <c r="A56" s="347" t="s">
        <v>259</v>
      </c>
      <c r="B56" s="347" t="s">
        <v>2229</v>
      </c>
      <c r="C56" s="347">
        <v>20470</v>
      </c>
      <c r="D56" s="347">
        <v>20700</v>
      </c>
      <c r="E56" s="347">
        <v>20380</v>
      </c>
      <c r="F56" s="347">
        <v>4760</v>
      </c>
      <c r="G56" s="347">
        <v>14050</v>
      </c>
      <c r="N56" s="347" t="s">
        <v>2587</v>
      </c>
    </row>
    <row r="57" spans="1:17" ht="14.25" customHeight="1">
      <c r="A57" s="347" t="s">
        <v>259</v>
      </c>
      <c r="B57" s="347" t="s">
        <v>2243</v>
      </c>
      <c r="C57" s="347">
        <v>20790</v>
      </c>
      <c r="D57" s="347">
        <v>21370</v>
      </c>
      <c r="E57" s="347">
        <v>20890</v>
      </c>
      <c r="F57" s="347">
        <v>4910</v>
      </c>
      <c r="G57" s="347">
        <v>14510</v>
      </c>
      <c r="N57" s="347" t="s">
        <v>2588</v>
      </c>
    </row>
    <row r="58" spans="1:17" ht="14.25" customHeight="1">
      <c r="A58" s="347" t="s">
        <v>259</v>
      </c>
      <c r="B58" s="347" t="s">
        <v>2255</v>
      </c>
      <c r="C58" s="347">
        <v>21460</v>
      </c>
      <c r="D58" s="347">
        <v>20920</v>
      </c>
      <c r="E58" s="347">
        <v>23410</v>
      </c>
      <c r="F58" s="347">
        <v>5100</v>
      </c>
      <c r="G58" s="347">
        <v>14200</v>
      </c>
      <c r="N58" s="347" t="s">
        <v>2589</v>
      </c>
    </row>
    <row r="59" spans="1:17" ht="14.25" customHeight="1">
      <c r="A59" s="347" t="s">
        <v>259</v>
      </c>
      <c r="B59" s="347" t="s">
        <v>2267</v>
      </c>
      <c r="C59" s="347">
        <v>21000</v>
      </c>
      <c r="D59" s="347">
        <v>21550</v>
      </c>
      <c r="E59" s="347">
        <v>21150</v>
      </c>
      <c r="F59" s="347">
        <v>5250</v>
      </c>
      <c r="G59" s="347">
        <v>14630</v>
      </c>
      <c r="N59" s="347" t="s">
        <v>2590</v>
      </c>
    </row>
    <row r="60" spans="1:17" ht="14.25" customHeight="1">
      <c r="A60" s="347" t="s">
        <v>259</v>
      </c>
      <c r="B60" s="347" t="s">
        <v>2278</v>
      </c>
      <c r="C60" s="347">
        <v>21640</v>
      </c>
      <c r="D60" s="347">
        <v>21260</v>
      </c>
      <c r="E60" s="347">
        <v>24040</v>
      </c>
      <c r="F60" s="347">
        <v>4470</v>
      </c>
      <c r="G60" s="347">
        <v>14430</v>
      </c>
      <c r="N60" s="347" t="s">
        <v>2591</v>
      </c>
    </row>
    <row r="61" spans="1:17" ht="14.25" customHeight="1">
      <c r="A61" s="347" t="s">
        <v>259</v>
      </c>
      <c r="B61" s="347" t="s">
        <v>2289</v>
      </c>
      <c r="C61" s="347">
        <v>21330</v>
      </c>
      <c r="D61" s="347">
        <v>18640</v>
      </c>
      <c r="E61" s="347">
        <v>21190</v>
      </c>
      <c r="F61" s="347">
        <v>4180</v>
      </c>
      <c r="G61" s="347">
        <v>12650</v>
      </c>
      <c r="N61" s="347" t="s">
        <v>2592</v>
      </c>
    </row>
    <row r="62" spans="1:17" ht="14.25" customHeight="1">
      <c r="A62" s="347" t="s">
        <v>259</v>
      </c>
      <c r="B62" s="347" t="s">
        <v>2300</v>
      </c>
      <c r="C62" s="347">
        <v>18710</v>
      </c>
      <c r="D62" s="347">
        <v>19400</v>
      </c>
      <c r="E62" s="347">
        <v>23750</v>
      </c>
      <c r="F62" s="347">
        <v>4860</v>
      </c>
      <c r="G62" s="347">
        <v>13170</v>
      </c>
      <c r="N62" s="347" t="s">
        <v>2593</v>
      </c>
    </row>
    <row r="63" spans="1:17" ht="14.25" customHeight="1">
      <c r="A63" s="347" t="s">
        <v>259</v>
      </c>
      <c r="B63" s="347" t="s">
        <v>2310</v>
      </c>
      <c r="C63" s="347">
        <v>19480</v>
      </c>
      <c r="D63" s="347">
        <v>16830</v>
      </c>
      <c r="E63" s="347">
        <v>21590</v>
      </c>
      <c r="F63" s="347">
        <v>4560</v>
      </c>
      <c r="G63" s="347">
        <v>11420</v>
      </c>
      <c r="N63" s="347" t="s">
        <v>2594</v>
      </c>
    </row>
    <row r="64" spans="1:17" ht="14.25" customHeight="1">
      <c r="A64" s="347" t="s">
        <v>259</v>
      </c>
      <c r="B64" s="347" t="s">
        <v>2320</v>
      </c>
      <c r="C64" s="347">
        <v>16920</v>
      </c>
      <c r="D64" s="347">
        <v>19190</v>
      </c>
      <c r="E64" s="347">
        <v>22200</v>
      </c>
      <c r="F64" s="347">
        <v>4390</v>
      </c>
      <c r="G64" s="347">
        <v>13030</v>
      </c>
      <c r="N64" s="351" t="s">
        <v>2595</v>
      </c>
    </row>
    <row r="65" spans="1:7" s="336" customFormat="1" ht="14.25" customHeight="1">
      <c r="A65" s="347" t="s">
        <v>259</v>
      </c>
      <c r="B65" s="347" t="s">
        <v>2330</v>
      </c>
      <c r="C65" s="347">
        <v>19290</v>
      </c>
      <c r="D65" s="347">
        <v>17020</v>
      </c>
      <c r="E65" s="347">
        <v>19880</v>
      </c>
      <c r="F65" s="347">
        <v>4070</v>
      </c>
      <c r="G65" s="347">
        <v>11550</v>
      </c>
    </row>
    <row r="66" spans="1:7" s="336" customFormat="1" ht="14.25" customHeight="1">
      <c r="A66" s="347" t="s">
        <v>259</v>
      </c>
      <c r="B66" s="347" t="s">
        <v>2340</v>
      </c>
      <c r="C66" s="347">
        <v>17090</v>
      </c>
      <c r="D66" s="347">
        <v>18340</v>
      </c>
      <c r="E66" s="347">
        <v>21830</v>
      </c>
      <c r="F66" s="347">
        <v>4690</v>
      </c>
      <c r="G66" s="347">
        <v>12450</v>
      </c>
    </row>
    <row r="67" spans="1:7" s="336" customFormat="1" ht="14.25" customHeight="1">
      <c r="A67" s="347" t="s">
        <v>259</v>
      </c>
      <c r="B67" s="347" t="s">
        <v>2350</v>
      </c>
      <c r="C67" s="347">
        <v>18420</v>
      </c>
      <c r="D67" s="347">
        <v>16360</v>
      </c>
      <c r="E67" s="347">
        <v>20020</v>
      </c>
      <c r="F67" s="347">
        <v>5150</v>
      </c>
      <c r="G67" s="347">
        <v>11110</v>
      </c>
    </row>
    <row r="68" spans="1:7" s="336" customFormat="1" ht="14.25" customHeight="1">
      <c r="A68" s="347" t="s">
        <v>259</v>
      </c>
      <c r="B68" s="347" t="s">
        <v>2360</v>
      </c>
      <c r="C68" s="347">
        <v>16450</v>
      </c>
      <c r="D68" s="347">
        <v>18430</v>
      </c>
      <c r="E68" s="347">
        <v>21010</v>
      </c>
      <c r="F68" s="347">
        <v>4720</v>
      </c>
      <c r="G68" s="347">
        <v>12510</v>
      </c>
    </row>
    <row r="69" spans="1:7" s="336" customFormat="1" ht="14.25" customHeight="1">
      <c r="A69" s="347" t="s">
        <v>259</v>
      </c>
      <c r="B69" s="347" t="s">
        <v>2370</v>
      </c>
      <c r="C69" s="347">
        <v>18510</v>
      </c>
      <c r="D69" s="347">
        <v>16300</v>
      </c>
      <c r="E69" s="347">
        <v>18830</v>
      </c>
      <c r="F69" s="347">
        <v>5400</v>
      </c>
      <c r="G69" s="347">
        <v>11070</v>
      </c>
    </row>
    <row r="70" spans="1:7" s="336" customFormat="1" ht="14.25" customHeight="1">
      <c r="A70" s="347" t="s">
        <v>259</v>
      </c>
      <c r="B70" s="347" t="s">
        <v>2380</v>
      </c>
      <c r="C70" s="347">
        <v>16370</v>
      </c>
      <c r="D70" s="347">
        <v>18620</v>
      </c>
      <c r="E70" s="347">
        <v>21100</v>
      </c>
      <c r="F70" s="347">
        <v>5700</v>
      </c>
      <c r="G70" s="347">
        <v>12640</v>
      </c>
    </row>
    <row r="71" spans="1:7" s="336" customFormat="1" ht="14.25" customHeight="1">
      <c r="A71" s="347" t="s">
        <v>259</v>
      </c>
      <c r="B71" s="347" t="s">
        <v>2390</v>
      </c>
      <c r="C71" s="347">
        <v>18700</v>
      </c>
      <c r="D71" s="347">
        <v>16290</v>
      </c>
      <c r="E71" s="347">
        <v>18760</v>
      </c>
      <c r="F71" s="347">
        <v>4780</v>
      </c>
      <c r="G71" s="347">
        <v>11050</v>
      </c>
    </row>
    <row r="72" spans="1:7" s="336" customFormat="1" ht="14.25" customHeight="1">
      <c r="A72" s="347" t="s">
        <v>259</v>
      </c>
      <c r="B72" s="347" t="s">
        <v>2400</v>
      </c>
      <c r="C72" s="347">
        <v>16340</v>
      </c>
      <c r="D72" s="347">
        <v>17520</v>
      </c>
      <c r="E72" s="347">
        <v>21170</v>
      </c>
      <c r="F72" s="347"/>
      <c r="G72" s="347">
        <v>11900</v>
      </c>
    </row>
    <row r="73" spans="1:7" s="336" customFormat="1" ht="14.25" customHeight="1">
      <c r="A73" s="347" t="s">
        <v>259</v>
      </c>
      <c r="B73" s="347" t="s">
        <v>2410</v>
      </c>
      <c r="C73" s="347">
        <v>17610</v>
      </c>
      <c r="D73" s="347">
        <v>18520</v>
      </c>
      <c r="E73" s="347">
        <v>18720</v>
      </c>
      <c r="F73" s="347"/>
      <c r="G73" s="347">
        <v>12570</v>
      </c>
    </row>
    <row r="74" spans="1:7" s="336" customFormat="1" ht="14.25" customHeight="1">
      <c r="A74" s="347" t="s">
        <v>259</v>
      </c>
      <c r="B74" s="347" t="s">
        <v>2420</v>
      </c>
      <c r="C74" s="347">
        <v>18600</v>
      </c>
      <c r="D74" s="347">
        <v>16480</v>
      </c>
      <c r="E74" s="347">
        <v>20100</v>
      </c>
      <c r="F74" s="347"/>
      <c r="G74" s="347">
        <v>11190</v>
      </c>
    </row>
    <row r="75" spans="1:7" s="336" customFormat="1" ht="14.25" customHeight="1">
      <c r="A75" s="347" t="s">
        <v>259</v>
      </c>
      <c r="B75" s="347" t="s">
        <v>2429</v>
      </c>
      <c r="C75" s="347">
        <v>16570</v>
      </c>
      <c r="D75" s="347">
        <v>17530</v>
      </c>
      <c r="E75" s="347">
        <v>21030</v>
      </c>
      <c r="F75" s="347"/>
      <c r="G75" s="347">
        <v>11900</v>
      </c>
    </row>
    <row r="76" spans="1:7" s="336" customFormat="1" ht="14.25" customHeight="1">
      <c r="A76" s="347" t="s">
        <v>259</v>
      </c>
      <c r="B76" s="347" t="s">
        <v>2437</v>
      </c>
      <c r="C76" s="347">
        <v>17610</v>
      </c>
      <c r="D76" s="347">
        <v>20800</v>
      </c>
      <c r="E76" s="347">
        <v>18920</v>
      </c>
      <c r="F76" s="347"/>
      <c r="G76" s="347">
        <v>14120</v>
      </c>
    </row>
    <row r="77" spans="1:7" s="336" customFormat="1" ht="14.25" customHeight="1">
      <c r="A77" s="347" t="s">
        <v>259</v>
      </c>
      <c r="B77" s="347" t="s">
        <v>2445</v>
      </c>
      <c r="C77" s="347">
        <v>20890</v>
      </c>
      <c r="D77" s="347">
        <v>19740</v>
      </c>
      <c r="E77" s="347">
        <v>20110</v>
      </c>
      <c r="F77" s="347"/>
      <c r="G77" s="347">
        <v>13400</v>
      </c>
    </row>
    <row r="78" spans="1:7" s="336" customFormat="1" ht="14.25" customHeight="1">
      <c r="A78" s="347" t="s">
        <v>259</v>
      </c>
      <c r="B78" s="347" t="s">
        <v>2453</v>
      </c>
      <c r="C78" s="347">
        <v>19820</v>
      </c>
      <c r="D78" s="347">
        <v>19780</v>
      </c>
      <c r="E78" s="347">
        <v>18560</v>
      </c>
      <c r="F78" s="347"/>
      <c r="G78" s="347">
        <v>13430</v>
      </c>
    </row>
    <row r="79" spans="1:7" s="336" customFormat="1" ht="14.25" customHeight="1">
      <c r="A79" s="347" t="s">
        <v>259</v>
      </c>
      <c r="B79" s="347" t="s">
        <v>2461</v>
      </c>
      <c r="C79" s="347">
        <v>21660</v>
      </c>
      <c r="D79" s="347">
        <v>18000</v>
      </c>
      <c r="E79" s="347">
        <v>22570</v>
      </c>
      <c r="F79" s="347"/>
      <c r="G79" s="347">
        <v>12220</v>
      </c>
    </row>
    <row r="80" spans="1:7" s="336" customFormat="1" ht="14.25" customHeight="1">
      <c r="A80" s="347" t="s">
        <v>259</v>
      </c>
      <c r="B80" s="347" t="s">
        <v>2468</v>
      </c>
      <c r="C80" s="347">
        <v>19850</v>
      </c>
      <c r="D80" s="347"/>
      <c r="E80" s="347">
        <v>21700</v>
      </c>
      <c r="F80" s="347"/>
      <c r="G80" s="347"/>
    </row>
    <row r="81" spans="1:7" s="336" customFormat="1" ht="14.25" customHeight="1">
      <c r="A81" s="347" t="s">
        <v>259</v>
      </c>
      <c r="B81" s="347" t="s">
        <v>2475</v>
      </c>
      <c r="C81" s="347">
        <v>18080</v>
      </c>
      <c r="D81" s="347"/>
      <c r="E81" s="347">
        <v>20900</v>
      </c>
      <c r="F81" s="347"/>
      <c r="G81" s="347"/>
    </row>
    <row r="82" spans="1:7" s="336" customFormat="1" ht="14.25" customHeight="1">
      <c r="A82" s="347" t="s">
        <v>259</v>
      </c>
      <c r="B82" s="347" t="s">
        <v>2482</v>
      </c>
      <c r="C82" s="347"/>
      <c r="D82" s="347"/>
      <c r="E82" s="347">
        <v>20840</v>
      </c>
      <c r="F82" s="347"/>
      <c r="G82" s="347"/>
    </row>
    <row r="83" spans="1:7" s="336" customFormat="1" ht="14.25" customHeight="1">
      <c r="A83" s="347" t="s">
        <v>259</v>
      </c>
      <c r="B83" s="347" t="s">
        <v>2489</v>
      </c>
      <c r="C83" s="347"/>
      <c r="D83" s="347"/>
      <c r="E83" s="347"/>
      <c r="F83" s="347">
        <v>4770</v>
      </c>
      <c r="G83" s="347"/>
    </row>
    <row r="84" spans="1:7" s="336" customFormat="1" ht="14.25" customHeight="1">
      <c r="A84" s="347" t="s">
        <v>259</v>
      </c>
      <c r="B84" s="347" t="s">
        <v>2496</v>
      </c>
      <c r="C84" s="347"/>
      <c r="D84" s="347"/>
      <c r="E84" s="347"/>
      <c r="F84" s="347">
        <v>4600</v>
      </c>
      <c r="G84" s="347"/>
    </row>
    <row r="85" spans="1:7" s="336" customFormat="1" ht="14.25" customHeight="1">
      <c r="A85" s="347" t="s">
        <v>259</v>
      </c>
      <c r="B85" s="347" t="s">
        <v>2503</v>
      </c>
      <c r="C85" s="347"/>
      <c r="D85" s="347"/>
      <c r="E85" s="347"/>
      <c r="F85" s="347">
        <v>4680</v>
      </c>
      <c r="G85" s="347"/>
    </row>
    <row r="86" spans="1:7" s="336" customFormat="1" ht="14.25" customHeight="1">
      <c r="A86" s="349" t="s">
        <v>259</v>
      </c>
      <c r="B86" s="352" t="s">
        <v>2510</v>
      </c>
      <c r="C86" s="353">
        <v>16610</v>
      </c>
      <c r="D86" s="353">
        <v>16540</v>
      </c>
      <c r="E86" s="353">
        <v>18850</v>
      </c>
      <c r="F86" s="353"/>
      <c r="G86" s="353">
        <v>11220</v>
      </c>
    </row>
    <row r="87" spans="1:7" s="336" customFormat="1" ht="14.25" customHeight="1">
      <c r="A87" s="345" t="s">
        <v>267</v>
      </c>
      <c r="B87" s="346" t="s">
        <v>2217</v>
      </c>
      <c r="C87" s="346">
        <v>15240</v>
      </c>
      <c r="D87" s="346">
        <v>15170</v>
      </c>
      <c r="E87" s="346">
        <v>18260</v>
      </c>
      <c r="F87" s="346">
        <v>3830</v>
      </c>
      <c r="G87" s="354">
        <v>10020</v>
      </c>
    </row>
    <row r="88" spans="1:7" s="336" customFormat="1" ht="14.25" customHeight="1">
      <c r="A88" s="347" t="s">
        <v>267</v>
      </c>
      <c r="B88" s="347" t="s">
        <v>2230</v>
      </c>
      <c r="C88" s="347">
        <v>17310</v>
      </c>
      <c r="D88" s="347">
        <v>17220</v>
      </c>
      <c r="E88" s="347">
        <v>18610</v>
      </c>
      <c r="F88" s="347">
        <v>3990</v>
      </c>
      <c r="G88" s="355">
        <v>11380</v>
      </c>
    </row>
    <row r="89" spans="1:7" s="336" customFormat="1" ht="14.25" customHeight="1">
      <c r="A89" s="347" t="s">
        <v>267</v>
      </c>
      <c r="B89" s="347" t="s">
        <v>2244</v>
      </c>
      <c r="C89" s="347">
        <v>15600</v>
      </c>
      <c r="D89" s="347">
        <v>15550</v>
      </c>
      <c r="E89" s="347">
        <v>19200</v>
      </c>
      <c r="F89" s="347">
        <v>4110</v>
      </c>
      <c r="G89" s="355">
        <v>10270</v>
      </c>
    </row>
    <row r="90" spans="1:7" s="336" customFormat="1" ht="14.25" customHeight="1">
      <c r="A90" s="347" t="s">
        <v>267</v>
      </c>
      <c r="B90" s="347" t="s">
        <v>2256</v>
      </c>
      <c r="C90" s="347">
        <v>17330</v>
      </c>
      <c r="D90" s="347">
        <v>17240</v>
      </c>
      <c r="E90" s="347">
        <v>18570</v>
      </c>
      <c r="F90" s="347">
        <v>4070</v>
      </c>
      <c r="G90" s="355">
        <v>11390</v>
      </c>
    </row>
    <row r="91" spans="1:7" s="336" customFormat="1" ht="14.25" customHeight="1">
      <c r="A91" s="347" t="s">
        <v>267</v>
      </c>
      <c r="B91" s="347" t="s">
        <v>2268</v>
      </c>
      <c r="C91" s="347">
        <v>16330</v>
      </c>
      <c r="D91" s="347">
        <v>16260</v>
      </c>
      <c r="E91" s="347">
        <v>16800</v>
      </c>
      <c r="F91" s="347">
        <v>3410</v>
      </c>
      <c r="G91" s="355">
        <v>10740</v>
      </c>
    </row>
    <row r="92" spans="1:7" s="336" customFormat="1" ht="14.25" customHeight="1">
      <c r="A92" s="347" t="s">
        <v>267</v>
      </c>
      <c r="B92" s="347" t="s">
        <v>2279</v>
      </c>
      <c r="C92" s="347">
        <v>15570</v>
      </c>
      <c r="D92" s="347">
        <v>15500</v>
      </c>
      <c r="E92" s="347">
        <v>17360</v>
      </c>
      <c r="F92" s="347">
        <v>3510</v>
      </c>
      <c r="G92" s="355">
        <v>10240</v>
      </c>
    </row>
    <row r="93" spans="1:7" s="336" customFormat="1" ht="14.25" customHeight="1">
      <c r="A93" s="347" t="s">
        <v>267</v>
      </c>
      <c r="B93" s="347" t="s">
        <v>2290</v>
      </c>
      <c r="C93" s="347">
        <v>14000</v>
      </c>
      <c r="D93" s="347">
        <v>13930</v>
      </c>
      <c r="E93" s="347">
        <v>18200</v>
      </c>
      <c r="F93" s="347">
        <v>3640</v>
      </c>
      <c r="G93" s="355">
        <v>9210</v>
      </c>
    </row>
    <row r="94" spans="1:7" s="336" customFormat="1" ht="14.25" customHeight="1">
      <c r="A94" s="347" t="s">
        <v>267</v>
      </c>
      <c r="B94" s="347" t="s">
        <v>2301</v>
      </c>
      <c r="C94" s="347">
        <v>14530</v>
      </c>
      <c r="D94" s="347">
        <v>14470</v>
      </c>
      <c r="E94" s="347">
        <v>18240</v>
      </c>
      <c r="F94" s="347">
        <v>3180</v>
      </c>
      <c r="G94" s="355">
        <v>9560</v>
      </c>
    </row>
    <row r="95" spans="1:7" s="336" customFormat="1" ht="14.25" customHeight="1">
      <c r="A95" s="347" t="s">
        <v>267</v>
      </c>
      <c r="B95" s="347" t="s">
        <v>2311</v>
      </c>
      <c r="C95" s="347">
        <v>17330</v>
      </c>
      <c r="D95" s="347">
        <v>17260</v>
      </c>
      <c r="E95" s="347">
        <v>18420</v>
      </c>
      <c r="F95" s="347">
        <v>3060</v>
      </c>
      <c r="G95" s="355">
        <v>11410</v>
      </c>
    </row>
    <row r="96" spans="1:7" s="336" customFormat="1" ht="14.25" customHeight="1">
      <c r="A96" s="347" t="s">
        <v>267</v>
      </c>
      <c r="B96" s="347" t="s">
        <v>2321</v>
      </c>
      <c r="C96" s="347">
        <v>15030</v>
      </c>
      <c r="D96" s="347">
        <v>14970</v>
      </c>
      <c r="E96" s="347">
        <v>17580</v>
      </c>
      <c r="F96" s="347">
        <v>2970</v>
      </c>
      <c r="G96" s="355">
        <v>9890</v>
      </c>
    </row>
    <row r="97" spans="1:7" s="336" customFormat="1" ht="14.25" customHeight="1">
      <c r="A97" s="347" t="s">
        <v>267</v>
      </c>
      <c r="B97" s="347" t="s">
        <v>2331</v>
      </c>
      <c r="C97" s="347">
        <v>17400</v>
      </c>
      <c r="D97" s="347">
        <v>17330</v>
      </c>
      <c r="E97" s="347">
        <v>16430</v>
      </c>
      <c r="F97" s="347">
        <v>2950</v>
      </c>
      <c r="G97" s="355">
        <v>11450</v>
      </c>
    </row>
    <row r="98" spans="1:7" s="336" customFormat="1" ht="14.25" customHeight="1">
      <c r="A98" s="347" t="s">
        <v>267</v>
      </c>
      <c r="B98" s="347" t="s">
        <v>2341</v>
      </c>
      <c r="C98" s="347">
        <v>15200</v>
      </c>
      <c r="D98" s="347">
        <v>15120</v>
      </c>
      <c r="E98" s="347">
        <v>17550</v>
      </c>
      <c r="F98" s="347">
        <v>3080</v>
      </c>
      <c r="G98" s="355">
        <v>9990</v>
      </c>
    </row>
    <row r="99" spans="1:7" s="336" customFormat="1" ht="14.25" customHeight="1">
      <c r="A99" s="347" t="s">
        <v>267</v>
      </c>
      <c r="B99" s="347" t="s">
        <v>2351</v>
      </c>
      <c r="C99" s="347">
        <v>17520</v>
      </c>
      <c r="D99" s="347">
        <v>17430</v>
      </c>
      <c r="E99" s="347">
        <v>16350</v>
      </c>
      <c r="F99" s="347">
        <v>3260</v>
      </c>
      <c r="G99" s="355">
        <v>11510</v>
      </c>
    </row>
    <row r="100" spans="1:7" s="336" customFormat="1" ht="14.25" customHeight="1">
      <c r="A100" s="347" t="s">
        <v>267</v>
      </c>
      <c r="B100" s="347" t="s">
        <v>2361</v>
      </c>
      <c r="C100" s="347">
        <v>15340</v>
      </c>
      <c r="D100" s="347">
        <v>15260</v>
      </c>
      <c r="E100" s="347">
        <v>15930</v>
      </c>
      <c r="F100" s="347">
        <v>2740</v>
      </c>
      <c r="G100" s="355">
        <v>10080</v>
      </c>
    </row>
    <row r="101" spans="1:7" s="336" customFormat="1" ht="14.25" customHeight="1">
      <c r="A101" s="347" t="s">
        <v>267</v>
      </c>
      <c r="B101" s="347" t="s">
        <v>2371</v>
      </c>
      <c r="C101" s="347">
        <v>14620</v>
      </c>
      <c r="D101" s="347">
        <v>14560</v>
      </c>
      <c r="E101" s="347">
        <v>15570</v>
      </c>
      <c r="F101" s="347">
        <v>3500</v>
      </c>
      <c r="G101" s="355">
        <v>9630</v>
      </c>
    </row>
    <row r="102" spans="1:7" s="336" customFormat="1" ht="14.25" customHeight="1">
      <c r="A102" s="347" t="s">
        <v>267</v>
      </c>
      <c r="B102" s="347" t="s">
        <v>2381</v>
      </c>
      <c r="C102" s="347">
        <v>13680</v>
      </c>
      <c r="D102" s="347">
        <v>13610</v>
      </c>
      <c r="E102" s="347">
        <v>15690</v>
      </c>
      <c r="F102" s="347">
        <v>2870</v>
      </c>
      <c r="G102" s="355">
        <v>8990</v>
      </c>
    </row>
    <row r="103" spans="1:7" s="336" customFormat="1" ht="14.25" customHeight="1">
      <c r="A103" s="347" t="s">
        <v>267</v>
      </c>
      <c r="B103" s="347" t="s">
        <v>2391</v>
      </c>
      <c r="C103" s="347">
        <v>14620</v>
      </c>
      <c r="D103" s="347">
        <v>14540</v>
      </c>
      <c r="E103" s="347">
        <v>15240</v>
      </c>
      <c r="F103" s="347">
        <v>2840</v>
      </c>
      <c r="G103" s="355">
        <v>9610</v>
      </c>
    </row>
    <row r="104" spans="1:7" s="336" customFormat="1" ht="14.25" customHeight="1">
      <c r="A104" s="347" t="s">
        <v>267</v>
      </c>
      <c r="B104" s="347" t="s">
        <v>2401</v>
      </c>
      <c r="C104" s="347">
        <v>13610</v>
      </c>
      <c r="D104" s="347">
        <v>13540</v>
      </c>
      <c r="E104" s="347">
        <v>15750</v>
      </c>
      <c r="F104" s="347">
        <v>2770</v>
      </c>
      <c r="G104" s="355">
        <v>8940</v>
      </c>
    </row>
    <row r="105" spans="1:7" s="336" customFormat="1" ht="14.25" customHeight="1">
      <c r="A105" s="347" t="s">
        <v>267</v>
      </c>
      <c r="B105" s="347" t="s">
        <v>2411</v>
      </c>
      <c r="C105" s="347">
        <v>13310</v>
      </c>
      <c r="D105" s="347">
        <v>13240</v>
      </c>
      <c r="E105" s="347">
        <v>16280</v>
      </c>
      <c r="F105" s="347">
        <v>3210</v>
      </c>
      <c r="G105" s="355">
        <v>8750</v>
      </c>
    </row>
    <row r="106" spans="1:7" s="336" customFormat="1" ht="14.25" customHeight="1">
      <c r="A106" s="347" t="s">
        <v>267</v>
      </c>
      <c r="B106" s="347" t="s">
        <v>2421</v>
      </c>
      <c r="C106" s="347">
        <v>13010</v>
      </c>
      <c r="D106" s="347">
        <v>12930</v>
      </c>
      <c r="E106" s="347">
        <v>14960</v>
      </c>
      <c r="F106" s="347">
        <v>3530</v>
      </c>
      <c r="G106" s="355">
        <v>8550</v>
      </c>
    </row>
    <row r="107" spans="1:7" s="336" customFormat="1" ht="14.25" customHeight="1">
      <c r="A107" s="347" t="s">
        <v>267</v>
      </c>
      <c r="B107" s="347" t="s">
        <v>2430</v>
      </c>
      <c r="C107" s="347">
        <v>13070</v>
      </c>
      <c r="D107" s="347">
        <v>13000</v>
      </c>
      <c r="E107" s="347">
        <v>15910</v>
      </c>
      <c r="F107" s="347">
        <v>3990</v>
      </c>
      <c r="G107" s="355">
        <v>8580</v>
      </c>
    </row>
    <row r="108" spans="1:7" s="336" customFormat="1" ht="14.25" customHeight="1">
      <c r="A108" s="347" t="s">
        <v>267</v>
      </c>
      <c r="B108" s="347" t="s">
        <v>2438</v>
      </c>
      <c r="C108" s="347">
        <v>12640</v>
      </c>
      <c r="D108" s="347">
        <v>12580</v>
      </c>
      <c r="E108" s="347">
        <v>15730</v>
      </c>
      <c r="F108" s="347"/>
      <c r="G108" s="355">
        <v>8310</v>
      </c>
    </row>
    <row r="109" spans="1:7" s="336" customFormat="1" ht="14.25" customHeight="1">
      <c r="A109" s="347" t="s">
        <v>267</v>
      </c>
      <c r="B109" s="347" t="s">
        <v>2446</v>
      </c>
      <c r="C109" s="347">
        <v>13130</v>
      </c>
      <c r="D109" s="347">
        <v>13070</v>
      </c>
      <c r="E109" s="347">
        <v>15000</v>
      </c>
      <c r="F109" s="347"/>
      <c r="G109" s="355">
        <v>8630</v>
      </c>
    </row>
    <row r="110" spans="1:7" s="336" customFormat="1" ht="14.25" customHeight="1">
      <c r="A110" s="347" t="s">
        <v>267</v>
      </c>
      <c r="B110" s="347" t="s">
        <v>2454</v>
      </c>
      <c r="C110" s="347">
        <v>13560</v>
      </c>
      <c r="D110" s="347">
        <v>13490</v>
      </c>
      <c r="E110" s="347">
        <v>16300</v>
      </c>
      <c r="F110" s="347"/>
      <c r="G110" s="355">
        <v>8920</v>
      </c>
    </row>
    <row r="111" spans="1:7" s="336" customFormat="1" ht="14.25" customHeight="1">
      <c r="A111" s="347" t="s">
        <v>267</v>
      </c>
      <c r="B111" s="347" t="s">
        <v>2462</v>
      </c>
      <c r="C111" s="347">
        <v>12440</v>
      </c>
      <c r="D111" s="347">
        <v>12380</v>
      </c>
      <c r="E111" s="347">
        <v>17850</v>
      </c>
      <c r="F111" s="347"/>
      <c r="G111" s="355">
        <v>8180</v>
      </c>
    </row>
    <row r="112" spans="1:7" s="336" customFormat="1" ht="14.25" customHeight="1">
      <c r="A112" s="347" t="s">
        <v>267</v>
      </c>
      <c r="B112" s="347" t="s">
        <v>2469</v>
      </c>
      <c r="C112" s="347">
        <v>13260</v>
      </c>
      <c r="D112" s="347">
        <v>13180</v>
      </c>
      <c r="E112" s="347">
        <v>19740</v>
      </c>
      <c r="F112" s="347"/>
      <c r="G112" s="355">
        <v>8710</v>
      </c>
    </row>
    <row r="113" spans="1:7" s="336" customFormat="1" ht="14.25" customHeight="1">
      <c r="A113" s="347" t="s">
        <v>267</v>
      </c>
      <c r="B113" s="347" t="s">
        <v>2476</v>
      </c>
      <c r="C113" s="347">
        <v>15520</v>
      </c>
      <c r="D113" s="347">
        <v>15450</v>
      </c>
      <c r="E113" s="347"/>
      <c r="F113" s="347"/>
      <c r="G113" s="355">
        <v>10210</v>
      </c>
    </row>
    <row r="114" spans="1:7" s="336" customFormat="1" ht="14.25" customHeight="1">
      <c r="A114" s="347" t="s">
        <v>267</v>
      </c>
      <c r="B114" s="347" t="s">
        <v>2483</v>
      </c>
      <c r="C114" s="347">
        <v>13110</v>
      </c>
      <c r="D114" s="347">
        <v>13050</v>
      </c>
      <c r="E114" s="347"/>
      <c r="F114" s="347"/>
      <c r="G114" s="355">
        <v>8620</v>
      </c>
    </row>
    <row r="115" spans="1:7" s="336" customFormat="1" ht="14.25" customHeight="1">
      <c r="A115" s="347" t="s">
        <v>267</v>
      </c>
      <c r="B115" s="347" t="s">
        <v>2490</v>
      </c>
      <c r="C115" s="347">
        <v>12460</v>
      </c>
      <c r="D115" s="347">
        <v>12390</v>
      </c>
      <c r="E115" s="347"/>
      <c r="F115" s="347"/>
      <c r="G115" s="355">
        <v>8190</v>
      </c>
    </row>
    <row r="116" spans="1:7" s="336" customFormat="1" ht="14.25" customHeight="1">
      <c r="A116" s="347" t="s">
        <v>267</v>
      </c>
      <c r="B116" s="347" t="s">
        <v>2497</v>
      </c>
      <c r="C116" s="347">
        <v>13580</v>
      </c>
      <c r="D116" s="347">
        <v>13520</v>
      </c>
      <c r="E116" s="347"/>
      <c r="F116" s="347"/>
      <c r="G116" s="355">
        <v>8930</v>
      </c>
    </row>
    <row r="117" spans="1:7" s="336" customFormat="1" ht="14.25" customHeight="1">
      <c r="A117" s="347" t="s">
        <v>267</v>
      </c>
      <c r="B117" s="347" t="s">
        <v>2504</v>
      </c>
      <c r="C117" s="347">
        <v>17120</v>
      </c>
      <c r="D117" s="347">
        <v>17040</v>
      </c>
      <c r="E117" s="347"/>
      <c r="F117" s="347"/>
      <c r="G117" s="355">
        <v>11260</v>
      </c>
    </row>
    <row r="118" spans="1:7" s="336" customFormat="1" ht="14.25" customHeight="1">
      <c r="A118" s="347" t="s">
        <v>267</v>
      </c>
      <c r="B118" s="347" t="s">
        <v>2511</v>
      </c>
      <c r="C118" s="347">
        <v>14860</v>
      </c>
      <c r="D118" s="347">
        <v>14790</v>
      </c>
      <c r="E118" s="347"/>
      <c r="F118" s="347"/>
      <c r="G118" s="355">
        <v>9780</v>
      </c>
    </row>
    <row r="119" spans="1:7" s="336" customFormat="1" ht="14.25" customHeight="1">
      <c r="A119" s="347" t="s">
        <v>267</v>
      </c>
      <c r="B119" s="347" t="s">
        <v>2516</v>
      </c>
      <c r="C119" s="347">
        <v>16470</v>
      </c>
      <c r="D119" s="347">
        <v>16400</v>
      </c>
      <c r="E119" s="347"/>
      <c r="F119" s="347"/>
      <c r="G119" s="355">
        <v>10840</v>
      </c>
    </row>
    <row r="120" spans="1:7" s="336" customFormat="1" ht="14.25" customHeight="1">
      <c r="A120" s="347" t="s">
        <v>267</v>
      </c>
      <c r="B120" s="347" t="s">
        <v>2521</v>
      </c>
      <c r="C120" s="347"/>
      <c r="D120" s="347"/>
      <c r="E120" s="347"/>
      <c r="F120" s="347">
        <v>4160</v>
      </c>
      <c r="G120" s="355"/>
    </row>
    <row r="121" spans="1:7" s="336" customFormat="1" ht="14.25" customHeight="1">
      <c r="A121" s="347" t="s">
        <v>267</v>
      </c>
      <c r="B121" s="347" t="s">
        <v>2526</v>
      </c>
      <c r="C121" s="347"/>
      <c r="D121" s="347"/>
      <c r="E121" s="347"/>
      <c r="F121" s="347">
        <v>3880</v>
      </c>
      <c r="G121" s="355"/>
    </row>
    <row r="122" spans="1:7" s="336" customFormat="1" ht="14.25" customHeight="1">
      <c r="A122" s="347" t="s">
        <v>267</v>
      </c>
      <c r="B122" s="347" t="s">
        <v>2531</v>
      </c>
      <c r="C122" s="347">
        <v>13750</v>
      </c>
      <c r="D122" s="347">
        <v>13680</v>
      </c>
      <c r="E122" s="347">
        <v>16460</v>
      </c>
      <c r="F122" s="347">
        <v>2880</v>
      </c>
      <c r="G122" s="355">
        <v>9040</v>
      </c>
    </row>
    <row r="123" spans="1:7" s="336" customFormat="1" ht="14.25" customHeight="1">
      <c r="A123" s="347" t="s">
        <v>267</v>
      </c>
      <c r="B123" s="347" t="s">
        <v>2536</v>
      </c>
      <c r="C123" s="347">
        <v>13590</v>
      </c>
      <c r="D123" s="347">
        <v>13520</v>
      </c>
      <c r="E123" s="347">
        <v>16290</v>
      </c>
      <c r="F123" s="347">
        <v>2790</v>
      </c>
      <c r="G123" s="355">
        <v>8930</v>
      </c>
    </row>
    <row r="124" spans="1:7" s="336" customFormat="1" ht="14.25" customHeight="1">
      <c r="A124" s="347" t="s">
        <v>267</v>
      </c>
      <c r="B124" s="347" t="s">
        <v>2541</v>
      </c>
      <c r="C124" s="347">
        <v>13400</v>
      </c>
      <c r="D124" s="347">
        <v>13320</v>
      </c>
      <c r="E124" s="347">
        <v>16100</v>
      </c>
      <c r="F124" s="347">
        <v>2320</v>
      </c>
      <c r="G124" s="355">
        <v>8800</v>
      </c>
    </row>
    <row r="125" spans="1:7" s="336" customFormat="1" ht="14.25" customHeight="1">
      <c r="A125" s="347" t="s">
        <v>267</v>
      </c>
      <c r="B125" s="347" t="s">
        <v>2546</v>
      </c>
      <c r="C125" s="347">
        <v>12860</v>
      </c>
      <c r="D125" s="347">
        <v>12790</v>
      </c>
      <c r="E125" s="347">
        <v>15370</v>
      </c>
      <c r="F125" s="347">
        <v>2280</v>
      </c>
      <c r="G125" s="355">
        <v>8450</v>
      </c>
    </row>
    <row r="126" spans="1:7" s="336" customFormat="1" ht="14.25" customHeight="1">
      <c r="A126" s="356" t="s">
        <v>267</v>
      </c>
      <c r="B126" s="351" t="s">
        <v>2551</v>
      </c>
      <c r="C126" s="351">
        <v>12960</v>
      </c>
      <c r="D126" s="351">
        <v>12890</v>
      </c>
      <c r="E126" s="351">
        <v>15530</v>
      </c>
      <c r="F126" s="351">
        <v>2910</v>
      </c>
      <c r="G126" s="357">
        <v>8520</v>
      </c>
    </row>
    <row r="127" spans="1:7" s="336" customFormat="1" ht="14.25" customHeight="1">
      <c r="A127" s="345" t="s">
        <v>273</v>
      </c>
      <c r="B127" s="346" t="s">
        <v>2218</v>
      </c>
      <c r="C127" s="347">
        <v>12280</v>
      </c>
      <c r="D127" s="347">
        <v>12250</v>
      </c>
      <c r="E127" s="347">
        <v>15130</v>
      </c>
      <c r="F127" s="347">
        <v>2710</v>
      </c>
      <c r="G127" s="347">
        <v>7870</v>
      </c>
    </row>
    <row r="128" spans="1:7" s="336" customFormat="1" ht="14.25" customHeight="1">
      <c r="A128" s="347" t="s">
        <v>273</v>
      </c>
      <c r="B128" s="347" t="s">
        <v>2231</v>
      </c>
      <c r="C128" s="347">
        <v>13180</v>
      </c>
      <c r="D128" s="347">
        <v>13150</v>
      </c>
      <c r="E128" s="347">
        <v>16190</v>
      </c>
      <c r="F128" s="347">
        <v>2820</v>
      </c>
      <c r="G128" s="347">
        <v>8460</v>
      </c>
    </row>
    <row r="129" spans="1:7" s="336" customFormat="1" ht="14.25" customHeight="1">
      <c r="A129" s="347" t="s">
        <v>273</v>
      </c>
      <c r="B129" s="347" t="s">
        <v>2245</v>
      </c>
      <c r="C129" s="347">
        <v>10950</v>
      </c>
      <c r="D129" s="347">
        <v>10920</v>
      </c>
      <c r="E129" s="347">
        <v>13820</v>
      </c>
      <c r="F129" s="347">
        <v>2500</v>
      </c>
      <c r="G129" s="347">
        <v>7020</v>
      </c>
    </row>
    <row r="130" spans="1:7" s="336" customFormat="1" ht="14.25" customHeight="1">
      <c r="A130" s="347" t="s">
        <v>273</v>
      </c>
      <c r="B130" s="347" t="s">
        <v>2257</v>
      </c>
      <c r="C130" s="347">
        <v>10910</v>
      </c>
      <c r="D130" s="347">
        <v>10860</v>
      </c>
      <c r="E130" s="347">
        <v>13730</v>
      </c>
      <c r="F130" s="347">
        <v>2760</v>
      </c>
      <c r="G130" s="347">
        <v>6990</v>
      </c>
    </row>
    <row r="131" spans="1:7" s="336" customFormat="1" ht="14.25" customHeight="1">
      <c r="A131" s="347" t="s">
        <v>273</v>
      </c>
      <c r="B131" s="347" t="s">
        <v>2269</v>
      </c>
      <c r="C131" s="347">
        <v>12910</v>
      </c>
      <c r="D131" s="347">
        <v>12870</v>
      </c>
      <c r="E131" s="347">
        <v>15720</v>
      </c>
      <c r="F131" s="347">
        <v>2750</v>
      </c>
      <c r="G131" s="347">
        <v>8280</v>
      </c>
    </row>
    <row r="132" spans="1:7" s="336" customFormat="1" ht="14.25" customHeight="1">
      <c r="A132" s="347" t="s">
        <v>273</v>
      </c>
      <c r="B132" s="347" t="s">
        <v>2280</v>
      </c>
      <c r="C132" s="347">
        <v>11910</v>
      </c>
      <c r="D132" s="347">
        <v>11860</v>
      </c>
      <c r="E132" s="347">
        <v>14730</v>
      </c>
      <c r="F132" s="347">
        <v>2360</v>
      </c>
      <c r="G132" s="347">
        <v>7630</v>
      </c>
    </row>
    <row r="133" spans="1:7" s="336" customFormat="1" ht="14.25" customHeight="1">
      <c r="A133" s="347" t="s">
        <v>273</v>
      </c>
      <c r="B133" s="347" t="s">
        <v>2291</v>
      </c>
      <c r="C133" s="347">
        <v>12270</v>
      </c>
      <c r="D133" s="347">
        <v>12210</v>
      </c>
      <c r="E133" s="347">
        <v>15010</v>
      </c>
      <c r="F133" s="347">
        <v>2580</v>
      </c>
      <c r="G133" s="347">
        <v>7860</v>
      </c>
    </row>
    <row r="134" spans="1:7" s="336" customFormat="1" ht="14.25" customHeight="1">
      <c r="A134" s="347" t="s">
        <v>273</v>
      </c>
      <c r="B134" s="347" t="s">
        <v>2302</v>
      </c>
      <c r="C134" s="347">
        <v>10800</v>
      </c>
      <c r="D134" s="347">
        <v>10780</v>
      </c>
      <c r="E134" s="347">
        <v>13640</v>
      </c>
      <c r="F134" s="347">
        <v>2110</v>
      </c>
      <c r="G134" s="347">
        <v>6930</v>
      </c>
    </row>
    <row r="135" spans="1:7" s="336" customFormat="1" ht="14.25" customHeight="1">
      <c r="A135" s="347" t="s">
        <v>273</v>
      </c>
      <c r="B135" s="347" t="s">
        <v>2312</v>
      </c>
      <c r="C135" s="347">
        <v>10430</v>
      </c>
      <c r="D135" s="347">
        <v>10390</v>
      </c>
      <c r="E135" s="347">
        <v>13140</v>
      </c>
      <c r="F135" s="347">
        <v>2240</v>
      </c>
      <c r="G135" s="347">
        <v>6680</v>
      </c>
    </row>
    <row r="136" spans="1:7" s="336" customFormat="1" ht="14.25" customHeight="1">
      <c r="A136" s="347" t="s">
        <v>273</v>
      </c>
      <c r="B136" s="347" t="s">
        <v>2322</v>
      </c>
      <c r="C136" s="347">
        <v>11930</v>
      </c>
      <c r="D136" s="347">
        <v>11880</v>
      </c>
      <c r="E136" s="347">
        <v>14770</v>
      </c>
      <c r="F136" s="347">
        <v>1970</v>
      </c>
      <c r="G136" s="347">
        <v>7640</v>
      </c>
    </row>
    <row r="137" spans="1:7" s="336" customFormat="1" ht="14.25" customHeight="1">
      <c r="A137" s="347" t="s">
        <v>273</v>
      </c>
      <c r="B137" s="347" t="s">
        <v>2332</v>
      </c>
      <c r="C137" s="347">
        <v>10470</v>
      </c>
      <c r="D137" s="347">
        <v>10430</v>
      </c>
      <c r="E137" s="347">
        <v>13190</v>
      </c>
      <c r="F137" s="347">
        <v>1990</v>
      </c>
      <c r="G137" s="347">
        <v>6710</v>
      </c>
    </row>
    <row r="138" spans="1:7" s="336" customFormat="1" ht="14.25" customHeight="1">
      <c r="A138" s="347" t="s">
        <v>273</v>
      </c>
      <c r="B138" s="347" t="s">
        <v>2342</v>
      </c>
      <c r="C138" s="347">
        <v>10410</v>
      </c>
      <c r="D138" s="347">
        <v>10380</v>
      </c>
      <c r="E138" s="347">
        <v>13130</v>
      </c>
      <c r="F138" s="347">
        <v>2030</v>
      </c>
      <c r="G138" s="347">
        <v>6680</v>
      </c>
    </row>
    <row r="139" spans="1:7" s="336" customFormat="1" ht="14.25" customHeight="1">
      <c r="A139" s="347" t="s">
        <v>273</v>
      </c>
      <c r="B139" s="347" t="s">
        <v>2352</v>
      </c>
      <c r="C139" s="347">
        <v>9460</v>
      </c>
      <c r="D139" s="347">
        <v>9410</v>
      </c>
      <c r="E139" s="347">
        <v>12050</v>
      </c>
      <c r="F139" s="347">
        <v>2140</v>
      </c>
      <c r="G139" s="347">
        <v>6050</v>
      </c>
    </row>
    <row r="140" spans="1:7" s="336" customFormat="1" ht="14.25" customHeight="1">
      <c r="A140" s="347" t="s">
        <v>273</v>
      </c>
      <c r="B140" s="347" t="s">
        <v>2362</v>
      </c>
      <c r="C140" s="347">
        <v>11030</v>
      </c>
      <c r="D140" s="347">
        <v>10980</v>
      </c>
      <c r="E140" s="347">
        <v>13880</v>
      </c>
      <c r="F140" s="347">
        <v>2210</v>
      </c>
      <c r="G140" s="347">
        <v>7060</v>
      </c>
    </row>
    <row r="141" spans="1:7" s="336" customFormat="1" ht="14.25" customHeight="1">
      <c r="A141" s="347" t="s">
        <v>273</v>
      </c>
      <c r="B141" s="347" t="s">
        <v>2372</v>
      </c>
      <c r="C141" s="347">
        <v>11200</v>
      </c>
      <c r="D141" s="347">
        <v>11150</v>
      </c>
      <c r="E141" s="347">
        <v>14100</v>
      </c>
      <c r="F141" s="347">
        <v>2470</v>
      </c>
      <c r="G141" s="347">
        <v>7170</v>
      </c>
    </row>
    <row r="142" spans="1:7" s="336" customFormat="1" ht="14.25" customHeight="1">
      <c r="A142" s="347" t="s">
        <v>273</v>
      </c>
      <c r="B142" s="347" t="s">
        <v>2382</v>
      </c>
      <c r="C142" s="347">
        <v>10780</v>
      </c>
      <c r="D142" s="347">
        <v>10730</v>
      </c>
      <c r="E142" s="347">
        <v>13540</v>
      </c>
      <c r="F142" s="347">
        <v>2280</v>
      </c>
      <c r="G142" s="347">
        <v>6900</v>
      </c>
    </row>
    <row r="143" spans="1:7" s="336" customFormat="1" ht="14.25" customHeight="1">
      <c r="A143" s="347" t="s">
        <v>273</v>
      </c>
      <c r="B143" s="347" t="s">
        <v>2392</v>
      </c>
      <c r="C143" s="347">
        <v>11550</v>
      </c>
      <c r="D143" s="347">
        <v>11490</v>
      </c>
      <c r="E143" s="347">
        <v>14480</v>
      </c>
      <c r="F143" s="347">
        <v>2070</v>
      </c>
      <c r="G143" s="347">
        <v>7390</v>
      </c>
    </row>
    <row r="144" spans="1:7" s="336" customFormat="1" ht="14.25" customHeight="1">
      <c r="A144" s="347" t="s">
        <v>273</v>
      </c>
      <c r="B144" s="347" t="s">
        <v>2402</v>
      </c>
      <c r="C144" s="347">
        <v>10720</v>
      </c>
      <c r="D144" s="347">
        <v>10680</v>
      </c>
      <c r="E144" s="347">
        <v>13480</v>
      </c>
      <c r="F144" s="347">
        <v>2440</v>
      </c>
      <c r="G144" s="347">
        <v>6870</v>
      </c>
    </row>
    <row r="145" spans="1:7" s="336" customFormat="1" ht="14.25" customHeight="1">
      <c r="A145" s="347" t="s">
        <v>273</v>
      </c>
      <c r="B145" s="347" t="s">
        <v>2412</v>
      </c>
      <c r="C145" s="347">
        <v>10340</v>
      </c>
      <c r="D145" s="347">
        <v>10290</v>
      </c>
      <c r="E145" s="347">
        <v>12880</v>
      </c>
      <c r="F145" s="347">
        <v>2650</v>
      </c>
      <c r="G145" s="347">
        <v>6620</v>
      </c>
    </row>
    <row r="146" spans="1:7" s="336" customFormat="1" ht="14.25" customHeight="1">
      <c r="A146" s="347" t="s">
        <v>273</v>
      </c>
      <c r="B146" s="347" t="s">
        <v>2422</v>
      </c>
      <c r="C146" s="347">
        <v>11890</v>
      </c>
      <c r="D146" s="347">
        <v>11830</v>
      </c>
      <c r="E146" s="347">
        <v>14670</v>
      </c>
      <c r="F146" s="347"/>
      <c r="G146" s="347">
        <v>7610</v>
      </c>
    </row>
    <row r="147" spans="1:7" s="336" customFormat="1" ht="14.25" customHeight="1">
      <c r="A147" s="347" t="s">
        <v>273</v>
      </c>
      <c r="B147" s="347" t="s">
        <v>2431</v>
      </c>
      <c r="C147" s="347">
        <v>12650</v>
      </c>
      <c r="D147" s="347">
        <v>12600</v>
      </c>
      <c r="E147" s="347">
        <v>15440</v>
      </c>
      <c r="F147" s="347"/>
      <c r="G147" s="347">
        <v>8110</v>
      </c>
    </row>
    <row r="148" spans="1:7" s="336" customFormat="1" ht="14.25" customHeight="1">
      <c r="A148" s="347" t="s">
        <v>273</v>
      </c>
      <c r="B148" s="347" t="s">
        <v>2439</v>
      </c>
      <c r="C148" s="347">
        <v>10370</v>
      </c>
      <c r="D148" s="347">
        <v>10310</v>
      </c>
      <c r="E148" s="347">
        <v>12970</v>
      </c>
      <c r="F148" s="347"/>
      <c r="G148" s="347">
        <v>6630</v>
      </c>
    </row>
    <row r="149" spans="1:7" s="336" customFormat="1" ht="14.25" customHeight="1">
      <c r="A149" s="347" t="s">
        <v>273</v>
      </c>
      <c r="B149" s="347" t="s">
        <v>2447</v>
      </c>
      <c r="C149" s="347">
        <v>11600</v>
      </c>
      <c r="D149" s="347">
        <v>11560</v>
      </c>
      <c r="E149" s="347">
        <v>14540</v>
      </c>
      <c r="F149" s="347">
        <v>2390</v>
      </c>
      <c r="G149" s="347">
        <v>7430</v>
      </c>
    </row>
    <row r="150" spans="1:7" s="336" customFormat="1" ht="14.25" customHeight="1">
      <c r="A150" s="347" t="s">
        <v>273</v>
      </c>
      <c r="B150" s="347" t="s">
        <v>2455</v>
      </c>
      <c r="C150" s="347">
        <v>9950</v>
      </c>
      <c r="D150" s="347">
        <v>9890</v>
      </c>
      <c r="E150" s="347">
        <v>12590</v>
      </c>
      <c r="F150" s="347">
        <v>1970</v>
      </c>
      <c r="G150" s="347">
        <v>6360</v>
      </c>
    </row>
    <row r="151" spans="1:7" s="336" customFormat="1" ht="14.25" customHeight="1">
      <c r="A151" s="347" t="s">
        <v>273</v>
      </c>
      <c r="B151" s="347" t="s">
        <v>2463</v>
      </c>
      <c r="C151" s="347">
        <v>10700</v>
      </c>
      <c r="D151" s="347">
        <v>10650</v>
      </c>
      <c r="E151" s="347">
        <v>13420</v>
      </c>
      <c r="F151" s="347">
        <v>2020</v>
      </c>
      <c r="G151" s="347">
        <v>6850</v>
      </c>
    </row>
    <row r="152" spans="1:7" s="336" customFormat="1" ht="14.25" customHeight="1">
      <c r="A152" s="347" t="s">
        <v>273</v>
      </c>
      <c r="B152" s="347" t="s">
        <v>2470</v>
      </c>
      <c r="C152" s="347">
        <v>10310</v>
      </c>
      <c r="D152" s="347">
        <v>10260</v>
      </c>
      <c r="E152" s="347">
        <v>12820</v>
      </c>
      <c r="F152" s="347">
        <v>1980</v>
      </c>
      <c r="G152" s="347">
        <v>6600</v>
      </c>
    </row>
    <row r="153" spans="1:7" s="336" customFormat="1" ht="14.25" customHeight="1">
      <c r="A153" s="347" t="s">
        <v>273</v>
      </c>
      <c r="B153" s="347" t="s">
        <v>2477</v>
      </c>
      <c r="C153" s="347">
        <v>10880</v>
      </c>
      <c r="D153" s="347">
        <v>10820</v>
      </c>
      <c r="E153" s="347">
        <v>13660</v>
      </c>
      <c r="F153" s="347">
        <v>2260</v>
      </c>
      <c r="G153" s="347">
        <v>6970</v>
      </c>
    </row>
    <row r="154" spans="1:7" s="336" customFormat="1" ht="14.25" customHeight="1">
      <c r="A154" s="347" t="s">
        <v>273</v>
      </c>
      <c r="B154" s="347" t="s">
        <v>2484</v>
      </c>
      <c r="C154" s="347">
        <v>11220</v>
      </c>
      <c r="D154" s="347">
        <v>11160</v>
      </c>
      <c r="E154" s="347">
        <v>14130</v>
      </c>
      <c r="F154" s="347">
        <v>2230</v>
      </c>
      <c r="G154" s="347">
        <v>7180</v>
      </c>
    </row>
    <row r="155" spans="1:7" s="336" customFormat="1" ht="14.25" customHeight="1">
      <c r="A155" s="347" t="s">
        <v>273</v>
      </c>
      <c r="B155" s="347" t="s">
        <v>2491</v>
      </c>
      <c r="C155" s="347">
        <v>10430</v>
      </c>
      <c r="D155" s="347">
        <v>10380</v>
      </c>
      <c r="E155" s="347">
        <v>13140</v>
      </c>
      <c r="F155" s="347">
        <v>2080</v>
      </c>
      <c r="G155" s="347">
        <v>6650</v>
      </c>
    </row>
    <row r="156" spans="1:7" s="336" customFormat="1" ht="14.25" customHeight="1">
      <c r="A156" s="347" t="s">
        <v>273</v>
      </c>
      <c r="B156" s="347" t="s">
        <v>2498</v>
      </c>
      <c r="C156" s="347">
        <v>10440</v>
      </c>
      <c r="D156" s="347">
        <v>10400</v>
      </c>
      <c r="E156" s="347">
        <v>13150</v>
      </c>
      <c r="F156" s="347">
        <v>2490</v>
      </c>
      <c r="G156" s="347">
        <v>6690</v>
      </c>
    </row>
    <row r="157" spans="1:7" s="336" customFormat="1" ht="14.25" customHeight="1">
      <c r="A157" s="347" t="s">
        <v>273</v>
      </c>
      <c r="B157" s="347" t="s">
        <v>2505</v>
      </c>
      <c r="C157" s="347">
        <v>10970</v>
      </c>
      <c r="D157" s="347">
        <v>10920</v>
      </c>
      <c r="E157" s="347">
        <v>13840</v>
      </c>
      <c r="F157" s="347">
        <v>2420</v>
      </c>
      <c r="G157" s="347">
        <v>7020</v>
      </c>
    </row>
    <row r="158" spans="1:7" s="336" customFormat="1" ht="14.25" customHeight="1">
      <c r="A158" s="347" t="s">
        <v>273</v>
      </c>
      <c r="B158" s="347" t="s">
        <v>2512</v>
      </c>
      <c r="C158" s="347">
        <v>9590</v>
      </c>
      <c r="D158" s="347">
        <v>9540</v>
      </c>
      <c r="E158" s="347">
        <v>12210</v>
      </c>
      <c r="F158" s="347">
        <v>2100</v>
      </c>
      <c r="G158" s="347">
        <v>6130</v>
      </c>
    </row>
    <row r="159" spans="1:7" s="336" customFormat="1" ht="14.25" customHeight="1">
      <c r="A159" s="347" t="s">
        <v>273</v>
      </c>
      <c r="B159" s="347" t="s">
        <v>2517</v>
      </c>
      <c r="C159" s="347">
        <v>11190</v>
      </c>
      <c r="D159" s="347">
        <v>11140</v>
      </c>
      <c r="E159" s="347">
        <v>14090</v>
      </c>
      <c r="F159" s="347">
        <v>2470</v>
      </c>
      <c r="G159" s="347">
        <v>7170</v>
      </c>
    </row>
    <row r="160" spans="1:7" s="336" customFormat="1" ht="14.25" customHeight="1">
      <c r="A160" s="347" t="s">
        <v>273</v>
      </c>
      <c r="B160" s="347" t="s">
        <v>2522</v>
      </c>
      <c r="C160" s="347">
        <v>11180</v>
      </c>
      <c r="D160" s="347">
        <v>11140</v>
      </c>
      <c r="E160" s="347">
        <v>14050</v>
      </c>
      <c r="F160" s="347">
        <v>2270</v>
      </c>
      <c r="G160" s="347">
        <v>7170</v>
      </c>
    </row>
    <row r="161" spans="1:7" s="336" customFormat="1" ht="14.25" customHeight="1">
      <c r="A161" s="347" t="s">
        <v>273</v>
      </c>
      <c r="B161" s="347" t="s">
        <v>2527</v>
      </c>
      <c r="C161" s="347">
        <v>11160</v>
      </c>
      <c r="D161" s="347">
        <v>11120</v>
      </c>
      <c r="E161" s="347">
        <v>14020</v>
      </c>
      <c r="F161" s="347">
        <v>2150</v>
      </c>
      <c r="G161" s="347">
        <v>7160</v>
      </c>
    </row>
    <row r="162" spans="1:7" s="336" customFormat="1" ht="14.25" customHeight="1">
      <c r="A162" s="347" t="s">
        <v>273</v>
      </c>
      <c r="B162" s="347" t="s">
        <v>2532</v>
      </c>
      <c r="C162" s="347">
        <v>9620</v>
      </c>
      <c r="D162" s="347">
        <v>9570</v>
      </c>
      <c r="E162" s="347">
        <v>12320</v>
      </c>
      <c r="F162" s="347">
        <v>2010</v>
      </c>
      <c r="G162" s="347">
        <v>6160</v>
      </c>
    </row>
    <row r="163" spans="1:7" s="336" customFormat="1" ht="14.25" customHeight="1">
      <c r="A163" s="347" t="s">
        <v>273</v>
      </c>
      <c r="B163" s="347" t="s">
        <v>2537</v>
      </c>
      <c r="C163" s="347">
        <v>9320</v>
      </c>
      <c r="D163" s="347">
        <v>9270</v>
      </c>
      <c r="E163" s="347">
        <v>11790</v>
      </c>
      <c r="F163" s="347">
        <v>1920</v>
      </c>
      <c r="G163" s="347">
        <v>5960</v>
      </c>
    </row>
    <row r="164" spans="1:7" s="336" customFormat="1" ht="14.25" customHeight="1">
      <c r="A164" s="347" t="s">
        <v>273</v>
      </c>
      <c r="B164" s="347" t="s">
        <v>2542</v>
      </c>
      <c r="C164" s="347"/>
      <c r="D164" s="347"/>
      <c r="E164" s="347"/>
      <c r="F164" s="347">
        <v>1980</v>
      </c>
      <c r="G164" s="347"/>
    </row>
    <row r="165" spans="1:7" s="336" customFormat="1" ht="14.25" customHeight="1">
      <c r="A165" s="347" t="s">
        <v>273</v>
      </c>
      <c r="B165" s="347" t="s">
        <v>2547</v>
      </c>
      <c r="C165" s="347">
        <v>11060</v>
      </c>
      <c r="D165" s="347">
        <v>11030</v>
      </c>
      <c r="E165" s="347">
        <v>13850</v>
      </c>
      <c r="F165" s="347">
        <v>2170</v>
      </c>
      <c r="G165" s="347">
        <v>7090</v>
      </c>
    </row>
    <row r="166" spans="1:7" s="336" customFormat="1" ht="14.25" customHeight="1">
      <c r="A166" s="347" t="s">
        <v>273</v>
      </c>
      <c r="B166" s="347" t="s">
        <v>2552</v>
      </c>
      <c r="C166" s="347">
        <v>11050</v>
      </c>
      <c r="D166" s="347">
        <v>11010</v>
      </c>
      <c r="E166" s="347">
        <v>13920</v>
      </c>
      <c r="F166" s="347">
        <v>2140</v>
      </c>
      <c r="G166" s="347">
        <v>7080</v>
      </c>
    </row>
    <row r="167" spans="1:7" s="336" customFormat="1" ht="14.25" customHeight="1">
      <c r="A167" s="347" t="s">
        <v>273</v>
      </c>
      <c r="B167" s="347" t="s">
        <v>2556</v>
      </c>
      <c r="C167" s="347">
        <v>10930</v>
      </c>
      <c r="D167" s="347">
        <v>10890</v>
      </c>
      <c r="E167" s="347">
        <v>13790</v>
      </c>
      <c r="F167" s="347">
        <v>2010</v>
      </c>
      <c r="G167" s="347">
        <v>7000</v>
      </c>
    </row>
    <row r="168" spans="1:7" s="336" customFormat="1" ht="14.25" customHeight="1">
      <c r="A168" s="347" t="s">
        <v>273</v>
      </c>
      <c r="B168" s="347" t="s">
        <v>2560</v>
      </c>
      <c r="C168" s="347">
        <v>9420</v>
      </c>
      <c r="D168" s="347">
        <v>9380</v>
      </c>
      <c r="E168" s="347">
        <v>11970</v>
      </c>
      <c r="F168" s="347"/>
      <c r="G168" s="347">
        <v>6040</v>
      </c>
    </row>
    <row r="169" spans="1:7" s="336" customFormat="1" ht="14.25" customHeight="1">
      <c r="A169" s="347" t="s">
        <v>273</v>
      </c>
      <c r="B169" s="347" t="s">
        <v>2564</v>
      </c>
      <c r="C169" s="347"/>
      <c r="D169" s="347"/>
      <c r="E169" s="347"/>
      <c r="F169" s="347">
        <v>2880</v>
      </c>
      <c r="G169" s="347"/>
    </row>
    <row r="170" spans="1:7" s="336" customFormat="1" ht="14.25" customHeight="1">
      <c r="A170" s="347" t="s">
        <v>273</v>
      </c>
      <c r="B170" s="347" t="s">
        <v>2568</v>
      </c>
      <c r="C170" s="347"/>
      <c r="D170" s="347"/>
      <c r="E170" s="347"/>
      <c r="F170" s="347">
        <v>2880</v>
      </c>
      <c r="G170" s="347"/>
    </row>
    <row r="171" spans="1:7" s="336" customFormat="1" ht="14.25" customHeight="1">
      <c r="A171" s="347" t="s">
        <v>273</v>
      </c>
      <c r="B171" s="347" t="s">
        <v>2571</v>
      </c>
      <c r="C171" s="347"/>
      <c r="D171" s="347"/>
      <c r="E171" s="347"/>
      <c r="F171" s="347">
        <v>2880</v>
      </c>
      <c r="G171" s="347"/>
    </row>
    <row r="172" spans="1:7" s="336" customFormat="1" ht="14.25" customHeight="1">
      <c r="A172" s="347" t="s">
        <v>273</v>
      </c>
      <c r="B172" s="347" t="s">
        <v>2573</v>
      </c>
      <c r="C172" s="347"/>
      <c r="D172" s="347"/>
      <c r="E172" s="347"/>
      <c r="F172" s="347">
        <v>2880</v>
      </c>
      <c r="G172" s="347"/>
    </row>
    <row r="173" spans="1:7" s="336" customFormat="1" ht="14.25" customHeight="1">
      <c r="A173" s="347" t="s">
        <v>273</v>
      </c>
      <c r="B173" s="347" t="s">
        <v>2575</v>
      </c>
      <c r="C173" s="347"/>
      <c r="D173" s="347"/>
      <c r="E173" s="347"/>
      <c r="F173" s="347">
        <v>2150</v>
      </c>
      <c r="G173" s="347"/>
    </row>
    <row r="174" spans="1:7" s="336" customFormat="1" ht="14.25" customHeight="1">
      <c r="A174" s="347" t="s">
        <v>273</v>
      </c>
      <c r="B174" s="347" t="s">
        <v>2577</v>
      </c>
      <c r="C174" s="347"/>
      <c r="D174" s="347"/>
      <c r="E174" s="347"/>
      <c r="F174" s="347">
        <v>2030</v>
      </c>
      <c r="G174" s="347"/>
    </row>
    <row r="175" spans="1:7" s="336" customFormat="1" ht="14.25" customHeight="1">
      <c r="A175" s="347" t="s">
        <v>273</v>
      </c>
      <c r="B175" s="347" t="s">
        <v>2579</v>
      </c>
      <c r="C175" s="347"/>
      <c r="D175" s="347"/>
      <c r="E175" s="347"/>
      <c r="F175" s="347">
        <v>2780</v>
      </c>
      <c r="G175" s="347"/>
    </row>
    <row r="176" spans="1:7" s="336" customFormat="1" ht="14.25" customHeight="1">
      <c r="A176" s="347" t="s">
        <v>273</v>
      </c>
      <c r="B176" s="347" t="s">
        <v>2581</v>
      </c>
      <c r="C176" s="347"/>
      <c r="D176" s="347"/>
      <c r="E176" s="347"/>
      <c r="F176" s="347">
        <v>2780</v>
      </c>
      <c r="G176" s="347"/>
    </row>
    <row r="177" spans="1:7" s="336" customFormat="1" ht="14.25" customHeight="1">
      <c r="A177" s="347" t="s">
        <v>273</v>
      </c>
      <c r="B177" s="347" t="s">
        <v>2583</v>
      </c>
      <c r="C177" s="347"/>
      <c r="D177" s="347"/>
      <c r="E177" s="347"/>
      <c r="F177" s="347">
        <v>2780</v>
      </c>
      <c r="G177" s="347"/>
    </row>
    <row r="178" spans="1:7" s="336" customFormat="1" ht="14.25" customHeight="1">
      <c r="A178" s="347" t="s">
        <v>273</v>
      </c>
      <c r="B178" s="347" t="s">
        <v>2584</v>
      </c>
      <c r="C178" s="347"/>
      <c r="D178" s="347"/>
      <c r="E178" s="347"/>
      <c r="F178" s="347">
        <v>2060</v>
      </c>
      <c r="G178" s="347"/>
    </row>
    <row r="179" spans="1:7" s="336" customFormat="1" ht="14.25" customHeight="1">
      <c r="A179" s="347" t="s">
        <v>273</v>
      </c>
      <c r="B179" s="347" t="s">
        <v>2585</v>
      </c>
      <c r="C179" s="347"/>
      <c r="D179" s="347"/>
      <c r="E179" s="347"/>
      <c r="F179" s="347">
        <v>2120</v>
      </c>
      <c r="G179" s="347"/>
    </row>
    <row r="180" spans="1:7" s="336" customFormat="1" ht="14.25" customHeight="1">
      <c r="A180" s="347" t="s">
        <v>273</v>
      </c>
      <c r="B180" s="347" t="s">
        <v>2586</v>
      </c>
      <c r="C180" s="347"/>
      <c r="D180" s="347"/>
      <c r="E180" s="347"/>
      <c r="F180" s="347">
        <v>2340</v>
      </c>
      <c r="G180" s="347"/>
    </row>
    <row r="181" spans="1:7" s="336" customFormat="1" ht="14.25" customHeight="1">
      <c r="A181" s="347" t="s">
        <v>273</v>
      </c>
      <c r="B181" s="347" t="s">
        <v>2587</v>
      </c>
      <c r="C181" s="347"/>
      <c r="D181" s="347"/>
      <c r="E181" s="347"/>
      <c r="F181" s="347">
        <v>2340</v>
      </c>
      <c r="G181" s="347"/>
    </row>
    <row r="182" spans="1:7" s="336" customFormat="1" ht="14.25" customHeight="1">
      <c r="A182" s="347" t="s">
        <v>273</v>
      </c>
      <c r="B182" s="347" t="s">
        <v>2588</v>
      </c>
      <c r="C182" s="347"/>
      <c r="D182" s="347"/>
      <c r="E182" s="347"/>
      <c r="F182" s="347">
        <v>2340</v>
      </c>
      <c r="G182" s="347"/>
    </row>
    <row r="183" spans="1:7" s="336" customFormat="1" ht="14.25" customHeight="1">
      <c r="A183" s="347" t="s">
        <v>273</v>
      </c>
      <c r="B183" s="347" t="s">
        <v>2589</v>
      </c>
      <c r="C183" s="347"/>
      <c r="D183" s="347"/>
      <c r="E183" s="347"/>
      <c r="F183" s="347">
        <v>2340</v>
      </c>
      <c r="G183" s="347"/>
    </row>
    <row r="184" spans="1:7" s="336" customFormat="1" ht="14.25" customHeight="1">
      <c r="A184" s="347" t="s">
        <v>273</v>
      </c>
      <c r="B184" s="347" t="s">
        <v>2590</v>
      </c>
      <c r="C184" s="347"/>
      <c r="D184" s="347"/>
      <c r="E184" s="347"/>
      <c r="F184" s="347">
        <v>2340</v>
      </c>
      <c r="G184" s="347"/>
    </row>
    <row r="185" spans="1:7" s="336" customFormat="1" ht="14.25" customHeight="1">
      <c r="A185" s="347" t="s">
        <v>273</v>
      </c>
      <c r="B185" s="347" t="s">
        <v>2591</v>
      </c>
      <c r="C185" s="347"/>
      <c r="D185" s="347"/>
      <c r="E185" s="347"/>
      <c r="F185" s="347">
        <v>2530</v>
      </c>
      <c r="G185" s="347"/>
    </row>
    <row r="186" spans="1:7" s="336" customFormat="1" ht="14.25" customHeight="1">
      <c r="A186" s="347" t="s">
        <v>273</v>
      </c>
      <c r="B186" s="347" t="s">
        <v>2592</v>
      </c>
      <c r="C186" s="347"/>
      <c r="D186" s="347"/>
      <c r="E186" s="347"/>
      <c r="F186" s="347">
        <v>2550</v>
      </c>
      <c r="G186" s="347"/>
    </row>
    <row r="187" spans="1:7" s="336" customFormat="1" ht="14.25" customHeight="1">
      <c r="A187" s="347" t="s">
        <v>273</v>
      </c>
      <c r="B187" s="347" t="s">
        <v>2593</v>
      </c>
      <c r="C187" s="347"/>
      <c r="D187" s="347"/>
      <c r="E187" s="347"/>
      <c r="F187" s="347">
        <v>2070</v>
      </c>
      <c r="G187" s="347"/>
    </row>
    <row r="188" spans="1:7" s="336" customFormat="1" ht="14.25" customHeight="1">
      <c r="A188" s="347" t="s">
        <v>273</v>
      </c>
      <c r="B188" s="347" t="s">
        <v>2594</v>
      </c>
      <c r="C188" s="347"/>
      <c r="D188" s="347"/>
      <c r="E188" s="347"/>
      <c r="F188" s="347">
        <v>2340</v>
      </c>
      <c r="G188" s="347"/>
    </row>
    <row r="189" spans="1:7" s="336" customFormat="1" ht="14.25" customHeight="1">
      <c r="A189" s="349" t="s">
        <v>273</v>
      </c>
      <c r="B189" s="353" t="s">
        <v>2595</v>
      </c>
      <c r="C189" s="353"/>
      <c r="D189" s="353"/>
      <c r="E189" s="353"/>
      <c r="F189" s="353">
        <v>2050</v>
      </c>
      <c r="G189" s="353"/>
    </row>
    <row r="190" spans="1:7" s="336" customFormat="1" ht="14.25" customHeight="1">
      <c r="A190" s="345" t="s">
        <v>278</v>
      </c>
      <c r="B190" s="346" t="s">
        <v>2219</v>
      </c>
      <c r="C190" s="346">
        <v>8830</v>
      </c>
      <c r="D190" s="346">
        <v>8790</v>
      </c>
      <c r="E190" s="346">
        <v>11630</v>
      </c>
      <c r="F190" s="346">
        <v>1790</v>
      </c>
      <c r="G190" s="354">
        <v>5550</v>
      </c>
    </row>
    <row r="191" spans="1:7" s="336" customFormat="1" ht="14.25" customHeight="1">
      <c r="A191" s="347" t="s">
        <v>278</v>
      </c>
      <c r="B191" s="347" t="s">
        <v>2232</v>
      </c>
      <c r="C191" s="347">
        <v>9780</v>
      </c>
      <c r="D191" s="347">
        <v>9710</v>
      </c>
      <c r="E191" s="347">
        <v>12550</v>
      </c>
      <c r="F191" s="347">
        <v>1980</v>
      </c>
      <c r="G191" s="355">
        <v>6130</v>
      </c>
    </row>
    <row r="192" spans="1:7" s="336" customFormat="1" ht="14.25" customHeight="1">
      <c r="A192" s="347" t="s">
        <v>278</v>
      </c>
      <c r="B192" s="347" t="s">
        <v>2246</v>
      </c>
      <c r="C192" s="347">
        <v>8180</v>
      </c>
      <c r="D192" s="347">
        <v>8140</v>
      </c>
      <c r="E192" s="347">
        <v>10870</v>
      </c>
      <c r="F192" s="347">
        <v>1690</v>
      </c>
      <c r="G192" s="355">
        <v>5140</v>
      </c>
    </row>
    <row r="193" spans="1:7" s="336" customFormat="1" ht="14.25" customHeight="1">
      <c r="A193" s="347" t="s">
        <v>278</v>
      </c>
      <c r="B193" s="347" t="s">
        <v>2258</v>
      </c>
      <c r="C193" s="347">
        <v>8440</v>
      </c>
      <c r="D193" s="347">
        <v>8390</v>
      </c>
      <c r="E193" s="347">
        <v>11210</v>
      </c>
      <c r="F193" s="347">
        <v>1600</v>
      </c>
      <c r="G193" s="355">
        <v>5300</v>
      </c>
    </row>
    <row r="194" spans="1:7" s="336" customFormat="1" ht="14.25" customHeight="1">
      <c r="A194" s="347" t="s">
        <v>278</v>
      </c>
      <c r="B194" s="347" t="s">
        <v>2270</v>
      </c>
      <c r="C194" s="347">
        <v>8780</v>
      </c>
      <c r="D194" s="347">
        <v>8730</v>
      </c>
      <c r="E194" s="347">
        <v>11550</v>
      </c>
      <c r="F194" s="347">
        <v>1660</v>
      </c>
      <c r="G194" s="355">
        <v>5520</v>
      </c>
    </row>
    <row r="195" spans="1:7" s="336" customFormat="1" ht="14.25" customHeight="1">
      <c r="A195" s="347" t="s">
        <v>278</v>
      </c>
      <c r="B195" s="347" t="s">
        <v>2281</v>
      </c>
      <c r="C195" s="347">
        <v>8720</v>
      </c>
      <c r="D195" s="347">
        <v>8670</v>
      </c>
      <c r="E195" s="347">
        <v>11450</v>
      </c>
      <c r="F195" s="347">
        <v>1720</v>
      </c>
      <c r="G195" s="355">
        <v>5480</v>
      </c>
    </row>
    <row r="196" spans="1:7" s="336" customFormat="1" ht="14.25" customHeight="1">
      <c r="A196" s="347" t="s">
        <v>278</v>
      </c>
      <c r="B196" s="347" t="s">
        <v>2292</v>
      </c>
      <c r="C196" s="347">
        <v>8460</v>
      </c>
      <c r="D196" s="347">
        <v>8410</v>
      </c>
      <c r="E196" s="347">
        <v>11230</v>
      </c>
      <c r="F196" s="347">
        <v>1730</v>
      </c>
      <c r="G196" s="355">
        <v>5310</v>
      </c>
    </row>
    <row r="197" spans="1:7" s="336" customFormat="1" ht="14.25" customHeight="1">
      <c r="A197" s="347" t="s">
        <v>278</v>
      </c>
      <c r="B197" s="347" t="s">
        <v>2303</v>
      </c>
      <c r="C197" s="347">
        <v>8790</v>
      </c>
      <c r="D197" s="347">
        <v>8730</v>
      </c>
      <c r="E197" s="347">
        <v>11560</v>
      </c>
      <c r="F197" s="347">
        <v>1750</v>
      </c>
      <c r="G197" s="355">
        <v>5520</v>
      </c>
    </row>
    <row r="198" spans="1:7" s="336" customFormat="1" ht="14.25" customHeight="1">
      <c r="A198" s="347" t="s">
        <v>278</v>
      </c>
      <c r="B198" s="347" t="s">
        <v>2313</v>
      </c>
      <c r="C198" s="347">
        <v>8720</v>
      </c>
      <c r="D198" s="347">
        <v>8680</v>
      </c>
      <c r="E198" s="347">
        <v>11470</v>
      </c>
      <c r="F198" s="347"/>
      <c r="G198" s="355">
        <v>5480</v>
      </c>
    </row>
    <row r="199" spans="1:7" s="336" customFormat="1" ht="14.25" customHeight="1">
      <c r="A199" s="347" t="s">
        <v>278</v>
      </c>
      <c r="B199" s="347" t="s">
        <v>2323</v>
      </c>
      <c r="C199" s="347">
        <v>8690</v>
      </c>
      <c r="D199" s="347">
        <v>8630</v>
      </c>
      <c r="E199" s="347">
        <v>11350</v>
      </c>
      <c r="F199" s="347">
        <v>1600</v>
      </c>
      <c r="G199" s="355">
        <v>5450</v>
      </c>
    </row>
    <row r="200" spans="1:7" s="336" customFormat="1" ht="14.25" customHeight="1">
      <c r="A200" s="347" t="s">
        <v>278</v>
      </c>
      <c r="B200" s="347" t="s">
        <v>2333</v>
      </c>
      <c r="C200" s="347"/>
      <c r="D200" s="347"/>
      <c r="E200" s="347"/>
      <c r="F200" s="347">
        <v>1510</v>
      </c>
      <c r="G200" s="355"/>
    </row>
    <row r="201" spans="1:7" s="336" customFormat="1" ht="14.25" customHeight="1">
      <c r="A201" s="347" t="s">
        <v>278</v>
      </c>
      <c r="B201" s="347" t="s">
        <v>2343</v>
      </c>
      <c r="C201" s="347">
        <v>8440</v>
      </c>
      <c r="D201" s="347">
        <v>8390</v>
      </c>
      <c r="E201" s="347">
        <v>10930</v>
      </c>
      <c r="F201" s="347">
        <v>1500</v>
      </c>
      <c r="G201" s="355">
        <v>5300</v>
      </c>
    </row>
    <row r="202" spans="1:7" s="336" customFormat="1" ht="14.25" customHeight="1">
      <c r="A202" s="347" t="s">
        <v>278</v>
      </c>
      <c r="B202" s="347" t="s">
        <v>2353</v>
      </c>
      <c r="C202" s="347">
        <v>8530</v>
      </c>
      <c r="D202" s="347">
        <v>8490</v>
      </c>
      <c r="E202" s="347">
        <v>11160</v>
      </c>
      <c r="F202" s="347">
        <v>1580</v>
      </c>
      <c r="G202" s="355">
        <v>5360</v>
      </c>
    </row>
    <row r="203" spans="1:7" s="336" customFormat="1" ht="14.25" customHeight="1">
      <c r="A203" s="347" t="s">
        <v>278</v>
      </c>
      <c r="B203" s="347" t="s">
        <v>2363</v>
      </c>
      <c r="C203" s="347">
        <v>8130</v>
      </c>
      <c r="D203" s="347">
        <v>8070</v>
      </c>
      <c r="E203" s="347">
        <v>10820</v>
      </c>
      <c r="F203" s="347">
        <v>1690</v>
      </c>
      <c r="G203" s="355">
        <v>5100</v>
      </c>
    </row>
    <row r="204" spans="1:7" s="336" customFormat="1" ht="14.25" customHeight="1">
      <c r="A204" s="347" t="s">
        <v>278</v>
      </c>
      <c r="B204" s="347" t="s">
        <v>2373</v>
      </c>
      <c r="C204" s="347">
        <v>8350</v>
      </c>
      <c r="D204" s="347">
        <v>8290</v>
      </c>
      <c r="E204" s="347">
        <v>11080</v>
      </c>
      <c r="F204" s="347">
        <v>1450</v>
      </c>
      <c r="G204" s="355">
        <v>5240</v>
      </c>
    </row>
    <row r="205" spans="1:7" s="336" customFormat="1" ht="14.25" customHeight="1">
      <c r="A205" s="347" t="s">
        <v>278</v>
      </c>
      <c r="B205" s="347" t="s">
        <v>2383</v>
      </c>
      <c r="C205" s="347">
        <v>7190</v>
      </c>
      <c r="D205" s="347">
        <v>7130</v>
      </c>
      <c r="E205" s="347">
        <v>9490</v>
      </c>
      <c r="F205" s="347">
        <v>1470</v>
      </c>
      <c r="G205" s="355">
        <v>4510</v>
      </c>
    </row>
    <row r="206" spans="1:7" s="336" customFormat="1" ht="14.25" customHeight="1">
      <c r="A206" s="347" t="s">
        <v>278</v>
      </c>
      <c r="B206" s="347" t="s">
        <v>2393</v>
      </c>
      <c r="C206" s="347">
        <v>7000</v>
      </c>
      <c r="D206" s="347">
        <v>6950</v>
      </c>
      <c r="E206" s="347">
        <v>9170</v>
      </c>
      <c r="F206" s="347">
        <v>1400</v>
      </c>
      <c r="G206" s="355">
        <v>4380</v>
      </c>
    </row>
    <row r="207" spans="1:7" s="336" customFormat="1" ht="14.25" customHeight="1">
      <c r="A207" s="347" t="s">
        <v>278</v>
      </c>
      <c r="B207" s="347" t="s">
        <v>2403</v>
      </c>
      <c r="C207" s="347">
        <v>6950</v>
      </c>
      <c r="D207" s="347">
        <v>6900</v>
      </c>
      <c r="E207" s="347">
        <v>9110</v>
      </c>
      <c r="F207" s="347">
        <v>1790</v>
      </c>
      <c r="G207" s="355">
        <v>4360</v>
      </c>
    </row>
    <row r="208" spans="1:7" s="336" customFormat="1" ht="14.25" customHeight="1">
      <c r="A208" s="347" t="s">
        <v>278</v>
      </c>
      <c r="B208" s="347" t="s">
        <v>2413</v>
      </c>
      <c r="C208" s="347">
        <v>9470</v>
      </c>
      <c r="D208" s="347">
        <v>9410</v>
      </c>
      <c r="E208" s="347">
        <v>12330</v>
      </c>
      <c r="F208" s="347">
        <v>1770</v>
      </c>
      <c r="G208" s="355">
        <v>5940</v>
      </c>
    </row>
    <row r="209" spans="1:7" s="336" customFormat="1" ht="14.25" customHeight="1">
      <c r="A209" s="347" t="s">
        <v>278</v>
      </c>
      <c r="B209" s="347" t="s">
        <v>2423</v>
      </c>
      <c r="C209" s="347">
        <v>8740</v>
      </c>
      <c r="D209" s="347">
        <v>8700</v>
      </c>
      <c r="E209" s="347">
        <v>11500</v>
      </c>
      <c r="F209" s="347">
        <v>1730</v>
      </c>
      <c r="G209" s="355">
        <v>5490</v>
      </c>
    </row>
    <row r="210" spans="1:7" s="336" customFormat="1" ht="14.25" customHeight="1">
      <c r="A210" s="347" t="s">
        <v>278</v>
      </c>
      <c r="B210" s="347" t="s">
        <v>2432</v>
      </c>
      <c r="C210" s="347">
        <v>8710</v>
      </c>
      <c r="D210" s="347">
        <v>8660</v>
      </c>
      <c r="E210" s="347">
        <v>11440</v>
      </c>
      <c r="F210" s="347">
        <v>1740</v>
      </c>
      <c r="G210" s="355">
        <v>5470</v>
      </c>
    </row>
    <row r="211" spans="1:7" s="336" customFormat="1" ht="14.25" customHeight="1">
      <c r="A211" s="347" t="s">
        <v>278</v>
      </c>
      <c r="B211" s="347" t="s">
        <v>2440</v>
      </c>
      <c r="C211" s="347">
        <v>9480</v>
      </c>
      <c r="D211" s="347">
        <v>9430</v>
      </c>
      <c r="E211" s="347">
        <v>12360</v>
      </c>
      <c r="F211" s="347">
        <v>1820</v>
      </c>
      <c r="G211" s="355">
        <v>5950</v>
      </c>
    </row>
    <row r="212" spans="1:7" s="336" customFormat="1" ht="14.25" customHeight="1">
      <c r="A212" s="347" t="s">
        <v>278</v>
      </c>
      <c r="B212" s="347" t="s">
        <v>2448</v>
      </c>
      <c r="C212" s="347">
        <v>9070</v>
      </c>
      <c r="D212" s="347">
        <v>9020</v>
      </c>
      <c r="E212" s="347">
        <v>11720</v>
      </c>
      <c r="F212" s="347">
        <v>1850</v>
      </c>
      <c r="G212" s="355">
        <v>5700</v>
      </c>
    </row>
    <row r="213" spans="1:7" s="336" customFormat="1" ht="14.25" customHeight="1">
      <c r="A213" s="347" t="s">
        <v>278</v>
      </c>
      <c r="B213" s="347" t="s">
        <v>2456</v>
      </c>
      <c r="C213" s="347">
        <v>9030</v>
      </c>
      <c r="D213" s="347">
        <v>8980</v>
      </c>
      <c r="E213" s="347">
        <v>11670</v>
      </c>
      <c r="F213" s="347">
        <v>1690</v>
      </c>
      <c r="G213" s="355">
        <v>5670</v>
      </c>
    </row>
    <row r="214" spans="1:7" s="336" customFormat="1" ht="14.25" customHeight="1">
      <c r="A214" s="347" t="s">
        <v>278</v>
      </c>
      <c r="B214" s="347" t="s">
        <v>2464</v>
      </c>
      <c r="C214" s="347">
        <v>8090</v>
      </c>
      <c r="D214" s="347">
        <v>8030</v>
      </c>
      <c r="E214" s="347">
        <v>10780</v>
      </c>
      <c r="F214" s="347">
        <v>1570</v>
      </c>
      <c r="G214" s="355">
        <v>5070</v>
      </c>
    </row>
    <row r="215" spans="1:7" s="336" customFormat="1" ht="14.25" customHeight="1">
      <c r="A215" s="347" t="s">
        <v>278</v>
      </c>
      <c r="B215" s="347" t="s">
        <v>2471</v>
      </c>
      <c r="C215" s="347">
        <v>7950</v>
      </c>
      <c r="D215" s="347">
        <v>7900</v>
      </c>
      <c r="E215" s="347">
        <v>10560</v>
      </c>
      <c r="F215" s="347">
        <v>1630</v>
      </c>
      <c r="G215" s="355">
        <v>4990</v>
      </c>
    </row>
    <row r="216" spans="1:7" s="336" customFormat="1" ht="14.25" customHeight="1">
      <c r="A216" s="347" t="s">
        <v>278</v>
      </c>
      <c r="B216" s="347" t="s">
        <v>2478</v>
      </c>
      <c r="C216" s="347">
        <v>8490</v>
      </c>
      <c r="D216" s="347">
        <v>8440</v>
      </c>
      <c r="E216" s="347">
        <v>11260</v>
      </c>
      <c r="F216" s="347">
        <v>1690</v>
      </c>
      <c r="G216" s="355">
        <v>5330</v>
      </c>
    </row>
    <row r="217" spans="1:7" s="336" customFormat="1" ht="14.25" customHeight="1">
      <c r="A217" s="347" t="s">
        <v>278</v>
      </c>
      <c r="B217" s="347" t="s">
        <v>2485</v>
      </c>
      <c r="C217" s="347">
        <v>8200</v>
      </c>
      <c r="D217" s="347">
        <v>8150</v>
      </c>
      <c r="E217" s="347">
        <v>10910</v>
      </c>
      <c r="F217" s="347">
        <v>1670</v>
      </c>
      <c r="G217" s="355">
        <v>5150</v>
      </c>
    </row>
    <row r="218" spans="1:7" s="336" customFormat="1" ht="14.25" customHeight="1">
      <c r="A218" s="347" t="s">
        <v>278</v>
      </c>
      <c r="B218" s="347" t="s">
        <v>2492</v>
      </c>
      <c r="C218" s="347"/>
      <c r="D218" s="347"/>
      <c r="E218" s="347"/>
      <c r="F218" s="347">
        <v>2040</v>
      </c>
      <c r="G218" s="355"/>
    </row>
    <row r="219" spans="1:7" s="336" customFormat="1" ht="14.25" customHeight="1">
      <c r="A219" s="347" t="s">
        <v>278</v>
      </c>
      <c r="B219" s="347" t="s">
        <v>2499</v>
      </c>
      <c r="C219" s="347"/>
      <c r="D219" s="347"/>
      <c r="E219" s="347"/>
      <c r="F219" s="347">
        <v>2040</v>
      </c>
      <c r="G219" s="355"/>
    </row>
    <row r="220" spans="1:7" s="336" customFormat="1" ht="14.25" customHeight="1">
      <c r="A220" s="347" t="s">
        <v>278</v>
      </c>
      <c r="B220" s="347" t="s">
        <v>2506</v>
      </c>
      <c r="C220" s="347"/>
      <c r="D220" s="347"/>
      <c r="E220" s="347"/>
      <c r="F220" s="347">
        <v>2040</v>
      </c>
      <c r="G220" s="355"/>
    </row>
    <row r="221" spans="1:7" s="336" customFormat="1" ht="14.25" customHeight="1">
      <c r="A221" s="347" t="s">
        <v>278</v>
      </c>
      <c r="B221" s="347" t="s">
        <v>2513</v>
      </c>
      <c r="C221" s="347"/>
      <c r="D221" s="347"/>
      <c r="E221" s="347"/>
      <c r="F221" s="347">
        <v>2040</v>
      </c>
      <c r="G221" s="355"/>
    </row>
    <row r="222" spans="1:7" s="336" customFormat="1" ht="14.25" customHeight="1">
      <c r="A222" s="347" t="s">
        <v>278</v>
      </c>
      <c r="B222" s="347" t="s">
        <v>2518</v>
      </c>
      <c r="C222" s="347"/>
      <c r="D222" s="347"/>
      <c r="E222" s="347"/>
      <c r="F222" s="347">
        <v>2040</v>
      </c>
      <c r="G222" s="355"/>
    </row>
    <row r="223" spans="1:7" s="336" customFormat="1" ht="14.25" customHeight="1">
      <c r="A223" s="347" t="s">
        <v>278</v>
      </c>
      <c r="B223" s="347" t="s">
        <v>2523</v>
      </c>
      <c r="C223" s="347"/>
      <c r="D223" s="347"/>
      <c r="E223" s="347"/>
      <c r="F223" s="347">
        <v>1930</v>
      </c>
      <c r="G223" s="355"/>
    </row>
    <row r="224" spans="1:7" s="336" customFormat="1" ht="14.25" customHeight="1">
      <c r="A224" s="347" t="s">
        <v>278</v>
      </c>
      <c r="B224" s="347" t="s">
        <v>2528</v>
      </c>
      <c r="C224" s="347"/>
      <c r="D224" s="347"/>
      <c r="E224" s="347"/>
      <c r="F224" s="347">
        <v>1930</v>
      </c>
      <c r="G224" s="355"/>
    </row>
    <row r="225" spans="1:7" s="336" customFormat="1" ht="14.25" customHeight="1">
      <c r="A225" s="347" t="s">
        <v>278</v>
      </c>
      <c r="B225" s="347" t="s">
        <v>2533</v>
      </c>
      <c r="C225" s="347"/>
      <c r="D225" s="347"/>
      <c r="E225" s="347"/>
      <c r="F225" s="347">
        <v>1930</v>
      </c>
      <c r="G225" s="355"/>
    </row>
    <row r="226" spans="1:7" s="336" customFormat="1" ht="14.25" customHeight="1">
      <c r="A226" s="347" t="s">
        <v>278</v>
      </c>
      <c r="B226" s="347" t="s">
        <v>2538</v>
      </c>
      <c r="C226" s="347"/>
      <c r="D226" s="347"/>
      <c r="E226" s="347"/>
      <c r="F226" s="347">
        <v>1700</v>
      </c>
      <c r="G226" s="355"/>
    </row>
    <row r="227" spans="1:7" s="336" customFormat="1" ht="14.25" customHeight="1">
      <c r="A227" s="347" t="s">
        <v>278</v>
      </c>
      <c r="B227" s="347" t="s">
        <v>2543</v>
      </c>
      <c r="C227" s="347"/>
      <c r="D227" s="347"/>
      <c r="E227" s="347"/>
      <c r="F227" s="347">
        <v>1520</v>
      </c>
      <c r="G227" s="355"/>
    </row>
    <row r="228" spans="1:7" s="336" customFormat="1" ht="14.25" customHeight="1">
      <c r="A228" s="347" t="s">
        <v>278</v>
      </c>
      <c r="B228" s="347" t="s">
        <v>2548</v>
      </c>
      <c r="C228" s="347"/>
      <c r="D228" s="347"/>
      <c r="E228" s="347"/>
      <c r="F228" s="347">
        <v>1520</v>
      </c>
      <c r="G228" s="355"/>
    </row>
    <row r="229" spans="1:7" s="336" customFormat="1" ht="14.25" customHeight="1">
      <c r="A229" s="347" t="s">
        <v>278</v>
      </c>
      <c r="B229" s="347" t="s">
        <v>2553</v>
      </c>
      <c r="C229" s="347"/>
      <c r="D229" s="347"/>
      <c r="E229" s="347"/>
      <c r="F229" s="347">
        <v>1520</v>
      </c>
      <c r="G229" s="355"/>
    </row>
    <row r="230" spans="1:7" s="336" customFormat="1" ht="14.25" customHeight="1">
      <c r="A230" s="347" t="s">
        <v>278</v>
      </c>
      <c r="B230" s="347" t="s">
        <v>2557</v>
      </c>
      <c r="C230" s="347"/>
      <c r="D230" s="347"/>
      <c r="E230" s="347"/>
      <c r="F230" s="347">
        <v>1820</v>
      </c>
      <c r="G230" s="355"/>
    </row>
    <row r="231" spans="1:7" s="336" customFormat="1" ht="14.25" customHeight="1">
      <c r="A231" s="347" t="s">
        <v>278</v>
      </c>
      <c r="B231" s="347" t="s">
        <v>2561</v>
      </c>
      <c r="C231" s="347"/>
      <c r="D231" s="347"/>
      <c r="E231" s="347"/>
      <c r="F231" s="347">
        <v>1760</v>
      </c>
      <c r="G231" s="355"/>
    </row>
    <row r="232" spans="1:7" s="336" customFormat="1" ht="14.25" customHeight="1">
      <c r="A232" s="347" t="s">
        <v>278</v>
      </c>
      <c r="B232" s="347" t="s">
        <v>2565</v>
      </c>
      <c r="C232" s="347"/>
      <c r="D232" s="347"/>
      <c r="E232" s="347"/>
      <c r="F232" s="347">
        <v>1840</v>
      </c>
      <c r="G232" s="355"/>
    </row>
    <row r="233" spans="1:7" s="336" customFormat="1" ht="14.25" customHeight="1">
      <c r="A233" s="356" t="s">
        <v>278</v>
      </c>
      <c r="B233" s="351" t="s">
        <v>2569</v>
      </c>
      <c r="C233" s="351"/>
      <c r="D233" s="351"/>
      <c r="E233" s="351"/>
      <c r="F233" s="351">
        <v>1770</v>
      </c>
      <c r="G233" s="357"/>
    </row>
    <row r="234" spans="1:7" s="336" customFormat="1" ht="14.25" customHeight="1">
      <c r="A234" s="345" t="s">
        <v>284</v>
      </c>
      <c r="B234" s="346" t="s">
        <v>2220</v>
      </c>
      <c r="C234" s="347">
        <v>6980</v>
      </c>
      <c r="D234" s="347">
        <v>6970</v>
      </c>
      <c r="E234" s="347">
        <v>8720</v>
      </c>
      <c r="F234" s="347">
        <v>1350</v>
      </c>
      <c r="G234" s="347">
        <v>4280</v>
      </c>
    </row>
    <row r="235" spans="1:7" s="336" customFormat="1" ht="14.25" customHeight="1">
      <c r="A235" s="347" t="s">
        <v>284</v>
      </c>
      <c r="B235" s="347" t="s">
        <v>2233</v>
      </c>
      <c r="C235" s="347">
        <v>7620</v>
      </c>
      <c r="D235" s="347">
        <v>7580</v>
      </c>
      <c r="E235" s="347">
        <v>9360</v>
      </c>
      <c r="F235" s="347">
        <v>1490</v>
      </c>
      <c r="G235" s="347">
        <v>4650</v>
      </c>
    </row>
    <row r="236" spans="1:7" s="336" customFormat="1" ht="14.25" customHeight="1">
      <c r="A236" s="347" t="s">
        <v>284</v>
      </c>
      <c r="B236" s="347" t="s">
        <v>2247</v>
      </c>
      <c r="C236" s="347">
        <v>6650</v>
      </c>
      <c r="D236" s="347">
        <v>6630</v>
      </c>
      <c r="E236" s="347">
        <v>8330</v>
      </c>
      <c r="F236" s="347">
        <v>1250</v>
      </c>
      <c r="G236" s="347">
        <v>4070</v>
      </c>
    </row>
    <row r="237" spans="1:7" s="336" customFormat="1" ht="14.25" customHeight="1">
      <c r="A237" s="347" t="s">
        <v>284</v>
      </c>
      <c r="B237" s="347" t="s">
        <v>2259</v>
      </c>
      <c r="C237" s="347">
        <v>5850</v>
      </c>
      <c r="D237" s="347">
        <v>5820</v>
      </c>
      <c r="E237" s="347">
        <v>7260</v>
      </c>
      <c r="F237" s="347">
        <v>1140</v>
      </c>
      <c r="G237" s="347">
        <v>3570</v>
      </c>
    </row>
    <row r="238" spans="1:7" s="336" customFormat="1" ht="14.25" customHeight="1">
      <c r="A238" s="347" t="s">
        <v>284</v>
      </c>
      <c r="B238" s="347" t="s">
        <v>2271</v>
      </c>
      <c r="C238" s="347">
        <v>6920</v>
      </c>
      <c r="D238" s="347">
        <v>6890</v>
      </c>
      <c r="E238" s="347">
        <v>8640</v>
      </c>
      <c r="F238" s="347">
        <v>1310</v>
      </c>
      <c r="G238" s="347">
        <v>4230</v>
      </c>
    </row>
    <row r="239" spans="1:7" s="336" customFormat="1" ht="14.25" customHeight="1">
      <c r="A239" s="347" t="s">
        <v>284</v>
      </c>
      <c r="B239" s="347" t="s">
        <v>2282</v>
      </c>
      <c r="C239" s="347">
        <v>6780</v>
      </c>
      <c r="D239" s="347">
        <v>6750</v>
      </c>
      <c r="E239" s="347">
        <v>8440</v>
      </c>
      <c r="F239" s="347">
        <v>1160</v>
      </c>
      <c r="G239" s="347">
        <v>4140</v>
      </c>
    </row>
    <row r="240" spans="1:7" s="336" customFormat="1" ht="14.25" customHeight="1">
      <c r="A240" s="347" t="s">
        <v>284</v>
      </c>
      <c r="B240" s="347" t="s">
        <v>2293</v>
      </c>
      <c r="C240" s="347">
        <v>5420</v>
      </c>
      <c r="D240" s="347">
        <v>5380</v>
      </c>
      <c r="E240" s="347">
        <v>6640</v>
      </c>
      <c r="F240" s="347">
        <v>1020</v>
      </c>
      <c r="G240" s="347">
        <v>3300</v>
      </c>
    </row>
    <row r="241" spans="1:7" s="336" customFormat="1" ht="14.25" customHeight="1">
      <c r="A241" s="347" t="s">
        <v>284</v>
      </c>
      <c r="B241" s="347" t="s">
        <v>2304</v>
      </c>
      <c r="C241" s="347">
        <v>6660</v>
      </c>
      <c r="D241" s="347">
        <v>6640</v>
      </c>
      <c r="E241" s="347">
        <v>8340</v>
      </c>
      <c r="F241" s="347">
        <v>1130</v>
      </c>
      <c r="G241" s="347">
        <v>4080</v>
      </c>
    </row>
    <row r="242" spans="1:7" s="336" customFormat="1" ht="14.25" customHeight="1">
      <c r="A242" s="347" t="s">
        <v>284</v>
      </c>
      <c r="B242" s="347" t="s">
        <v>2314</v>
      </c>
      <c r="C242" s="347">
        <v>6580</v>
      </c>
      <c r="D242" s="347">
        <v>6550</v>
      </c>
      <c r="E242" s="347">
        <v>8090</v>
      </c>
      <c r="F242" s="347">
        <v>1240</v>
      </c>
      <c r="G242" s="347">
        <v>4020</v>
      </c>
    </row>
    <row r="243" spans="1:7" s="336" customFormat="1" ht="14.25" customHeight="1">
      <c r="A243" s="347" t="s">
        <v>284</v>
      </c>
      <c r="B243" s="347" t="s">
        <v>2324</v>
      </c>
      <c r="C243" s="347">
        <v>6000</v>
      </c>
      <c r="D243" s="347">
        <v>5970</v>
      </c>
      <c r="E243" s="347">
        <v>7370</v>
      </c>
      <c r="F243" s="347">
        <v>1070</v>
      </c>
      <c r="G243" s="347">
        <v>3670</v>
      </c>
    </row>
    <row r="244" spans="1:7" s="336" customFormat="1" ht="14.25" customHeight="1">
      <c r="A244" s="347" t="s">
        <v>284</v>
      </c>
      <c r="B244" s="347" t="s">
        <v>2334</v>
      </c>
      <c r="C244" s="347">
        <v>5840</v>
      </c>
      <c r="D244" s="347">
        <v>5810</v>
      </c>
      <c r="E244" s="347">
        <v>7240</v>
      </c>
      <c r="F244" s="347">
        <v>1100</v>
      </c>
      <c r="G244" s="347">
        <v>3560</v>
      </c>
    </row>
    <row r="245" spans="1:7" s="336" customFormat="1" ht="14.25" customHeight="1">
      <c r="A245" s="347" t="s">
        <v>284</v>
      </c>
      <c r="B245" s="347" t="s">
        <v>2344</v>
      </c>
      <c r="C245" s="347">
        <v>6040</v>
      </c>
      <c r="D245" s="347">
        <v>6000</v>
      </c>
      <c r="E245" s="347">
        <v>7420</v>
      </c>
      <c r="F245" s="347">
        <v>1140</v>
      </c>
      <c r="G245" s="347">
        <v>3690</v>
      </c>
    </row>
    <row r="246" spans="1:7" s="336" customFormat="1" ht="14.25" customHeight="1">
      <c r="A246" s="347" t="s">
        <v>284</v>
      </c>
      <c r="B246" s="347" t="s">
        <v>2354</v>
      </c>
      <c r="C246" s="347">
        <v>5890</v>
      </c>
      <c r="D246" s="347">
        <v>5860</v>
      </c>
      <c r="E246" s="347">
        <v>7300</v>
      </c>
      <c r="F246" s="347">
        <v>1110</v>
      </c>
      <c r="G246" s="347">
        <v>3590</v>
      </c>
    </row>
    <row r="247" spans="1:7" s="336" customFormat="1" ht="14.25" customHeight="1">
      <c r="A247" s="347" t="s">
        <v>284</v>
      </c>
      <c r="B247" s="347" t="s">
        <v>2364</v>
      </c>
      <c r="C247" s="347">
        <v>6480</v>
      </c>
      <c r="D247" s="347">
        <v>6450</v>
      </c>
      <c r="E247" s="347">
        <v>8010</v>
      </c>
      <c r="F247" s="347">
        <v>1170</v>
      </c>
      <c r="G247" s="347">
        <v>3960</v>
      </c>
    </row>
    <row r="248" spans="1:7" s="336" customFormat="1" ht="14.25" customHeight="1">
      <c r="A248" s="347" t="s">
        <v>284</v>
      </c>
      <c r="B248" s="347" t="s">
        <v>2374</v>
      </c>
      <c r="C248" s="347">
        <v>6860</v>
      </c>
      <c r="D248" s="347">
        <v>6840</v>
      </c>
      <c r="E248" s="347">
        <v>8520</v>
      </c>
      <c r="F248" s="347">
        <v>1240</v>
      </c>
      <c r="G248" s="347">
        <v>4200</v>
      </c>
    </row>
    <row r="249" spans="1:7" s="336" customFormat="1" ht="14.25" customHeight="1">
      <c r="A249" s="347" t="s">
        <v>284</v>
      </c>
      <c r="B249" s="347" t="s">
        <v>2384</v>
      </c>
      <c r="C249" s="347">
        <v>7180</v>
      </c>
      <c r="D249" s="347">
        <v>7140</v>
      </c>
      <c r="E249" s="347">
        <v>8900</v>
      </c>
      <c r="F249" s="347">
        <v>1350</v>
      </c>
      <c r="G249" s="347">
        <v>4380</v>
      </c>
    </row>
    <row r="250" spans="1:7" s="336" customFormat="1" ht="14.25" customHeight="1">
      <c r="A250" s="347" t="s">
        <v>284</v>
      </c>
      <c r="B250" s="347" t="s">
        <v>2394</v>
      </c>
      <c r="C250" s="347">
        <v>6880</v>
      </c>
      <c r="D250" s="347">
        <v>6860</v>
      </c>
      <c r="E250" s="347">
        <v>8550</v>
      </c>
      <c r="F250" s="347">
        <v>1220</v>
      </c>
      <c r="G250" s="347">
        <v>4210</v>
      </c>
    </row>
    <row r="251" spans="1:7" s="336" customFormat="1" ht="14.25" customHeight="1">
      <c r="A251" s="347" t="s">
        <v>284</v>
      </c>
      <c r="B251" s="347" t="s">
        <v>2404</v>
      </c>
      <c r="C251" s="347"/>
      <c r="D251" s="347"/>
      <c r="E251" s="347"/>
      <c r="F251" s="347">
        <v>1100</v>
      </c>
      <c r="G251" s="347"/>
    </row>
    <row r="252" spans="1:7" s="336" customFormat="1" ht="14.25" customHeight="1">
      <c r="A252" s="347" t="s">
        <v>284</v>
      </c>
      <c r="B252" s="347" t="s">
        <v>2414</v>
      </c>
      <c r="C252" s="347">
        <v>7240</v>
      </c>
      <c r="D252" s="347">
        <v>7200</v>
      </c>
      <c r="E252" s="347">
        <v>9040</v>
      </c>
      <c r="F252" s="347">
        <v>1380</v>
      </c>
      <c r="G252" s="347">
        <v>4420</v>
      </c>
    </row>
    <row r="253" spans="1:7" s="336" customFormat="1" ht="14.25" customHeight="1">
      <c r="A253" s="347" t="s">
        <v>284</v>
      </c>
      <c r="B253" s="347" t="s">
        <v>2424</v>
      </c>
      <c r="C253" s="347">
        <v>6670</v>
      </c>
      <c r="D253" s="347">
        <v>6650</v>
      </c>
      <c r="E253" s="347">
        <v>8350</v>
      </c>
      <c r="F253" s="347">
        <v>1260</v>
      </c>
      <c r="G253" s="347">
        <v>4080</v>
      </c>
    </row>
    <row r="254" spans="1:7" s="336" customFormat="1" ht="14.25" customHeight="1">
      <c r="A254" s="347" t="s">
        <v>284</v>
      </c>
      <c r="B254" s="347" t="s">
        <v>2433</v>
      </c>
      <c r="C254" s="347">
        <v>7630</v>
      </c>
      <c r="D254" s="347">
        <v>7590</v>
      </c>
      <c r="E254" s="347">
        <v>9380</v>
      </c>
      <c r="F254" s="347">
        <v>1320</v>
      </c>
      <c r="G254" s="347">
        <v>4660</v>
      </c>
    </row>
    <row r="255" spans="1:7" s="336" customFormat="1" ht="14.25" customHeight="1">
      <c r="A255" s="347" t="s">
        <v>284</v>
      </c>
      <c r="B255" s="347" t="s">
        <v>2441</v>
      </c>
      <c r="C255" s="347">
        <v>6940</v>
      </c>
      <c r="D255" s="347">
        <v>6890</v>
      </c>
      <c r="E255" s="347">
        <v>8650</v>
      </c>
      <c r="F255" s="347">
        <v>1210</v>
      </c>
      <c r="G255" s="347">
        <v>4230</v>
      </c>
    </row>
    <row r="256" spans="1:7" s="336" customFormat="1" ht="14.25" customHeight="1">
      <c r="A256" s="347" t="s">
        <v>284</v>
      </c>
      <c r="B256" s="347" t="s">
        <v>2449</v>
      </c>
      <c r="C256" s="347">
        <v>7520</v>
      </c>
      <c r="D256" s="347">
        <v>7490</v>
      </c>
      <c r="E256" s="347">
        <v>9240</v>
      </c>
      <c r="F256" s="347">
        <v>1270</v>
      </c>
      <c r="G256" s="347">
        <v>4590</v>
      </c>
    </row>
    <row r="257" spans="1:7" s="336" customFormat="1" ht="14.25" customHeight="1">
      <c r="A257" s="347" t="s">
        <v>284</v>
      </c>
      <c r="B257" s="347" t="s">
        <v>2457</v>
      </c>
      <c r="C257" s="347">
        <v>6280</v>
      </c>
      <c r="D257" s="347">
        <v>6230</v>
      </c>
      <c r="E257" s="347">
        <v>7740</v>
      </c>
      <c r="F257" s="347">
        <v>1080</v>
      </c>
      <c r="G257" s="347">
        <v>3830</v>
      </c>
    </row>
    <row r="258" spans="1:7" s="336" customFormat="1" ht="14.25" customHeight="1">
      <c r="A258" s="347" t="s">
        <v>284</v>
      </c>
      <c r="B258" s="347" t="s">
        <v>2465</v>
      </c>
      <c r="C258" s="347">
        <v>6190</v>
      </c>
      <c r="D258" s="347">
        <v>6160</v>
      </c>
      <c r="E258" s="347">
        <v>7680</v>
      </c>
      <c r="F258" s="347">
        <v>1170</v>
      </c>
      <c r="G258" s="347">
        <v>3780</v>
      </c>
    </row>
    <row r="259" spans="1:7" s="336" customFormat="1" ht="14.25" customHeight="1">
      <c r="A259" s="347" t="s">
        <v>284</v>
      </c>
      <c r="B259" s="347" t="s">
        <v>2472</v>
      </c>
      <c r="C259" s="347">
        <v>7610</v>
      </c>
      <c r="D259" s="347">
        <v>7570</v>
      </c>
      <c r="E259" s="347">
        <v>9350</v>
      </c>
      <c r="F259" s="347">
        <v>1350</v>
      </c>
      <c r="G259" s="347">
        <v>4650</v>
      </c>
    </row>
    <row r="260" spans="1:7" s="336" customFormat="1" ht="14.25" customHeight="1">
      <c r="A260" s="347" t="s">
        <v>284</v>
      </c>
      <c r="B260" s="347" t="s">
        <v>2479</v>
      </c>
      <c r="C260" s="347">
        <v>6920</v>
      </c>
      <c r="D260" s="347">
        <v>6880</v>
      </c>
      <c r="E260" s="347">
        <v>8380</v>
      </c>
      <c r="F260" s="347">
        <v>1160</v>
      </c>
      <c r="G260" s="347">
        <v>4220</v>
      </c>
    </row>
    <row r="261" spans="1:7" s="336" customFormat="1" ht="14.25" customHeight="1">
      <c r="A261" s="347" t="s">
        <v>284</v>
      </c>
      <c r="B261" s="347" t="s">
        <v>2486</v>
      </c>
      <c r="C261" s="347">
        <v>6850</v>
      </c>
      <c r="D261" s="347">
        <v>6810</v>
      </c>
      <c r="E261" s="347">
        <v>8290</v>
      </c>
      <c r="F261" s="347">
        <v>1130</v>
      </c>
      <c r="G261" s="347">
        <v>4180</v>
      </c>
    </row>
    <row r="262" spans="1:7" s="336" customFormat="1" ht="14.25" customHeight="1">
      <c r="A262" s="347" t="s">
        <v>284</v>
      </c>
      <c r="B262" s="347" t="s">
        <v>2493</v>
      </c>
      <c r="C262" s="347">
        <v>5860</v>
      </c>
      <c r="D262" s="347">
        <v>5820</v>
      </c>
      <c r="E262" s="347">
        <v>7640</v>
      </c>
      <c r="F262" s="347">
        <v>1070</v>
      </c>
      <c r="G262" s="347">
        <v>3570</v>
      </c>
    </row>
    <row r="263" spans="1:7" s="336" customFormat="1" ht="14.25" customHeight="1">
      <c r="A263" s="347" t="s">
        <v>284</v>
      </c>
      <c r="B263" s="347" t="s">
        <v>2500</v>
      </c>
      <c r="C263" s="347">
        <v>5870</v>
      </c>
      <c r="D263" s="347">
        <v>5840</v>
      </c>
      <c r="E263" s="347">
        <v>7270</v>
      </c>
      <c r="F263" s="347">
        <v>1190</v>
      </c>
      <c r="G263" s="347">
        <v>3580</v>
      </c>
    </row>
    <row r="264" spans="1:7" s="336" customFormat="1" ht="14.25" customHeight="1">
      <c r="A264" s="347" t="s">
        <v>284</v>
      </c>
      <c r="B264" s="347" t="s">
        <v>2507</v>
      </c>
      <c r="C264" s="347">
        <v>6190</v>
      </c>
      <c r="D264" s="347">
        <v>6150</v>
      </c>
      <c r="E264" s="347">
        <v>7660</v>
      </c>
      <c r="F264" s="347">
        <v>1160</v>
      </c>
      <c r="G264" s="347">
        <v>3770</v>
      </c>
    </row>
    <row r="265" spans="1:7" s="336" customFormat="1" ht="14.25" customHeight="1">
      <c r="A265" s="347" t="s">
        <v>284</v>
      </c>
      <c r="B265" s="347" t="s">
        <v>2514</v>
      </c>
      <c r="C265" s="347"/>
      <c r="D265" s="347"/>
      <c r="E265" s="347"/>
      <c r="F265" s="347">
        <v>1500</v>
      </c>
      <c r="G265" s="347"/>
    </row>
    <row r="266" spans="1:7" s="336" customFormat="1" ht="14.25" customHeight="1">
      <c r="A266" s="347" t="s">
        <v>284</v>
      </c>
      <c r="B266" s="347" t="s">
        <v>2519</v>
      </c>
      <c r="C266" s="347"/>
      <c r="D266" s="347"/>
      <c r="E266" s="347"/>
      <c r="F266" s="347">
        <v>1500</v>
      </c>
      <c r="G266" s="347"/>
    </row>
    <row r="267" spans="1:7" s="336" customFormat="1" ht="14.25" customHeight="1">
      <c r="A267" s="347" t="s">
        <v>284</v>
      </c>
      <c r="B267" s="347" t="s">
        <v>2524</v>
      </c>
      <c r="C267" s="347"/>
      <c r="D267" s="347"/>
      <c r="E267" s="347"/>
      <c r="F267" s="347">
        <v>1500</v>
      </c>
      <c r="G267" s="347"/>
    </row>
    <row r="268" spans="1:7" s="336" customFormat="1" ht="14.25" customHeight="1">
      <c r="A268" s="347" t="s">
        <v>284</v>
      </c>
      <c r="B268" s="347" t="s">
        <v>2529</v>
      </c>
      <c r="C268" s="347"/>
      <c r="D268" s="347"/>
      <c r="E268" s="347"/>
      <c r="F268" s="347">
        <v>1290</v>
      </c>
      <c r="G268" s="347"/>
    </row>
    <row r="269" spans="1:7" s="336" customFormat="1" ht="14.25" customHeight="1">
      <c r="A269" s="347" t="s">
        <v>284</v>
      </c>
      <c r="B269" s="347" t="s">
        <v>2534</v>
      </c>
      <c r="C269" s="347"/>
      <c r="D269" s="347"/>
      <c r="E269" s="347"/>
      <c r="F269" s="347">
        <v>1150</v>
      </c>
      <c r="G269" s="347"/>
    </row>
    <row r="270" spans="1:7" s="336" customFormat="1" ht="14.25" customHeight="1">
      <c r="A270" s="347" t="s">
        <v>284</v>
      </c>
      <c r="B270" s="347" t="s">
        <v>2539</v>
      </c>
      <c r="C270" s="347"/>
      <c r="D270" s="347"/>
      <c r="E270" s="347"/>
      <c r="F270" s="347">
        <v>1380</v>
      </c>
      <c r="G270" s="347"/>
    </row>
    <row r="271" spans="1:7" s="336" customFormat="1" ht="14.25" customHeight="1">
      <c r="A271" s="347" t="s">
        <v>284</v>
      </c>
      <c r="B271" s="347" t="s">
        <v>2544</v>
      </c>
      <c r="C271" s="347"/>
      <c r="D271" s="347"/>
      <c r="E271" s="347"/>
      <c r="F271" s="347">
        <v>1460</v>
      </c>
      <c r="G271" s="347"/>
    </row>
    <row r="272" spans="1:7" s="336" customFormat="1" ht="14.25" customHeight="1">
      <c r="A272" s="347" t="s">
        <v>284</v>
      </c>
      <c r="B272" s="347" t="s">
        <v>2549</v>
      </c>
      <c r="C272" s="347"/>
      <c r="D272" s="347"/>
      <c r="E272" s="347"/>
      <c r="F272" s="347">
        <v>1460</v>
      </c>
      <c r="G272" s="347"/>
    </row>
    <row r="273" spans="1:7" s="336" customFormat="1" ht="14.25" customHeight="1">
      <c r="A273" s="347" t="s">
        <v>284</v>
      </c>
      <c r="B273" s="347" t="s">
        <v>2554</v>
      </c>
      <c r="C273" s="347"/>
      <c r="D273" s="347"/>
      <c r="E273" s="347"/>
      <c r="F273" s="347">
        <v>1490</v>
      </c>
      <c r="G273" s="347"/>
    </row>
    <row r="274" spans="1:7" s="336" customFormat="1" ht="14.25" customHeight="1">
      <c r="A274" s="347" t="s">
        <v>284</v>
      </c>
      <c r="B274" s="347" t="s">
        <v>2558</v>
      </c>
      <c r="C274" s="347"/>
      <c r="D274" s="347"/>
      <c r="E274" s="347"/>
      <c r="F274" s="347">
        <v>1490</v>
      </c>
      <c r="G274" s="347"/>
    </row>
    <row r="275" spans="1:7" s="336" customFormat="1" ht="14.25" customHeight="1">
      <c r="A275" s="347" t="s">
        <v>284</v>
      </c>
      <c r="B275" s="347" t="s">
        <v>2562</v>
      </c>
      <c r="C275" s="347"/>
      <c r="D275" s="347"/>
      <c r="E275" s="347"/>
      <c r="F275" s="347">
        <v>1220</v>
      </c>
      <c r="G275" s="347"/>
    </row>
    <row r="276" spans="1:7" s="336" customFormat="1" ht="14.25" customHeight="1">
      <c r="A276" s="349" t="s">
        <v>284</v>
      </c>
      <c r="B276" s="352" t="s">
        <v>2566</v>
      </c>
      <c r="C276" s="353"/>
      <c r="D276" s="353"/>
      <c r="E276" s="353"/>
      <c r="F276" s="353">
        <v>1380</v>
      </c>
      <c r="G276" s="353"/>
    </row>
    <row r="277" spans="1:7" s="336" customFormat="1" ht="14.25" customHeight="1">
      <c r="A277" s="345" t="s">
        <v>288</v>
      </c>
      <c r="B277" s="346" t="s">
        <v>2221</v>
      </c>
      <c r="C277" s="346">
        <v>5790</v>
      </c>
      <c r="D277" s="346">
        <v>5740</v>
      </c>
      <c r="E277" s="346">
        <v>6730</v>
      </c>
      <c r="F277" s="346">
        <v>1110</v>
      </c>
      <c r="G277" s="354">
        <v>3460</v>
      </c>
    </row>
    <row r="278" spans="1:7" s="336" customFormat="1" ht="14.25" customHeight="1">
      <c r="A278" s="347" t="s">
        <v>288</v>
      </c>
      <c r="B278" s="347" t="s">
        <v>2234</v>
      </c>
      <c r="C278" s="347">
        <v>5740</v>
      </c>
      <c r="D278" s="347">
        <v>5670</v>
      </c>
      <c r="E278" s="347">
        <v>6680</v>
      </c>
      <c r="F278" s="347">
        <v>1070</v>
      </c>
      <c r="G278" s="355">
        <v>3420</v>
      </c>
    </row>
    <row r="279" spans="1:7" s="336" customFormat="1" ht="14.25" customHeight="1">
      <c r="A279" s="347" t="s">
        <v>288</v>
      </c>
      <c r="B279" s="347" t="s">
        <v>2248</v>
      </c>
      <c r="C279" s="347">
        <v>4760</v>
      </c>
      <c r="D279" s="347">
        <v>4720</v>
      </c>
      <c r="E279" s="347">
        <v>5540</v>
      </c>
      <c r="F279" s="347">
        <v>810</v>
      </c>
      <c r="G279" s="355">
        <v>2850</v>
      </c>
    </row>
    <row r="280" spans="1:7" s="336" customFormat="1" ht="14.25" customHeight="1">
      <c r="A280" s="347" t="s">
        <v>288</v>
      </c>
      <c r="B280" s="347" t="s">
        <v>2260</v>
      </c>
      <c r="C280" s="347">
        <v>4010</v>
      </c>
      <c r="D280" s="347">
        <v>3950</v>
      </c>
      <c r="E280" s="347">
        <v>4710</v>
      </c>
      <c r="F280" s="347">
        <v>800</v>
      </c>
      <c r="G280" s="355">
        <v>2390</v>
      </c>
    </row>
    <row r="281" spans="1:7" s="336" customFormat="1" ht="14.25" customHeight="1">
      <c r="A281" s="347" t="s">
        <v>288</v>
      </c>
      <c r="B281" s="347" t="s">
        <v>2272</v>
      </c>
      <c r="C281" s="347">
        <v>4480</v>
      </c>
      <c r="D281" s="347">
        <v>4420</v>
      </c>
      <c r="E281" s="347">
        <v>5230</v>
      </c>
      <c r="F281" s="347">
        <v>870</v>
      </c>
      <c r="G281" s="355">
        <v>2660</v>
      </c>
    </row>
    <row r="282" spans="1:7" s="336" customFormat="1" ht="14.25" customHeight="1">
      <c r="A282" s="347" t="s">
        <v>288</v>
      </c>
      <c r="B282" s="347" t="s">
        <v>2283</v>
      </c>
      <c r="C282" s="347">
        <v>5360</v>
      </c>
      <c r="D282" s="347">
        <v>5300</v>
      </c>
      <c r="E282" s="347">
        <v>6190</v>
      </c>
      <c r="F282" s="347">
        <v>950</v>
      </c>
      <c r="G282" s="355">
        <v>3190</v>
      </c>
    </row>
    <row r="283" spans="1:7" s="336" customFormat="1" ht="14.25" customHeight="1">
      <c r="A283" s="347" t="s">
        <v>288</v>
      </c>
      <c r="B283" s="347" t="s">
        <v>2294</v>
      </c>
      <c r="C283" s="347">
        <v>4950</v>
      </c>
      <c r="D283" s="347">
        <v>4900</v>
      </c>
      <c r="E283" s="347">
        <v>5720</v>
      </c>
      <c r="F283" s="347">
        <v>920</v>
      </c>
      <c r="G283" s="355">
        <v>2950</v>
      </c>
    </row>
    <row r="284" spans="1:7" s="336" customFormat="1" ht="14.25" customHeight="1">
      <c r="A284" s="347" t="s">
        <v>288</v>
      </c>
      <c r="B284" s="347" t="s">
        <v>2305</v>
      </c>
      <c r="C284" s="347">
        <v>5610</v>
      </c>
      <c r="D284" s="347">
        <v>5560</v>
      </c>
      <c r="E284" s="347">
        <v>6520</v>
      </c>
      <c r="F284" s="347">
        <v>1030</v>
      </c>
      <c r="G284" s="355">
        <v>3360</v>
      </c>
    </row>
    <row r="285" spans="1:7" s="336" customFormat="1" ht="14.25" customHeight="1">
      <c r="A285" s="347" t="s">
        <v>288</v>
      </c>
      <c r="B285" s="347" t="s">
        <v>2315</v>
      </c>
      <c r="C285" s="347">
        <v>5340</v>
      </c>
      <c r="D285" s="347">
        <v>5290</v>
      </c>
      <c r="E285" s="347">
        <v>6170</v>
      </c>
      <c r="F285" s="347">
        <v>1080</v>
      </c>
      <c r="G285" s="355">
        <v>3180</v>
      </c>
    </row>
    <row r="286" spans="1:7" s="336" customFormat="1" ht="14.25" customHeight="1">
      <c r="A286" s="347" t="s">
        <v>288</v>
      </c>
      <c r="B286" s="347" t="s">
        <v>2325</v>
      </c>
      <c r="C286" s="347">
        <v>4890</v>
      </c>
      <c r="D286" s="347">
        <v>4840</v>
      </c>
      <c r="E286" s="347">
        <v>5640</v>
      </c>
      <c r="F286" s="347">
        <v>960</v>
      </c>
      <c r="G286" s="355">
        <v>2910</v>
      </c>
    </row>
    <row r="287" spans="1:7" s="336" customFormat="1" ht="14.25" customHeight="1">
      <c r="A287" s="347" t="s">
        <v>288</v>
      </c>
      <c r="B287" s="347" t="s">
        <v>2335</v>
      </c>
      <c r="C287" s="347">
        <v>4960</v>
      </c>
      <c r="D287" s="347">
        <v>4920</v>
      </c>
      <c r="E287" s="347">
        <v>5730</v>
      </c>
      <c r="F287" s="347">
        <v>930</v>
      </c>
      <c r="G287" s="355">
        <v>2960</v>
      </c>
    </row>
    <row r="288" spans="1:7" s="336" customFormat="1" ht="14.25" customHeight="1">
      <c r="A288" s="347" t="s">
        <v>288</v>
      </c>
      <c r="B288" s="347" t="s">
        <v>2345</v>
      </c>
      <c r="C288" s="347">
        <v>4350</v>
      </c>
      <c r="D288" s="347">
        <v>4300</v>
      </c>
      <c r="E288" s="347">
        <v>4900</v>
      </c>
      <c r="F288" s="347">
        <v>820</v>
      </c>
      <c r="G288" s="355">
        <v>2590</v>
      </c>
    </row>
    <row r="289" spans="1:7" s="336" customFormat="1" ht="14.25" customHeight="1">
      <c r="A289" s="347" t="s">
        <v>288</v>
      </c>
      <c r="B289" s="347" t="s">
        <v>2355</v>
      </c>
      <c r="C289" s="347">
        <v>5230</v>
      </c>
      <c r="D289" s="347">
        <v>5170</v>
      </c>
      <c r="E289" s="347">
        <v>6060</v>
      </c>
      <c r="F289" s="347">
        <v>900</v>
      </c>
      <c r="G289" s="355">
        <v>3120</v>
      </c>
    </row>
    <row r="290" spans="1:7" s="336" customFormat="1" ht="14.25" customHeight="1">
      <c r="A290" s="347" t="s">
        <v>288</v>
      </c>
      <c r="B290" s="347" t="s">
        <v>2365</v>
      </c>
      <c r="C290" s="347">
        <v>5550</v>
      </c>
      <c r="D290" s="347">
        <v>5500</v>
      </c>
      <c r="E290" s="347">
        <v>6440</v>
      </c>
      <c r="F290" s="347">
        <v>960</v>
      </c>
      <c r="G290" s="355">
        <v>3320</v>
      </c>
    </row>
    <row r="291" spans="1:7" s="336" customFormat="1" ht="14.25" customHeight="1">
      <c r="A291" s="347" t="s">
        <v>288</v>
      </c>
      <c r="B291" s="347" t="s">
        <v>2375</v>
      </c>
      <c r="C291" s="347">
        <v>5440</v>
      </c>
      <c r="D291" s="347">
        <v>5400</v>
      </c>
      <c r="E291" s="347">
        <v>6320</v>
      </c>
      <c r="F291" s="347">
        <v>930</v>
      </c>
      <c r="G291" s="355">
        <v>3250</v>
      </c>
    </row>
    <row r="292" spans="1:7" s="336" customFormat="1" ht="14.25" customHeight="1">
      <c r="A292" s="347" t="s">
        <v>288</v>
      </c>
      <c r="B292" s="347" t="s">
        <v>2385</v>
      </c>
      <c r="C292" s="347">
        <v>5400</v>
      </c>
      <c r="D292" s="347">
        <v>5360</v>
      </c>
      <c r="E292" s="347">
        <v>6270</v>
      </c>
      <c r="F292" s="347">
        <v>1040</v>
      </c>
      <c r="G292" s="355">
        <v>3230</v>
      </c>
    </row>
    <row r="293" spans="1:7" s="336" customFormat="1" ht="14.25" customHeight="1">
      <c r="A293" s="347" t="s">
        <v>288</v>
      </c>
      <c r="B293" s="347" t="s">
        <v>2395</v>
      </c>
      <c r="C293" s="347">
        <v>5320</v>
      </c>
      <c r="D293" s="347">
        <v>5270</v>
      </c>
      <c r="E293" s="347">
        <v>6160</v>
      </c>
      <c r="F293" s="347">
        <v>990</v>
      </c>
      <c r="G293" s="355">
        <v>3170</v>
      </c>
    </row>
    <row r="294" spans="1:7" s="336" customFormat="1" ht="14.25" customHeight="1">
      <c r="A294" s="347" t="s">
        <v>288</v>
      </c>
      <c r="B294" s="347" t="s">
        <v>2405</v>
      </c>
      <c r="C294" s="347">
        <v>5260</v>
      </c>
      <c r="D294" s="347">
        <v>5210</v>
      </c>
      <c r="E294" s="347">
        <v>6100</v>
      </c>
      <c r="F294" s="347">
        <v>950</v>
      </c>
      <c r="G294" s="355">
        <v>3150</v>
      </c>
    </row>
    <row r="295" spans="1:7" s="336" customFormat="1" ht="14.25" customHeight="1">
      <c r="A295" s="347" t="s">
        <v>288</v>
      </c>
      <c r="B295" s="347" t="s">
        <v>2415</v>
      </c>
      <c r="C295" s="347">
        <v>5610</v>
      </c>
      <c r="D295" s="347">
        <v>5570</v>
      </c>
      <c r="E295" s="347">
        <v>6530</v>
      </c>
      <c r="F295" s="347">
        <v>960</v>
      </c>
      <c r="G295" s="355">
        <v>3360</v>
      </c>
    </row>
    <row r="296" spans="1:7" s="336" customFormat="1" ht="14.25" customHeight="1">
      <c r="A296" s="347" t="s">
        <v>288</v>
      </c>
      <c r="B296" s="347" t="s">
        <v>2425</v>
      </c>
      <c r="C296" s="347">
        <v>5540</v>
      </c>
      <c r="D296" s="347">
        <v>5490</v>
      </c>
      <c r="E296" s="347">
        <v>6430</v>
      </c>
      <c r="F296" s="347">
        <v>980</v>
      </c>
      <c r="G296" s="355">
        <v>3310</v>
      </c>
    </row>
    <row r="297" spans="1:7" s="336" customFormat="1" ht="14.25" customHeight="1">
      <c r="A297" s="347" t="s">
        <v>288</v>
      </c>
      <c r="B297" s="347" t="s">
        <v>2434</v>
      </c>
      <c r="C297" s="347">
        <v>5480</v>
      </c>
      <c r="D297" s="347">
        <v>5420</v>
      </c>
      <c r="E297" s="347">
        <v>6370</v>
      </c>
      <c r="F297" s="347">
        <v>990</v>
      </c>
      <c r="G297" s="355">
        <v>3270</v>
      </c>
    </row>
    <row r="298" spans="1:7" s="336" customFormat="1" ht="14.25" customHeight="1">
      <c r="A298" s="347" t="s">
        <v>288</v>
      </c>
      <c r="B298" s="347" t="s">
        <v>2442</v>
      </c>
      <c r="C298" s="347">
        <v>5090</v>
      </c>
      <c r="D298" s="347">
        <v>5050</v>
      </c>
      <c r="E298" s="347">
        <v>5910</v>
      </c>
      <c r="F298" s="347">
        <v>900</v>
      </c>
      <c r="G298" s="355">
        <v>3040</v>
      </c>
    </row>
    <row r="299" spans="1:7" s="336" customFormat="1" ht="14.25" customHeight="1">
      <c r="A299" s="347" t="s">
        <v>288</v>
      </c>
      <c r="B299" s="361" t="s">
        <v>2450</v>
      </c>
      <c r="C299" s="347">
        <v>5430</v>
      </c>
      <c r="D299" s="347">
        <v>5380</v>
      </c>
      <c r="E299" s="347">
        <v>6280</v>
      </c>
      <c r="F299" s="347">
        <v>1000</v>
      </c>
      <c r="G299" s="355">
        <v>3240</v>
      </c>
    </row>
    <row r="300" spans="1:7" s="336" customFormat="1" ht="14.25" customHeight="1">
      <c r="A300" s="347" t="s">
        <v>288</v>
      </c>
      <c r="B300" s="361" t="s">
        <v>2458</v>
      </c>
      <c r="C300" s="347">
        <v>4740</v>
      </c>
      <c r="D300" s="347">
        <v>4680</v>
      </c>
      <c r="E300" s="347">
        <v>5450</v>
      </c>
      <c r="F300" s="347">
        <v>900</v>
      </c>
      <c r="G300" s="355">
        <v>2830</v>
      </c>
    </row>
    <row r="301" spans="1:7" s="336" customFormat="1" ht="14.25" customHeight="1">
      <c r="A301" s="347" t="s">
        <v>288</v>
      </c>
      <c r="B301" s="361" t="s">
        <v>2466</v>
      </c>
      <c r="C301" s="347">
        <v>4870</v>
      </c>
      <c r="D301" s="347">
        <v>4810</v>
      </c>
      <c r="E301" s="347">
        <v>5560</v>
      </c>
      <c r="F301" s="347">
        <v>990</v>
      </c>
      <c r="G301" s="355">
        <v>2910</v>
      </c>
    </row>
    <row r="302" spans="1:7" s="336" customFormat="1" ht="14.25" customHeight="1">
      <c r="A302" s="347" t="s">
        <v>288</v>
      </c>
      <c r="B302" s="347" t="s">
        <v>2473</v>
      </c>
      <c r="C302" s="347">
        <v>5520</v>
      </c>
      <c r="D302" s="347">
        <v>5470</v>
      </c>
      <c r="E302" s="347">
        <v>6410</v>
      </c>
      <c r="F302" s="347">
        <v>950</v>
      </c>
      <c r="G302" s="355">
        <v>3300</v>
      </c>
    </row>
    <row r="303" spans="1:7" s="336" customFormat="1" ht="14.25" customHeight="1">
      <c r="A303" s="347" t="s">
        <v>288</v>
      </c>
      <c r="B303" s="347" t="s">
        <v>2480</v>
      </c>
      <c r="C303" s="347">
        <v>5630</v>
      </c>
      <c r="D303" s="347">
        <v>5590</v>
      </c>
      <c r="E303" s="347">
        <v>6550</v>
      </c>
      <c r="F303" s="347">
        <v>1010</v>
      </c>
      <c r="G303" s="355">
        <v>3370</v>
      </c>
    </row>
    <row r="304" spans="1:7" s="336" customFormat="1" ht="14.25" customHeight="1">
      <c r="A304" s="347" t="s">
        <v>288</v>
      </c>
      <c r="B304" s="347" t="s">
        <v>2487</v>
      </c>
      <c r="C304" s="347">
        <v>5680</v>
      </c>
      <c r="D304" s="347">
        <v>5620</v>
      </c>
      <c r="E304" s="347">
        <v>6620</v>
      </c>
      <c r="F304" s="347">
        <v>1050</v>
      </c>
      <c r="G304" s="355">
        <v>3390</v>
      </c>
    </row>
    <row r="305" spans="1:7" s="336" customFormat="1" ht="14.25" customHeight="1">
      <c r="A305" s="347" t="s">
        <v>288</v>
      </c>
      <c r="B305" s="347" t="s">
        <v>2494</v>
      </c>
      <c r="C305" s="347">
        <v>5590</v>
      </c>
      <c r="D305" s="347">
        <v>5530</v>
      </c>
      <c r="E305" s="347">
        <v>6460</v>
      </c>
      <c r="F305" s="347">
        <v>900</v>
      </c>
      <c r="G305" s="355">
        <v>3340</v>
      </c>
    </row>
    <row r="306" spans="1:7" s="336" customFormat="1" ht="14.25" customHeight="1">
      <c r="A306" s="347" t="s">
        <v>288</v>
      </c>
      <c r="B306" s="347" t="s">
        <v>2501</v>
      </c>
      <c r="C306" s="347">
        <v>5560</v>
      </c>
      <c r="D306" s="347">
        <v>5510</v>
      </c>
      <c r="E306" s="347">
        <v>6440</v>
      </c>
      <c r="F306" s="347">
        <v>900</v>
      </c>
      <c r="G306" s="355">
        <v>3320</v>
      </c>
    </row>
    <row r="307" spans="1:7" s="336" customFormat="1" ht="14.25" customHeight="1">
      <c r="A307" s="347" t="s">
        <v>288</v>
      </c>
      <c r="B307" s="347" t="s">
        <v>2508</v>
      </c>
      <c r="C307" s="347">
        <v>5650</v>
      </c>
      <c r="D307" s="347">
        <v>5600</v>
      </c>
      <c r="E307" s="347">
        <v>6590</v>
      </c>
      <c r="F307" s="347">
        <v>930</v>
      </c>
      <c r="G307" s="355">
        <v>3380</v>
      </c>
    </row>
    <row r="308" spans="1:7" s="336" customFormat="1" ht="14.25" customHeight="1">
      <c r="A308" s="347" t="s">
        <v>288</v>
      </c>
      <c r="B308" s="347" t="s">
        <v>2515</v>
      </c>
      <c r="C308" s="347">
        <v>5620</v>
      </c>
      <c r="D308" s="347">
        <v>5580</v>
      </c>
      <c r="E308" s="347">
        <v>6540</v>
      </c>
      <c r="F308" s="347">
        <v>910</v>
      </c>
      <c r="G308" s="355">
        <v>3370</v>
      </c>
    </row>
    <row r="309" spans="1:7" s="336" customFormat="1" ht="14.25" customHeight="1">
      <c r="A309" s="347" t="s">
        <v>288</v>
      </c>
      <c r="B309" s="347" t="s">
        <v>2520</v>
      </c>
      <c r="C309" s="347">
        <v>5060</v>
      </c>
      <c r="D309" s="347">
        <v>5020</v>
      </c>
      <c r="E309" s="347">
        <v>6370</v>
      </c>
      <c r="F309" s="347">
        <v>800</v>
      </c>
      <c r="G309" s="355">
        <v>3020</v>
      </c>
    </row>
    <row r="310" spans="1:7" s="336" customFormat="1" ht="14.25" customHeight="1">
      <c r="A310" s="347" t="s">
        <v>288</v>
      </c>
      <c r="B310" s="347" t="s">
        <v>2525</v>
      </c>
      <c r="C310" s="347">
        <v>5150</v>
      </c>
      <c r="D310" s="347">
        <v>5110</v>
      </c>
      <c r="E310" s="347">
        <v>6500</v>
      </c>
      <c r="F310" s="347">
        <v>880</v>
      </c>
      <c r="G310" s="355">
        <v>3080</v>
      </c>
    </row>
    <row r="311" spans="1:7" s="336" customFormat="1" ht="14.25" customHeight="1">
      <c r="A311" s="347" t="s">
        <v>288</v>
      </c>
      <c r="B311" s="347" t="s">
        <v>2530</v>
      </c>
      <c r="C311" s="347">
        <v>4750</v>
      </c>
      <c r="D311" s="347">
        <v>4710</v>
      </c>
      <c r="E311" s="347">
        <v>5510</v>
      </c>
      <c r="F311" s="347">
        <v>880</v>
      </c>
      <c r="G311" s="355">
        <v>2840</v>
      </c>
    </row>
    <row r="312" spans="1:7" s="336" customFormat="1" ht="14.25" customHeight="1">
      <c r="A312" s="347" t="s">
        <v>288</v>
      </c>
      <c r="B312" s="347" t="s">
        <v>2535</v>
      </c>
      <c r="C312" s="347">
        <v>4690</v>
      </c>
      <c r="D312" s="347">
        <v>4640</v>
      </c>
      <c r="E312" s="347">
        <v>5420</v>
      </c>
      <c r="F312" s="347">
        <v>800</v>
      </c>
      <c r="G312" s="355">
        <v>2800</v>
      </c>
    </row>
    <row r="313" spans="1:7" s="336" customFormat="1" ht="14.25" customHeight="1">
      <c r="A313" s="347" t="s">
        <v>288</v>
      </c>
      <c r="B313" s="347" t="s">
        <v>2540</v>
      </c>
      <c r="C313" s="347">
        <v>4810</v>
      </c>
      <c r="D313" s="347">
        <v>4760</v>
      </c>
      <c r="E313" s="347">
        <v>5550</v>
      </c>
      <c r="F313" s="347">
        <v>920</v>
      </c>
      <c r="G313" s="355">
        <v>2870</v>
      </c>
    </row>
    <row r="314" spans="1:7" s="336" customFormat="1" ht="14.25" customHeight="1">
      <c r="A314" s="347" t="s">
        <v>288</v>
      </c>
      <c r="B314" s="347" t="s">
        <v>2545</v>
      </c>
      <c r="C314" s="347"/>
      <c r="D314" s="347"/>
      <c r="E314" s="347"/>
      <c r="F314" s="347">
        <v>1020</v>
      </c>
      <c r="G314" s="355"/>
    </row>
    <row r="315" spans="1:7" s="336" customFormat="1" ht="14.25" customHeight="1">
      <c r="A315" s="347" t="s">
        <v>288</v>
      </c>
      <c r="B315" s="347" t="s">
        <v>2550</v>
      </c>
      <c r="C315" s="347"/>
      <c r="D315" s="347"/>
      <c r="E315" s="347"/>
      <c r="F315" s="347">
        <v>1050</v>
      </c>
      <c r="G315" s="355"/>
    </row>
    <row r="316" spans="1:7" s="336" customFormat="1" ht="14.25" customHeight="1">
      <c r="A316" s="347" t="s">
        <v>288</v>
      </c>
      <c r="B316" s="347" t="s">
        <v>2555</v>
      </c>
      <c r="C316" s="347"/>
      <c r="D316" s="347"/>
      <c r="E316" s="347"/>
      <c r="F316" s="347">
        <v>900</v>
      </c>
      <c r="G316" s="355"/>
    </row>
    <row r="317" spans="1:7" s="336" customFormat="1" ht="14.25" customHeight="1">
      <c r="A317" s="347" t="s">
        <v>288</v>
      </c>
      <c r="B317" s="347" t="s">
        <v>2559</v>
      </c>
      <c r="C317" s="347"/>
      <c r="D317" s="347"/>
      <c r="E317" s="347"/>
      <c r="F317" s="347">
        <v>920</v>
      </c>
      <c r="G317" s="355"/>
    </row>
    <row r="318" spans="1:7" s="336" customFormat="1" ht="14.25" customHeight="1">
      <c r="A318" s="347" t="s">
        <v>288</v>
      </c>
      <c r="B318" s="347" t="s">
        <v>2563</v>
      </c>
      <c r="C318" s="347"/>
      <c r="D318" s="347"/>
      <c r="E318" s="347"/>
      <c r="F318" s="347">
        <v>1080</v>
      </c>
      <c r="G318" s="355"/>
    </row>
    <row r="319" spans="1:7" s="336" customFormat="1" ht="14.25" customHeight="1">
      <c r="A319" s="347" t="s">
        <v>288</v>
      </c>
      <c r="B319" s="347" t="s">
        <v>2567</v>
      </c>
      <c r="C319" s="347"/>
      <c r="D319" s="347"/>
      <c r="E319" s="347"/>
      <c r="F319" s="347">
        <v>1020</v>
      </c>
      <c r="G319" s="355"/>
    </row>
    <row r="320" spans="1:7" s="336" customFormat="1" ht="14.25" customHeight="1">
      <c r="A320" s="347" t="s">
        <v>288</v>
      </c>
      <c r="B320" s="347" t="s">
        <v>2570</v>
      </c>
      <c r="C320" s="347"/>
      <c r="D320" s="347"/>
      <c r="E320" s="347"/>
      <c r="F320" s="347">
        <v>1050</v>
      </c>
      <c r="G320" s="355"/>
    </row>
    <row r="321" spans="1:7" s="336" customFormat="1" ht="14.25" customHeight="1">
      <c r="A321" s="347" t="s">
        <v>288</v>
      </c>
      <c r="B321" s="347" t="s">
        <v>2572</v>
      </c>
      <c r="C321" s="347"/>
      <c r="D321" s="347"/>
      <c r="E321" s="347"/>
      <c r="F321" s="347">
        <v>960</v>
      </c>
      <c r="G321" s="355"/>
    </row>
    <row r="322" spans="1:7" s="336" customFormat="1" ht="14.25" customHeight="1">
      <c r="A322" s="347" t="s">
        <v>288</v>
      </c>
      <c r="B322" s="347" t="s">
        <v>2574</v>
      </c>
      <c r="C322" s="347"/>
      <c r="D322" s="347"/>
      <c r="E322" s="347"/>
      <c r="F322" s="347">
        <v>960</v>
      </c>
      <c r="G322" s="355"/>
    </row>
    <row r="323" spans="1:7" s="336" customFormat="1" ht="14.25" customHeight="1">
      <c r="A323" s="347" t="s">
        <v>288</v>
      </c>
      <c r="B323" s="347" t="s">
        <v>2576</v>
      </c>
      <c r="C323" s="347"/>
      <c r="D323" s="347"/>
      <c r="E323" s="347"/>
      <c r="F323" s="347">
        <v>880</v>
      </c>
      <c r="G323" s="355"/>
    </row>
    <row r="324" spans="1:7" s="336" customFormat="1" ht="14.25" customHeight="1">
      <c r="A324" s="347" t="s">
        <v>288</v>
      </c>
      <c r="B324" s="347" t="s">
        <v>2578</v>
      </c>
      <c r="C324" s="347"/>
      <c r="D324" s="347"/>
      <c r="E324" s="347"/>
      <c r="F324" s="347">
        <v>930</v>
      </c>
      <c r="G324" s="355"/>
    </row>
    <row r="325" spans="1:7" s="336" customFormat="1" ht="14.25" customHeight="1">
      <c r="A325" s="347" t="s">
        <v>288</v>
      </c>
      <c r="B325" s="348" t="s">
        <v>2580</v>
      </c>
      <c r="C325" s="347"/>
      <c r="D325" s="347"/>
      <c r="E325" s="347"/>
      <c r="F325" s="347">
        <v>900</v>
      </c>
      <c r="G325" s="355"/>
    </row>
    <row r="326" spans="1:7" s="336" customFormat="1" ht="14.25" customHeight="1">
      <c r="A326" s="356" t="s">
        <v>288</v>
      </c>
      <c r="B326" s="351" t="s">
        <v>2582</v>
      </c>
      <c r="C326" s="351"/>
      <c r="D326" s="351"/>
      <c r="E326" s="351"/>
      <c r="F326" s="351">
        <v>790</v>
      </c>
      <c r="G326" s="357"/>
    </row>
    <row r="327" spans="1:7" s="336" customFormat="1" ht="14.25" customHeight="1">
      <c r="A327" s="345" t="s">
        <v>292</v>
      </c>
      <c r="B327" s="346" t="s">
        <v>2222</v>
      </c>
      <c r="C327" s="347">
        <v>3750</v>
      </c>
      <c r="D327" s="347">
        <v>3710</v>
      </c>
      <c r="E327" s="347">
        <v>4080</v>
      </c>
      <c r="F327" s="347">
        <v>860</v>
      </c>
      <c r="G327" s="347">
        <v>2210</v>
      </c>
    </row>
    <row r="328" spans="1:7" s="336" customFormat="1" ht="14.25" customHeight="1">
      <c r="A328" s="347" t="s">
        <v>292</v>
      </c>
      <c r="B328" s="347" t="s">
        <v>2235</v>
      </c>
      <c r="C328" s="347">
        <v>3330</v>
      </c>
      <c r="D328" s="347">
        <v>3290</v>
      </c>
      <c r="E328" s="347">
        <v>3610</v>
      </c>
      <c r="F328" s="347">
        <v>850</v>
      </c>
      <c r="G328" s="347">
        <v>1960</v>
      </c>
    </row>
    <row r="329" spans="1:7" s="336" customFormat="1" ht="14.25" customHeight="1">
      <c r="A329" s="347" t="s">
        <v>292</v>
      </c>
      <c r="B329" s="347" t="s">
        <v>2249</v>
      </c>
      <c r="C329" s="347">
        <v>2730</v>
      </c>
      <c r="D329" s="347">
        <v>2690</v>
      </c>
      <c r="E329" s="347">
        <v>3100</v>
      </c>
      <c r="F329" s="347">
        <v>660</v>
      </c>
      <c r="G329" s="347">
        <v>1610</v>
      </c>
    </row>
    <row r="330" spans="1:7" s="336" customFormat="1" ht="14.25" customHeight="1">
      <c r="A330" s="347" t="s">
        <v>292</v>
      </c>
      <c r="B330" s="347" t="s">
        <v>2261</v>
      </c>
      <c r="C330" s="347">
        <v>3270</v>
      </c>
      <c r="D330" s="347">
        <v>3240</v>
      </c>
      <c r="E330" s="347">
        <v>3560</v>
      </c>
      <c r="F330" s="347">
        <v>680</v>
      </c>
      <c r="G330" s="347">
        <v>1940</v>
      </c>
    </row>
    <row r="331" spans="1:7" s="336" customFormat="1" ht="14.25" customHeight="1">
      <c r="A331" s="347" t="s">
        <v>292</v>
      </c>
      <c r="B331" s="347" t="s">
        <v>2273</v>
      </c>
      <c r="C331" s="347">
        <v>3770</v>
      </c>
      <c r="D331" s="347">
        <v>3740</v>
      </c>
      <c r="E331" s="347">
        <v>4110</v>
      </c>
      <c r="F331" s="347">
        <v>730</v>
      </c>
      <c r="G331" s="347">
        <v>2230</v>
      </c>
    </row>
    <row r="332" spans="1:7" s="336" customFormat="1" ht="14.25" customHeight="1">
      <c r="A332" s="347" t="s">
        <v>292</v>
      </c>
      <c r="B332" s="347" t="s">
        <v>2284</v>
      </c>
      <c r="C332" s="347">
        <v>3520</v>
      </c>
      <c r="D332" s="347">
        <v>3480</v>
      </c>
      <c r="E332" s="347">
        <v>3830</v>
      </c>
      <c r="F332" s="347">
        <v>720</v>
      </c>
      <c r="G332" s="347">
        <v>2090</v>
      </c>
    </row>
    <row r="333" spans="1:7" s="336" customFormat="1" ht="14.25" customHeight="1">
      <c r="A333" s="347" t="s">
        <v>292</v>
      </c>
      <c r="B333" s="347" t="s">
        <v>2295</v>
      </c>
      <c r="C333" s="347">
        <v>3840</v>
      </c>
      <c r="D333" s="347">
        <v>3800</v>
      </c>
      <c r="E333" s="347">
        <v>4200</v>
      </c>
      <c r="F333" s="347">
        <v>760</v>
      </c>
      <c r="G333" s="347">
        <v>2270</v>
      </c>
    </row>
    <row r="334" spans="1:7" s="336" customFormat="1" ht="14.25" customHeight="1">
      <c r="A334" s="347" t="s">
        <v>292</v>
      </c>
      <c r="B334" s="347" t="s">
        <v>2306</v>
      </c>
      <c r="C334" s="347">
        <v>3960</v>
      </c>
      <c r="D334" s="347">
        <v>3910</v>
      </c>
      <c r="E334" s="347">
        <v>4340</v>
      </c>
      <c r="F334" s="347">
        <v>780</v>
      </c>
      <c r="G334" s="347">
        <v>2340</v>
      </c>
    </row>
    <row r="335" spans="1:7" s="336" customFormat="1" ht="14.25" customHeight="1">
      <c r="A335" s="347" t="s">
        <v>292</v>
      </c>
      <c r="B335" s="347" t="s">
        <v>2316</v>
      </c>
      <c r="C335" s="347">
        <v>3710</v>
      </c>
      <c r="D335" s="347">
        <v>3670</v>
      </c>
      <c r="E335" s="347">
        <v>4030</v>
      </c>
      <c r="F335" s="347">
        <v>750</v>
      </c>
      <c r="G335" s="347">
        <v>2200</v>
      </c>
    </row>
    <row r="336" spans="1:7" s="336" customFormat="1" ht="14.25" customHeight="1">
      <c r="A336" s="347" t="s">
        <v>292</v>
      </c>
      <c r="B336" s="347" t="s">
        <v>2326</v>
      </c>
      <c r="C336" s="347">
        <v>3570</v>
      </c>
      <c r="D336" s="347">
        <v>3530</v>
      </c>
      <c r="E336" s="347">
        <v>3880</v>
      </c>
      <c r="F336" s="347">
        <v>770</v>
      </c>
      <c r="G336" s="347">
        <v>2110</v>
      </c>
    </row>
    <row r="337" spans="1:10" s="336" customFormat="1" ht="14.25" customHeight="1">
      <c r="A337" s="347" t="s">
        <v>292</v>
      </c>
      <c r="B337" s="347" t="s">
        <v>2336</v>
      </c>
      <c r="C337" s="347">
        <v>3780</v>
      </c>
      <c r="D337" s="347">
        <v>3750</v>
      </c>
      <c r="E337" s="347">
        <v>4130</v>
      </c>
      <c r="F337" s="347">
        <v>750</v>
      </c>
      <c r="G337" s="347">
        <v>2240</v>
      </c>
    </row>
    <row r="338" spans="1:10" s="336" customFormat="1" ht="14.25" customHeight="1">
      <c r="A338" s="347" t="s">
        <v>292</v>
      </c>
      <c r="B338" s="347" t="s">
        <v>2346</v>
      </c>
      <c r="C338" s="347">
        <v>3600</v>
      </c>
      <c r="D338" s="347">
        <v>3570</v>
      </c>
      <c r="E338" s="347">
        <v>3920</v>
      </c>
      <c r="F338" s="347">
        <v>790</v>
      </c>
      <c r="G338" s="347">
        <v>2140</v>
      </c>
    </row>
    <row r="339" spans="1:10" s="336" customFormat="1" ht="14.25" customHeight="1">
      <c r="A339" s="347" t="s">
        <v>292</v>
      </c>
      <c r="B339" s="347" t="s">
        <v>2356</v>
      </c>
      <c r="C339" s="347">
        <v>3540</v>
      </c>
      <c r="D339" s="347">
        <v>3500</v>
      </c>
      <c r="E339" s="347">
        <v>3850</v>
      </c>
      <c r="F339" s="347">
        <v>780</v>
      </c>
      <c r="G339" s="347">
        <v>2100</v>
      </c>
    </row>
    <row r="340" spans="1:10" s="336" customFormat="1" ht="14.25" customHeight="1">
      <c r="A340" s="347" t="s">
        <v>292</v>
      </c>
      <c r="B340" s="347" t="s">
        <v>2366</v>
      </c>
      <c r="C340" s="347">
        <v>3850</v>
      </c>
      <c r="D340" s="347">
        <v>3810</v>
      </c>
      <c r="E340" s="347">
        <v>4210</v>
      </c>
      <c r="F340" s="347">
        <v>750</v>
      </c>
      <c r="G340" s="347">
        <v>2280</v>
      </c>
    </row>
    <row r="341" spans="1:10" s="336" customFormat="1" ht="14.25" customHeight="1">
      <c r="A341" s="347" t="s">
        <v>292</v>
      </c>
      <c r="B341" s="347" t="s">
        <v>2376</v>
      </c>
      <c r="C341" s="347">
        <v>3780</v>
      </c>
      <c r="D341" s="347">
        <v>3750</v>
      </c>
      <c r="E341" s="347">
        <v>4140</v>
      </c>
      <c r="F341" s="347">
        <v>720</v>
      </c>
      <c r="G341" s="347">
        <v>2240</v>
      </c>
    </row>
    <row r="342" spans="1:10" s="336" customFormat="1" ht="14.25" customHeight="1">
      <c r="A342" s="347" t="s">
        <v>292</v>
      </c>
      <c r="B342" s="347" t="s">
        <v>2386</v>
      </c>
      <c r="C342" s="347">
        <v>3670</v>
      </c>
      <c r="D342" s="347">
        <v>3620</v>
      </c>
      <c r="E342" s="347">
        <v>3990</v>
      </c>
      <c r="F342" s="347">
        <v>760</v>
      </c>
      <c r="G342" s="347">
        <v>2170</v>
      </c>
    </row>
    <row r="343" spans="1:10" s="336" customFormat="1" ht="14.25" customHeight="1">
      <c r="A343" s="347" t="s">
        <v>292</v>
      </c>
      <c r="B343" s="347" t="s">
        <v>2396</v>
      </c>
      <c r="C343" s="347">
        <v>3760</v>
      </c>
      <c r="D343" s="347">
        <v>3720</v>
      </c>
      <c r="E343" s="347">
        <v>4090</v>
      </c>
      <c r="F343" s="347">
        <v>780</v>
      </c>
      <c r="G343" s="347">
        <v>2220</v>
      </c>
    </row>
    <row r="344" spans="1:10" s="336" customFormat="1" ht="14.25" customHeight="1">
      <c r="A344" s="347" t="s">
        <v>292</v>
      </c>
      <c r="B344" s="347" t="s">
        <v>2406</v>
      </c>
      <c r="C344" s="347">
        <v>3680</v>
      </c>
      <c r="D344" s="347">
        <v>3640</v>
      </c>
      <c r="E344" s="347">
        <v>4010</v>
      </c>
      <c r="F344" s="347">
        <v>750</v>
      </c>
      <c r="G344" s="347">
        <v>2180</v>
      </c>
    </row>
    <row r="345" spans="1:10">
      <c r="A345" s="347" t="s">
        <v>292</v>
      </c>
      <c r="B345" s="347" t="s">
        <v>2416</v>
      </c>
      <c r="C345" s="347">
        <v>3190</v>
      </c>
      <c r="D345" s="347">
        <v>3140</v>
      </c>
      <c r="E345" s="347">
        <v>3450</v>
      </c>
      <c r="F345" s="347">
        <v>720</v>
      </c>
      <c r="G345" s="347">
        <v>1880</v>
      </c>
      <c r="J345" s="336"/>
    </row>
    <row r="346" spans="1:10">
      <c r="A346" s="347" t="s">
        <v>292</v>
      </c>
      <c r="B346" s="347" t="s">
        <v>2426</v>
      </c>
      <c r="C346" s="347">
        <v>3630</v>
      </c>
      <c r="D346" s="347">
        <v>3590</v>
      </c>
      <c r="E346" s="347">
        <v>3940</v>
      </c>
      <c r="F346" s="347">
        <v>730</v>
      </c>
      <c r="G346" s="347">
        <v>2150</v>
      </c>
      <c r="J346" s="336"/>
    </row>
    <row r="347" spans="1:10">
      <c r="A347" s="347" t="s">
        <v>292</v>
      </c>
      <c r="B347" s="347" t="s">
        <v>2435</v>
      </c>
      <c r="C347" s="347">
        <v>3860</v>
      </c>
      <c r="D347" s="347">
        <v>3820</v>
      </c>
      <c r="E347" s="347">
        <v>4220</v>
      </c>
      <c r="F347" s="347">
        <v>750</v>
      </c>
      <c r="G347" s="347">
        <v>2280</v>
      </c>
      <c r="J347" s="336"/>
    </row>
    <row r="348" spans="1:10">
      <c r="A348" s="347" t="s">
        <v>292</v>
      </c>
      <c r="B348" s="347" t="s">
        <v>2443</v>
      </c>
      <c r="C348" s="347">
        <v>4000</v>
      </c>
      <c r="D348" s="347">
        <v>3950</v>
      </c>
      <c r="E348" s="347">
        <v>4430</v>
      </c>
      <c r="F348" s="347">
        <v>760</v>
      </c>
      <c r="G348" s="347">
        <v>2360</v>
      </c>
      <c r="J348" s="336"/>
    </row>
    <row r="349" spans="1:10">
      <c r="A349" s="347" t="s">
        <v>292</v>
      </c>
      <c r="B349" s="347" t="s">
        <v>2451</v>
      </c>
      <c r="C349" s="347">
        <v>3820</v>
      </c>
      <c r="D349" s="347">
        <v>3780</v>
      </c>
      <c r="E349" s="347">
        <v>4170</v>
      </c>
      <c r="F349" s="347">
        <v>710</v>
      </c>
      <c r="G349" s="347">
        <v>2260</v>
      </c>
      <c r="J349" s="336"/>
    </row>
    <row r="350" spans="1:10">
      <c r="A350" s="347" t="s">
        <v>292</v>
      </c>
      <c r="B350" s="347" t="s">
        <v>2459</v>
      </c>
      <c r="C350" s="347">
        <v>3760</v>
      </c>
      <c r="D350" s="347">
        <v>3730</v>
      </c>
      <c r="E350" s="347">
        <v>4100</v>
      </c>
      <c r="F350" s="347">
        <v>800</v>
      </c>
      <c r="G350" s="347">
        <v>2230</v>
      </c>
      <c r="J350" s="336"/>
    </row>
    <row r="351" spans="1:10">
      <c r="A351" s="347" t="s">
        <v>292</v>
      </c>
      <c r="B351" s="347" t="s">
        <v>2467</v>
      </c>
      <c r="C351" s="347">
        <v>3610</v>
      </c>
      <c r="D351" s="347">
        <v>3580</v>
      </c>
      <c r="E351" s="347">
        <v>3930</v>
      </c>
      <c r="F351" s="347">
        <v>700</v>
      </c>
      <c r="G351" s="347">
        <v>2140</v>
      </c>
      <c r="J351" s="336"/>
    </row>
    <row r="352" spans="1:10">
      <c r="A352" s="347" t="s">
        <v>292</v>
      </c>
      <c r="B352" s="347" t="s">
        <v>2474</v>
      </c>
      <c r="C352" s="347">
        <v>3670</v>
      </c>
      <c r="D352" s="347">
        <v>3630</v>
      </c>
      <c r="E352" s="347">
        <v>4000</v>
      </c>
      <c r="F352" s="347">
        <v>750</v>
      </c>
      <c r="G352" s="347">
        <v>2180</v>
      </c>
    </row>
    <row r="353" spans="1:7" s="337" customFormat="1">
      <c r="A353" s="347" t="s">
        <v>292</v>
      </c>
      <c r="B353" s="347" t="s">
        <v>2481</v>
      </c>
      <c r="C353" s="347">
        <v>3190</v>
      </c>
      <c r="D353" s="347">
        <v>3150</v>
      </c>
      <c r="E353" s="347">
        <v>3640</v>
      </c>
      <c r="F353" s="347">
        <v>630</v>
      </c>
      <c r="G353" s="347">
        <v>1890</v>
      </c>
    </row>
    <row r="354" spans="1:7" s="337" customFormat="1">
      <c r="A354" s="347" t="s">
        <v>292</v>
      </c>
      <c r="B354" s="347" t="s">
        <v>2488</v>
      </c>
      <c r="C354" s="347">
        <v>3450</v>
      </c>
      <c r="D354" s="347">
        <v>3420</v>
      </c>
      <c r="E354" s="347">
        <v>3960</v>
      </c>
      <c r="F354" s="347">
        <v>660</v>
      </c>
      <c r="G354" s="347">
        <v>2050</v>
      </c>
    </row>
    <row r="355" spans="1:7" s="337" customFormat="1">
      <c r="A355" s="347" t="s">
        <v>292</v>
      </c>
      <c r="B355" s="347" t="s">
        <v>2495</v>
      </c>
      <c r="C355" s="347">
        <v>3650</v>
      </c>
      <c r="D355" s="347">
        <v>3610</v>
      </c>
      <c r="E355" s="347">
        <v>4200</v>
      </c>
      <c r="F355" s="347">
        <v>640</v>
      </c>
      <c r="G355" s="347">
        <v>2160</v>
      </c>
    </row>
    <row r="356" spans="1:7" s="337" customFormat="1">
      <c r="A356" s="347" t="s">
        <v>292</v>
      </c>
      <c r="B356" s="347" t="s">
        <v>2502</v>
      </c>
      <c r="C356" s="347">
        <v>3260</v>
      </c>
      <c r="D356" s="347">
        <v>3230</v>
      </c>
      <c r="E356" s="347">
        <v>3740</v>
      </c>
      <c r="F356" s="347">
        <v>600</v>
      </c>
      <c r="G356" s="347">
        <v>1930</v>
      </c>
    </row>
    <row r="357" spans="1:7" s="337" customFormat="1">
      <c r="A357" s="349" t="s">
        <v>292</v>
      </c>
      <c r="B357" s="353" t="s">
        <v>2509</v>
      </c>
      <c r="C357" s="353">
        <v>3690</v>
      </c>
      <c r="D357" s="353">
        <v>3650</v>
      </c>
      <c r="E357" s="353">
        <v>4020</v>
      </c>
      <c r="F357" s="353">
        <v>700</v>
      </c>
      <c r="G357" s="353">
        <v>2190</v>
      </c>
    </row>
    <row r="358" spans="1:7" s="337" customFormat="1">
      <c r="A358" s="345" t="s">
        <v>296</v>
      </c>
      <c r="B358" s="346" t="s">
        <v>2223</v>
      </c>
      <c r="C358" s="346">
        <v>2080</v>
      </c>
      <c r="D358" s="346">
        <v>2040</v>
      </c>
      <c r="E358" s="346">
        <v>2010</v>
      </c>
      <c r="F358" s="346">
        <v>530</v>
      </c>
      <c r="G358" s="354">
        <v>1230</v>
      </c>
    </row>
    <row r="359" spans="1:7" s="337" customFormat="1">
      <c r="A359" s="347" t="s">
        <v>296</v>
      </c>
      <c r="B359" s="347" t="s">
        <v>2236</v>
      </c>
      <c r="C359" s="347">
        <v>1850</v>
      </c>
      <c r="D359" s="347">
        <v>1820</v>
      </c>
      <c r="E359" s="347">
        <v>1780</v>
      </c>
      <c r="F359" s="347">
        <v>520</v>
      </c>
      <c r="G359" s="355">
        <v>1100</v>
      </c>
    </row>
    <row r="360" spans="1:7" s="337" customFormat="1">
      <c r="A360" s="347" t="s">
        <v>296</v>
      </c>
      <c r="B360" s="347" t="s">
        <v>2250</v>
      </c>
      <c r="C360" s="347">
        <v>2020</v>
      </c>
      <c r="D360" s="347">
        <v>1990</v>
      </c>
      <c r="E360" s="347">
        <v>1950</v>
      </c>
      <c r="F360" s="347">
        <v>500</v>
      </c>
      <c r="G360" s="355">
        <v>1200</v>
      </c>
    </row>
    <row r="361" spans="1:7" s="337" customFormat="1">
      <c r="A361" s="347" t="s">
        <v>296</v>
      </c>
      <c r="B361" s="347" t="s">
        <v>2262</v>
      </c>
      <c r="C361" s="347">
        <v>2260</v>
      </c>
      <c r="D361" s="347">
        <v>2220</v>
      </c>
      <c r="E361" s="347">
        <v>2180</v>
      </c>
      <c r="F361" s="347">
        <v>580</v>
      </c>
      <c r="G361" s="355">
        <v>1340</v>
      </c>
    </row>
    <row r="362" spans="1:7" s="337" customFormat="1">
      <c r="A362" s="347" t="s">
        <v>296</v>
      </c>
      <c r="B362" s="347" t="s">
        <v>2274</v>
      </c>
      <c r="C362" s="347">
        <v>2650</v>
      </c>
      <c r="D362" s="347">
        <v>2610</v>
      </c>
      <c r="E362" s="347">
        <v>2570</v>
      </c>
      <c r="F362" s="347">
        <v>630</v>
      </c>
      <c r="G362" s="355">
        <v>1570</v>
      </c>
    </row>
    <row r="363" spans="1:7" s="337" customFormat="1">
      <c r="A363" s="347" t="s">
        <v>296</v>
      </c>
      <c r="B363" s="347" t="s">
        <v>2285</v>
      </c>
      <c r="C363" s="347">
        <v>2390</v>
      </c>
      <c r="D363" s="347">
        <v>2360</v>
      </c>
      <c r="E363" s="347">
        <v>2320</v>
      </c>
      <c r="F363" s="347">
        <v>600</v>
      </c>
      <c r="G363" s="355">
        <v>1420</v>
      </c>
    </row>
    <row r="364" spans="1:7" s="337" customFormat="1">
      <c r="A364" s="347" t="s">
        <v>296</v>
      </c>
      <c r="B364" s="347" t="s">
        <v>2296</v>
      </c>
      <c r="C364" s="347">
        <v>2050</v>
      </c>
      <c r="D364" s="347">
        <v>2030</v>
      </c>
      <c r="E364" s="347">
        <v>1990</v>
      </c>
      <c r="F364" s="347">
        <v>550</v>
      </c>
      <c r="G364" s="355">
        <v>1220</v>
      </c>
    </row>
    <row r="365" spans="1:7" s="337" customFormat="1">
      <c r="A365" s="347" t="s">
        <v>296</v>
      </c>
      <c r="B365" s="347" t="s">
        <v>2307</v>
      </c>
      <c r="C365" s="347">
        <v>2140</v>
      </c>
      <c r="D365" s="347">
        <v>2100</v>
      </c>
      <c r="E365" s="347">
        <v>2060</v>
      </c>
      <c r="F365" s="347">
        <v>540</v>
      </c>
      <c r="G365" s="355">
        <v>1270</v>
      </c>
    </row>
    <row r="366" spans="1:7" s="337" customFormat="1">
      <c r="A366" s="347" t="s">
        <v>296</v>
      </c>
      <c r="B366" s="347" t="s">
        <v>2317</v>
      </c>
      <c r="C366" s="347">
        <v>2410</v>
      </c>
      <c r="D366" s="347">
        <v>2370</v>
      </c>
      <c r="E366" s="347">
        <v>2330</v>
      </c>
      <c r="F366" s="347">
        <v>570</v>
      </c>
      <c r="G366" s="355">
        <v>1440</v>
      </c>
    </row>
    <row r="367" spans="1:7" s="337" customFormat="1">
      <c r="A367" s="347" t="s">
        <v>296</v>
      </c>
      <c r="B367" s="347" t="s">
        <v>2327</v>
      </c>
      <c r="C367" s="347">
        <v>2300</v>
      </c>
      <c r="D367" s="347">
        <v>2260</v>
      </c>
      <c r="E367" s="347">
        <v>2220</v>
      </c>
      <c r="F367" s="347">
        <v>560</v>
      </c>
      <c r="G367" s="355">
        <v>1370</v>
      </c>
    </row>
    <row r="368" spans="1:7" s="337" customFormat="1">
      <c r="A368" s="347" t="s">
        <v>296</v>
      </c>
      <c r="B368" s="347" t="s">
        <v>2337</v>
      </c>
      <c r="C368" s="347">
        <v>2430</v>
      </c>
      <c r="D368" s="347">
        <v>2390</v>
      </c>
      <c r="E368" s="347">
        <v>2350</v>
      </c>
      <c r="F368" s="347">
        <v>570</v>
      </c>
      <c r="G368" s="355">
        <v>1450</v>
      </c>
    </row>
    <row r="369" spans="1:7" s="337" customFormat="1">
      <c r="A369" s="347" t="s">
        <v>296</v>
      </c>
      <c r="B369" s="347" t="s">
        <v>2347</v>
      </c>
      <c r="C369" s="347">
        <v>2320</v>
      </c>
      <c r="D369" s="347">
        <v>2290</v>
      </c>
      <c r="E369" s="347">
        <v>2250</v>
      </c>
      <c r="F369" s="347">
        <v>550</v>
      </c>
      <c r="G369" s="355">
        <v>1380</v>
      </c>
    </row>
    <row r="370" spans="1:7" s="337" customFormat="1">
      <c r="A370" s="347" t="s">
        <v>296</v>
      </c>
      <c r="B370" s="347" t="s">
        <v>2357</v>
      </c>
      <c r="C370" s="347">
        <v>2190</v>
      </c>
      <c r="D370" s="347">
        <v>2170</v>
      </c>
      <c r="E370" s="347">
        <v>2130</v>
      </c>
      <c r="F370" s="347">
        <v>530</v>
      </c>
      <c r="G370" s="355">
        <v>1310</v>
      </c>
    </row>
    <row r="371" spans="1:7" s="337" customFormat="1">
      <c r="A371" s="347" t="s">
        <v>296</v>
      </c>
      <c r="B371" s="347" t="s">
        <v>2367</v>
      </c>
      <c r="C371" s="347">
        <v>2460</v>
      </c>
      <c r="D371" s="347">
        <v>2420</v>
      </c>
      <c r="E371" s="347">
        <v>2370</v>
      </c>
      <c r="F371" s="347">
        <v>560</v>
      </c>
      <c r="G371" s="355">
        <v>1470</v>
      </c>
    </row>
    <row r="372" spans="1:7" s="337" customFormat="1">
      <c r="A372" s="347" t="s">
        <v>296</v>
      </c>
      <c r="B372" s="347" t="s">
        <v>2377</v>
      </c>
      <c r="C372" s="347">
        <v>2250</v>
      </c>
      <c r="D372" s="347">
        <v>2210</v>
      </c>
      <c r="E372" s="347">
        <v>2180</v>
      </c>
      <c r="F372" s="347">
        <v>550</v>
      </c>
      <c r="G372" s="355">
        <v>1340</v>
      </c>
    </row>
    <row r="373" spans="1:7" s="337" customFormat="1">
      <c r="A373" s="347" t="s">
        <v>296</v>
      </c>
      <c r="B373" s="347" t="s">
        <v>2387</v>
      </c>
      <c r="C373" s="347">
        <v>2210</v>
      </c>
      <c r="D373" s="347">
        <v>2190</v>
      </c>
      <c r="E373" s="347">
        <v>2150</v>
      </c>
      <c r="F373" s="347">
        <v>530</v>
      </c>
      <c r="G373" s="355">
        <v>1320</v>
      </c>
    </row>
    <row r="374" spans="1:7" s="337" customFormat="1">
      <c r="A374" s="347" t="s">
        <v>296</v>
      </c>
      <c r="B374" s="347" t="s">
        <v>2397</v>
      </c>
      <c r="C374" s="347">
        <v>2320</v>
      </c>
      <c r="D374" s="347">
        <v>2280</v>
      </c>
      <c r="E374" s="347">
        <v>2230</v>
      </c>
      <c r="F374" s="347">
        <v>580</v>
      </c>
      <c r="G374" s="355">
        <v>1380</v>
      </c>
    </row>
    <row r="375" spans="1:7" s="337" customFormat="1">
      <c r="A375" s="347" t="s">
        <v>296</v>
      </c>
      <c r="B375" s="347" t="s">
        <v>2407</v>
      </c>
      <c r="C375" s="347">
        <v>2090</v>
      </c>
      <c r="D375" s="347">
        <v>2050</v>
      </c>
      <c r="E375" s="347">
        <v>2020</v>
      </c>
      <c r="F375" s="347">
        <v>520</v>
      </c>
      <c r="G375" s="355">
        <v>1240</v>
      </c>
    </row>
    <row r="376" spans="1:7" s="337" customFormat="1">
      <c r="A376" s="347" t="s">
        <v>296</v>
      </c>
      <c r="B376" s="347" t="s">
        <v>2417</v>
      </c>
      <c r="C376" s="347">
        <v>2010</v>
      </c>
      <c r="D376" s="347">
        <v>1980</v>
      </c>
      <c r="E376" s="347">
        <v>1940</v>
      </c>
      <c r="F376" s="347">
        <v>540</v>
      </c>
      <c r="G376" s="355">
        <v>1190</v>
      </c>
    </row>
    <row r="377" spans="1:7" s="337" customFormat="1">
      <c r="A377" s="349" t="s">
        <v>296</v>
      </c>
      <c r="B377" s="353" t="s">
        <v>2427</v>
      </c>
      <c r="C377" s="353">
        <v>1930</v>
      </c>
      <c r="D377" s="353">
        <v>1890</v>
      </c>
      <c r="E377" s="353">
        <v>1860</v>
      </c>
      <c r="F377" s="353">
        <v>530</v>
      </c>
      <c r="G377" s="362">
        <v>1150</v>
      </c>
    </row>
    <row r="378" spans="1:7" s="337" customFormat="1">
      <c r="A378" s="363" t="s">
        <v>300</v>
      </c>
      <c r="B378" s="346" t="s">
        <v>2224</v>
      </c>
      <c r="C378" s="346">
        <v>1520</v>
      </c>
      <c r="D378" s="346">
        <v>1490</v>
      </c>
      <c r="E378" s="346">
        <v>1460</v>
      </c>
      <c r="F378" s="346">
        <v>460</v>
      </c>
      <c r="G378" s="354">
        <v>940</v>
      </c>
    </row>
    <row r="379" spans="1:7" s="337" customFormat="1">
      <c r="A379" s="364" t="s">
        <v>300</v>
      </c>
      <c r="B379" s="347" t="s">
        <v>2237</v>
      </c>
      <c r="C379" s="347">
        <v>1500</v>
      </c>
      <c r="D379" s="347">
        <v>1470</v>
      </c>
      <c r="E379" s="347">
        <v>1430</v>
      </c>
      <c r="F379" s="347">
        <v>460</v>
      </c>
      <c r="G379" s="355">
        <v>920</v>
      </c>
    </row>
    <row r="380" spans="1:7" s="337" customFormat="1">
      <c r="A380" s="364" t="s">
        <v>300</v>
      </c>
      <c r="B380" s="347" t="s">
        <v>2251</v>
      </c>
      <c r="C380" s="347">
        <v>1620</v>
      </c>
      <c r="D380" s="347">
        <v>1590</v>
      </c>
      <c r="E380" s="347">
        <v>1560</v>
      </c>
      <c r="F380" s="347">
        <v>480</v>
      </c>
      <c r="G380" s="355">
        <v>1000</v>
      </c>
    </row>
    <row r="381" spans="1:7" s="337" customFormat="1">
      <c r="A381" s="364" t="s">
        <v>300</v>
      </c>
      <c r="B381" s="347" t="s">
        <v>2263</v>
      </c>
      <c r="C381" s="347">
        <v>1460</v>
      </c>
      <c r="D381" s="347">
        <v>1430</v>
      </c>
      <c r="E381" s="347">
        <v>1390</v>
      </c>
      <c r="F381" s="347">
        <v>450</v>
      </c>
      <c r="G381" s="355">
        <v>900</v>
      </c>
    </row>
    <row r="382" spans="1:7" s="337" customFormat="1">
      <c r="A382" s="364" t="s">
        <v>300</v>
      </c>
      <c r="B382" s="347" t="s">
        <v>2275</v>
      </c>
      <c r="C382" s="347">
        <v>1310</v>
      </c>
      <c r="D382" s="347">
        <v>1280</v>
      </c>
      <c r="E382" s="347">
        <v>1250</v>
      </c>
      <c r="F382" s="347">
        <v>440</v>
      </c>
      <c r="G382" s="355">
        <v>800</v>
      </c>
    </row>
    <row r="383" spans="1:7" s="337" customFormat="1">
      <c r="A383" s="364" t="s">
        <v>300</v>
      </c>
      <c r="B383" s="347" t="s">
        <v>2286</v>
      </c>
      <c r="C383" s="347">
        <v>1260</v>
      </c>
      <c r="D383" s="347">
        <v>1230</v>
      </c>
      <c r="E383" s="347">
        <v>1200</v>
      </c>
      <c r="F383" s="347">
        <v>420</v>
      </c>
      <c r="G383" s="355">
        <v>770</v>
      </c>
    </row>
    <row r="384" spans="1:7" s="337" customFormat="1">
      <c r="A384" s="365" t="s">
        <v>300</v>
      </c>
      <c r="B384" s="351" t="s">
        <v>2297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0" t="s">
        <v>2596</v>
      </c>
      <c r="B1" s="3760"/>
    </row>
    <row r="2" spans="1:7">
      <c r="A2" s="301"/>
      <c r="B2" s="301"/>
    </row>
    <row r="3" spans="1:7">
      <c r="A3" s="301"/>
      <c r="B3" s="301"/>
      <c r="C3" s="302" t="s">
        <v>1886</v>
      </c>
      <c r="D3" s="302" t="s">
        <v>549</v>
      </c>
      <c r="E3" s="302" t="s">
        <v>412</v>
      </c>
      <c r="F3" s="302" t="s">
        <v>408</v>
      </c>
      <c r="G3" s="302" t="s">
        <v>280</v>
      </c>
    </row>
    <row r="4" spans="1:7">
      <c r="A4" s="303" t="s">
        <v>2225</v>
      </c>
      <c r="B4" s="304" t="s">
        <v>2238</v>
      </c>
      <c r="C4" s="302"/>
      <c r="D4" s="302"/>
      <c r="E4" s="302"/>
      <c r="F4" s="302"/>
      <c r="G4" s="302"/>
    </row>
    <row r="5" spans="1:7">
      <c r="A5" s="305" t="s">
        <v>230</v>
      </c>
      <c r="B5" s="306" t="s">
        <v>2213</v>
      </c>
      <c r="C5" s="307">
        <v>9.8000000000000004E-2</v>
      </c>
      <c r="D5" s="307">
        <v>8.6999999999999994E-2</v>
      </c>
      <c r="E5" s="307">
        <v>8.6999999999999994E-2</v>
      </c>
      <c r="F5" s="307">
        <v>9.8000000000000004E-2</v>
      </c>
      <c r="G5" s="308">
        <v>9.5000000000000001E-2</v>
      </c>
    </row>
    <row r="6" spans="1:7">
      <c r="A6" s="309" t="s">
        <v>230</v>
      </c>
      <c r="B6" s="310" t="s">
        <v>2226</v>
      </c>
      <c r="C6" s="311">
        <v>9.8000000000000004E-2</v>
      </c>
      <c r="D6" s="311">
        <v>9.8000000000000004E-2</v>
      </c>
      <c r="E6" s="311">
        <v>9.8000000000000004E-2</v>
      </c>
      <c r="F6" s="311">
        <v>0.1</v>
      </c>
      <c r="G6" s="312">
        <v>9.9000000000000005E-2</v>
      </c>
    </row>
    <row r="7" spans="1:7">
      <c r="A7" s="309" t="s">
        <v>230</v>
      </c>
      <c r="B7" s="310" t="s">
        <v>2240</v>
      </c>
      <c r="C7" s="311">
        <v>9.7000000000000003E-2</v>
      </c>
      <c r="D7" s="311">
        <v>9.7000000000000003E-2</v>
      </c>
      <c r="E7" s="311">
        <v>9.6000000000000002E-2</v>
      </c>
      <c r="F7" s="311">
        <v>0.1</v>
      </c>
      <c r="G7" s="312">
        <v>9.8000000000000004E-2</v>
      </c>
    </row>
    <row r="8" spans="1:7">
      <c r="A8" s="309" t="s">
        <v>230</v>
      </c>
      <c r="B8" s="310" t="s">
        <v>2252</v>
      </c>
      <c r="C8" s="311">
        <v>8.1000000000000003E-2</v>
      </c>
      <c r="D8" s="311">
        <v>8.2000000000000003E-2</v>
      </c>
      <c r="E8" s="311">
        <v>7.0000000000000007E-2</v>
      </c>
      <c r="F8" s="311">
        <v>9.6000000000000002E-2</v>
      </c>
      <c r="G8" s="312">
        <v>8.8999999999999996E-2</v>
      </c>
    </row>
    <row r="9" spans="1:7">
      <c r="A9" s="313" t="s">
        <v>230</v>
      </c>
      <c r="B9" s="314" t="s">
        <v>2264</v>
      </c>
      <c r="C9" s="315">
        <v>0.1</v>
      </c>
      <c r="D9" s="315">
        <v>0.1</v>
      </c>
      <c r="E9" s="315">
        <v>0.1</v>
      </c>
      <c r="F9" s="316"/>
      <c r="G9" s="317">
        <v>0.1</v>
      </c>
    </row>
    <row r="10" spans="1:7">
      <c r="A10" s="305" t="s">
        <v>241</v>
      </c>
      <c r="B10" s="306" t="s">
        <v>2214</v>
      </c>
      <c r="C10" s="307">
        <v>6.7000000000000004E-2</v>
      </c>
      <c r="D10" s="307">
        <v>7.9000000000000001E-2</v>
      </c>
      <c r="E10" s="307">
        <v>7.9000000000000001E-2</v>
      </c>
      <c r="F10" s="307">
        <v>0.1</v>
      </c>
      <c r="G10" s="308">
        <v>9.0999999999999998E-2</v>
      </c>
    </row>
    <row r="11" spans="1:7">
      <c r="A11" s="309" t="s">
        <v>241</v>
      </c>
      <c r="B11" s="310" t="s">
        <v>2227</v>
      </c>
      <c r="C11" s="311">
        <v>0.05</v>
      </c>
      <c r="D11" s="311">
        <v>5.2999999999999999E-2</v>
      </c>
      <c r="E11" s="311">
        <v>6.3E-2</v>
      </c>
      <c r="F11" s="311">
        <v>0.1</v>
      </c>
      <c r="G11" s="312">
        <v>7.1999999999999995E-2</v>
      </c>
    </row>
    <row r="12" spans="1:7">
      <c r="A12" s="309" t="s">
        <v>241</v>
      </c>
      <c r="B12" s="310" t="s">
        <v>2241</v>
      </c>
      <c r="C12" s="311">
        <v>5.2999999999999999E-2</v>
      </c>
      <c r="D12" s="311">
        <v>0.09</v>
      </c>
      <c r="E12" s="311">
        <v>7.1999999999999995E-2</v>
      </c>
      <c r="F12" s="311">
        <v>0.1</v>
      </c>
      <c r="G12" s="312">
        <v>9.7000000000000003E-2</v>
      </c>
    </row>
    <row r="13" spans="1:7">
      <c r="A13" s="309" t="s">
        <v>241</v>
      </c>
      <c r="B13" s="310" t="s">
        <v>2253</v>
      </c>
      <c r="C13" s="311">
        <v>9.7000000000000003E-2</v>
      </c>
      <c r="D13" s="311">
        <v>9.1999999999999998E-2</v>
      </c>
      <c r="E13" s="311">
        <v>9.5000000000000001E-2</v>
      </c>
      <c r="F13" s="311">
        <v>0.1</v>
      </c>
      <c r="G13" s="312">
        <v>9.7000000000000003E-2</v>
      </c>
    </row>
    <row r="14" spans="1:7">
      <c r="A14" s="309" t="s">
        <v>241</v>
      </c>
      <c r="B14" s="310" t="s">
        <v>2265</v>
      </c>
      <c r="C14" s="311">
        <v>9.7000000000000003E-2</v>
      </c>
      <c r="D14" s="311">
        <v>9.7000000000000003E-2</v>
      </c>
      <c r="E14" s="311">
        <v>9.7000000000000003E-2</v>
      </c>
      <c r="F14" s="311">
        <v>0.1</v>
      </c>
      <c r="G14" s="312">
        <v>9.8000000000000004E-2</v>
      </c>
    </row>
    <row r="15" spans="1:7">
      <c r="A15" s="309" t="s">
        <v>241</v>
      </c>
      <c r="B15" s="310" t="s">
        <v>2276</v>
      </c>
      <c r="C15" s="311">
        <v>9.8000000000000004E-2</v>
      </c>
      <c r="D15" s="311">
        <v>9.0999999999999998E-2</v>
      </c>
      <c r="E15" s="311">
        <v>0.06</v>
      </c>
      <c r="F15" s="311">
        <v>0.1</v>
      </c>
      <c r="G15" s="312">
        <v>9.7000000000000003E-2</v>
      </c>
    </row>
    <row r="16" spans="1:7">
      <c r="A16" s="309" t="s">
        <v>241</v>
      </c>
      <c r="B16" s="310" t="s">
        <v>2287</v>
      </c>
      <c r="C16" s="311">
        <v>9.8000000000000004E-2</v>
      </c>
      <c r="D16" s="311">
        <v>9.7000000000000003E-2</v>
      </c>
      <c r="E16" s="311">
        <v>9.5000000000000001E-2</v>
      </c>
      <c r="F16" s="311">
        <v>0.1</v>
      </c>
      <c r="G16" s="312">
        <v>9.9000000000000005E-2</v>
      </c>
    </row>
    <row r="17" spans="1:7">
      <c r="A17" s="309" t="s">
        <v>241</v>
      </c>
      <c r="B17" s="310" t="s">
        <v>2298</v>
      </c>
      <c r="C17" s="311">
        <v>8.8999999999999996E-2</v>
      </c>
      <c r="D17" s="311">
        <v>9.1999999999999998E-2</v>
      </c>
      <c r="E17" s="311">
        <v>6.0999999999999999E-2</v>
      </c>
      <c r="F17" s="311">
        <v>0.1</v>
      </c>
      <c r="G17" s="312">
        <v>9.7000000000000003E-2</v>
      </c>
    </row>
    <row r="18" spans="1:7">
      <c r="A18" s="309" t="s">
        <v>241</v>
      </c>
      <c r="B18" s="310" t="s">
        <v>2308</v>
      </c>
      <c r="C18" s="311">
        <v>9.8000000000000004E-2</v>
      </c>
      <c r="D18" s="311">
        <v>9.8000000000000004E-2</v>
      </c>
      <c r="E18" s="311">
        <v>9.8000000000000004E-2</v>
      </c>
      <c r="F18" s="318"/>
      <c r="G18" s="312">
        <v>9.9000000000000005E-2</v>
      </c>
    </row>
    <row r="19" spans="1:7">
      <c r="A19" s="309" t="s">
        <v>241</v>
      </c>
      <c r="B19" s="310" t="s">
        <v>2318</v>
      </c>
      <c r="C19" s="311">
        <v>9.9000000000000005E-2</v>
      </c>
      <c r="D19" s="311">
        <v>7.3999999999999996E-2</v>
      </c>
      <c r="E19" s="311">
        <v>8.1000000000000003E-2</v>
      </c>
      <c r="F19" s="318"/>
      <c r="G19" s="312">
        <v>9.2999999999999999E-2</v>
      </c>
    </row>
    <row r="20" spans="1:7">
      <c r="A20" s="309" t="s">
        <v>241</v>
      </c>
      <c r="B20" s="310" t="s">
        <v>2328</v>
      </c>
      <c r="C20" s="311">
        <v>0.1</v>
      </c>
      <c r="D20" s="311">
        <v>8.8999999999999996E-2</v>
      </c>
      <c r="E20" s="311">
        <v>8.8999999999999996E-2</v>
      </c>
      <c r="F20" s="318"/>
      <c r="G20" s="312">
        <v>9.5000000000000001E-2</v>
      </c>
    </row>
    <row r="21" spans="1:7">
      <c r="A21" s="309" t="s">
        <v>241</v>
      </c>
      <c r="B21" s="310" t="s">
        <v>2338</v>
      </c>
      <c r="C21" s="311">
        <v>0.1</v>
      </c>
      <c r="D21" s="311">
        <v>9.0999999999999998E-2</v>
      </c>
      <c r="E21" s="311">
        <v>8.2000000000000003E-2</v>
      </c>
      <c r="F21" s="318"/>
      <c r="G21" s="312">
        <v>9.7000000000000003E-2</v>
      </c>
    </row>
    <row r="22" spans="1:7">
      <c r="A22" s="309" t="s">
        <v>241</v>
      </c>
      <c r="B22" s="310" t="s">
        <v>2348</v>
      </c>
      <c r="C22" s="311">
        <v>9.5000000000000001E-2</v>
      </c>
      <c r="D22" s="311">
        <v>9.9000000000000005E-2</v>
      </c>
      <c r="E22" s="311">
        <v>9.8000000000000004E-2</v>
      </c>
      <c r="F22" s="318"/>
      <c r="G22" s="312">
        <v>0.1</v>
      </c>
    </row>
    <row r="23" spans="1:7">
      <c r="A23" s="309" t="s">
        <v>241</v>
      </c>
      <c r="B23" s="310" t="s">
        <v>2358</v>
      </c>
      <c r="C23" s="311">
        <v>9.9000000000000005E-2</v>
      </c>
      <c r="D23" s="311">
        <v>0.1</v>
      </c>
      <c r="E23" s="311">
        <v>0.1</v>
      </c>
      <c r="F23" s="318"/>
      <c r="G23" s="312">
        <v>0.1</v>
      </c>
    </row>
    <row r="24" spans="1:7">
      <c r="A24" s="309" t="s">
        <v>241</v>
      </c>
      <c r="B24" s="310" t="s">
        <v>2368</v>
      </c>
      <c r="C24" s="311">
        <v>9.5000000000000001E-2</v>
      </c>
      <c r="D24" s="311">
        <v>0.1</v>
      </c>
      <c r="E24" s="311">
        <v>9.8000000000000004E-2</v>
      </c>
      <c r="F24" s="318"/>
      <c r="G24" s="312">
        <v>0.1</v>
      </c>
    </row>
    <row r="25" spans="1:7">
      <c r="A25" s="309" t="s">
        <v>241</v>
      </c>
      <c r="B25" s="310" t="s">
        <v>2378</v>
      </c>
      <c r="C25" s="311">
        <v>0.05</v>
      </c>
      <c r="D25" s="311">
        <v>9.6000000000000002E-2</v>
      </c>
      <c r="E25" s="311">
        <v>9.6000000000000002E-2</v>
      </c>
      <c r="F25" s="318"/>
      <c r="G25" s="312">
        <v>9.6000000000000002E-2</v>
      </c>
    </row>
    <row r="26" spans="1:7">
      <c r="A26" s="309" t="s">
        <v>241</v>
      </c>
      <c r="B26" s="310" t="s">
        <v>2388</v>
      </c>
      <c r="C26" s="311">
        <v>6.3E-2</v>
      </c>
      <c r="D26" s="311">
        <v>9.9000000000000005E-2</v>
      </c>
      <c r="E26" s="311">
        <v>9.8000000000000004E-2</v>
      </c>
      <c r="F26" s="318"/>
      <c r="G26" s="312">
        <v>0.1</v>
      </c>
    </row>
    <row r="27" spans="1:7">
      <c r="A27" s="309" t="s">
        <v>241</v>
      </c>
      <c r="B27" s="310" t="s">
        <v>2398</v>
      </c>
      <c r="C27" s="311">
        <v>5.1999999999999998E-2</v>
      </c>
      <c r="D27" s="311">
        <v>9.5000000000000001E-2</v>
      </c>
      <c r="E27" s="311">
        <v>6.4000000000000001E-2</v>
      </c>
      <c r="F27" s="318"/>
      <c r="G27" s="312">
        <v>9.7000000000000003E-2</v>
      </c>
    </row>
    <row r="28" spans="1:7">
      <c r="A28" s="309" t="s">
        <v>241</v>
      </c>
      <c r="B28" s="310" t="s">
        <v>2408</v>
      </c>
      <c r="C28" s="318"/>
      <c r="D28" s="311">
        <v>6.3E-2</v>
      </c>
      <c r="E28" s="311">
        <v>5.1999999999999998E-2</v>
      </c>
      <c r="F28" s="318"/>
      <c r="G28" s="312">
        <v>6.3E-2</v>
      </c>
    </row>
    <row r="29" spans="1:7">
      <c r="A29" s="313" t="s">
        <v>241</v>
      </c>
      <c r="B29" s="314" t="s">
        <v>2418</v>
      </c>
      <c r="C29" s="319"/>
      <c r="D29" s="315">
        <v>5.1999999999999998E-2</v>
      </c>
      <c r="E29" s="315">
        <v>7.0000000000000007E-2</v>
      </c>
      <c r="F29" s="319"/>
      <c r="G29" s="317">
        <v>7.0999999999999994E-2</v>
      </c>
    </row>
    <row r="30" spans="1:7">
      <c r="A30" s="320" t="s">
        <v>251</v>
      </c>
      <c r="B30" s="306" t="s">
        <v>2215</v>
      </c>
      <c r="C30" s="307">
        <v>6.6000000000000003E-2</v>
      </c>
      <c r="D30" s="307">
        <v>6.6000000000000003E-2</v>
      </c>
      <c r="E30" s="307">
        <v>5.7000000000000002E-2</v>
      </c>
      <c r="F30" s="307">
        <v>0.1</v>
      </c>
      <c r="G30" s="308">
        <v>6.8000000000000005E-2</v>
      </c>
    </row>
    <row r="31" spans="1:7">
      <c r="A31" s="321" t="s">
        <v>251</v>
      </c>
      <c r="B31" s="310" t="s">
        <v>2228</v>
      </c>
      <c r="C31" s="311">
        <v>5.5E-2</v>
      </c>
      <c r="D31" s="311">
        <v>8.2000000000000003E-2</v>
      </c>
      <c r="E31" s="311">
        <v>6.4000000000000001E-2</v>
      </c>
      <c r="F31" s="311">
        <v>0.1</v>
      </c>
      <c r="G31" s="312">
        <v>9.5000000000000001E-2</v>
      </c>
    </row>
    <row r="32" spans="1:7">
      <c r="A32" s="321" t="s">
        <v>251</v>
      </c>
      <c r="B32" s="310" t="s">
        <v>2242</v>
      </c>
      <c r="C32" s="311">
        <v>8.2000000000000003E-2</v>
      </c>
      <c r="D32" s="311">
        <v>8.6999999999999994E-2</v>
      </c>
      <c r="E32" s="311">
        <v>9.5000000000000001E-2</v>
      </c>
      <c r="F32" s="311">
        <v>0.1</v>
      </c>
      <c r="G32" s="312">
        <v>9.6000000000000002E-2</v>
      </c>
    </row>
    <row r="33" spans="1:7">
      <c r="A33" s="321" t="s">
        <v>251</v>
      </c>
      <c r="B33" s="310" t="s">
        <v>2254</v>
      </c>
      <c r="C33" s="311">
        <v>9.9000000000000005E-2</v>
      </c>
      <c r="D33" s="311">
        <v>9.1999999999999998E-2</v>
      </c>
      <c r="E33" s="311">
        <v>8.6999999999999994E-2</v>
      </c>
      <c r="F33" s="311">
        <v>0.1</v>
      </c>
      <c r="G33" s="312">
        <v>9.7000000000000003E-2</v>
      </c>
    </row>
    <row r="34" spans="1:7">
      <c r="A34" s="321" t="s">
        <v>251</v>
      </c>
      <c r="B34" s="310" t="s">
        <v>2266</v>
      </c>
      <c r="C34" s="311">
        <v>8.4000000000000005E-2</v>
      </c>
      <c r="D34" s="311">
        <v>9.7000000000000003E-2</v>
      </c>
      <c r="E34" s="311">
        <v>7.0999999999999994E-2</v>
      </c>
      <c r="F34" s="311">
        <v>0.1</v>
      </c>
      <c r="G34" s="312">
        <v>9.8000000000000004E-2</v>
      </c>
    </row>
    <row r="35" spans="1:7">
      <c r="A35" s="321" t="s">
        <v>251</v>
      </c>
      <c r="B35" s="310" t="s">
        <v>2277</v>
      </c>
      <c r="C35" s="311">
        <v>8.3000000000000004E-2</v>
      </c>
      <c r="D35" s="311">
        <v>9.7000000000000003E-2</v>
      </c>
      <c r="E35" s="311">
        <v>6.0999999999999999E-2</v>
      </c>
      <c r="F35" s="311">
        <v>0.1</v>
      </c>
      <c r="G35" s="312">
        <v>9.9000000000000005E-2</v>
      </c>
    </row>
    <row r="36" spans="1:7">
      <c r="A36" s="321" t="s">
        <v>251</v>
      </c>
      <c r="B36" s="310" t="s">
        <v>2288</v>
      </c>
      <c r="C36" s="311">
        <v>9.7000000000000003E-2</v>
      </c>
      <c r="D36" s="311">
        <v>9.7000000000000003E-2</v>
      </c>
      <c r="E36" s="311">
        <v>7.8E-2</v>
      </c>
      <c r="F36" s="311">
        <v>0.1</v>
      </c>
      <c r="G36" s="312">
        <v>9.9000000000000005E-2</v>
      </c>
    </row>
    <row r="37" spans="1:7">
      <c r="A37" s="321" t="s">
        <v>251</v>
      </c>
      <c r="B37" s="310" t="s">
        <v>2299</v>
      </c>
      <c r="C37" s="311">
        <v>9.7000000000000003E-2</v>
      </c>
      <c r="D37" s="311">
        <v>9.5000000000000001E-2</v>
      </c>
      <c r="E37" s="311">
        <v>7.8E-2</v>
      </c>
      <c r="F37" s="311">
        <v>0.1</v>
      </c>
      <c r="G37" s="312">
        <v>9.7000000000000003E-2</v>
      </c>
    </row>
    <row r="38" spans="1:7">
      <c r="A38" s="321" t="s">
        <v>251</v>
      </c>
      <c r="B38" s="310" t="s">
        <v>2309</v>
      </c>
      <c r="C38" s="311">
        <v>9.7000000000000003E-2</v>
      </c>
      <c r="D38" s="311">
        <v>7.6999999999999999E-2</v>
      </c>
      <c r="E38" s="311">
        <v>7.0000000000000007E-2</v>
      </c>
      <c r="F38" s="311">
        <v>0.1</v>
      </c>
      <c r="G38" s="312">
        <v>7.6999999999999999E-2</v>
      </c>
    </row>
    <row r="39" spans="1:7">
      <c r="A39" s="321" t="s">
        <v>251</v>
      </c>
      <c r="B39" s="310" t="s">
        <v>2319</v>
      </c>
      <c r="C39" s="311">
        <v>9.5000000000000001E-2</v>
      </c>
      <c r="D39" s="311">
        <v>7.6999999999999999E-2</v>
      </c>
      <c r="E39" s="311">
        <v>6.6000000000000003E-2</v>
      </c>
      <c r="F39" s="311">
        <v>0.1</v>
      </c>
      <c r="G39" s="312">
        <v>8.5999999999999993E-2</v>
      </c>
    </row>
    <row r="40" spans="1:7">
      <c r="A40" s="321" t="s">
        <v>251</v>
      </c>
      <c r="B40" s="310" t="s">
        <v>2329</v>
      </c>
      <c r="C40" s="311">
        <v>7.6999999999999999E-2</v>
      </c>
      <c r="D40" s="311">
        <v>7.8E-2</v>
      </c>
      <c r="E40" s="311">
        <v>8.2000000000000003E-2</v>
      </c>
      <c r="F40" s="322"/>
      <c r="G40" s="312">
        <v>7.8E-2</v>
      </c>
    </row>
    <row r="41" spans="1:7">
      <c r="A41" s="321" t="s">
        <v>251</v>
      </c>
      <c r="B41" s="310" t="s">
        <v>2339</v>
      </c>
      <c r="C41" s="311">
        <v>7.8E-2</v>
      </c>
      <c r="D41" s="311">
        <v>7.8E-2</v>
      </c>
      <c r="E41" s="311">
        <v>8.2000000000000003E-2</v>
      </c>
      <c r="F41" s="322"/>
      <c r="G41" s="312">
        <v>8.5999999999999993E-2</v>
      </c>
    </row>
    <row r="42" spans="1:7">
      <c r="A42" s="321" t="s">
        <v>251</v>
      </c>
      <c r="B42" s="310" t="s">
        <v>2349</v>
      </c>
      <c r="C42" s="311">
        <v>7.8E-2</v>
      </c>
      <c r="D42" s="311">
        <v>9.6000000000000002E-2</v>
      </c>
      <c r="E42" s="311">
        <v>7.1999999999999995E-2</v>
      </c>
      <c r="F42" s="322"/>
      <c r="G42" s="312">
        <v>9.8000000000000004E-2</v>
      </c>
    </row>
    <row r="43" spans="1:7">
      <c r="A43" s="321" t="s">
        <v>251</v>
      </c>
      <c r="B43" s="310" t="s">
        <v>2359</v>
      </c>
      <c r="C43" s="311">
        <v>7.8E-2</v>
      </c>
      <c r="D43" s="311">
        <v>9.9000000000000005E-2</v>
      </c>
      <c r="E43" s="311">
        <v>9.6000000000000002E-2</v>
      </c>
      <c r="F43" s="322"/>
      <c r="G43" s="312">
        <v>0.1</v>
      </c>
    </row>
    <row r="44" spans="1:7">
      <c r="A44" s="321" t="s">
        <v>251</v>
      </c>
      <c r="B44" s="310" t="s">
        <v>2369</v>
      </c>
      <c r="C44" s="311">
        <v>9.6000000000000002E-2</v>
      </c>
      <c r="D44" s="311">
        <v>0.1</v>
      </c>
      <c r="E44" s="311">
        <v>9.8000000000000004E-2</v>
      </c>
      <c r="F44" s="322"/>
      <c r="G44" s="312">
        <v>0.1</v>
      </c>
    </row>
    <row r="45" spans="1:7">
      <c r="A45" s="321" t="s">
        <v>251</v>
      </c>
      <c r="B45" s="310" t="s">
        <v>2379</v>
      </c>
      <c r="C45" s="311">
        <v>9.9000000000000005E-2</v>
      </c>
      <c r="D45" s="311">
        <v>9.8000000000000004E-2</v>
      </c>
      <c r="E45" s="311">
        <v>9.5000000000000001E-2</v>
      </c>
      <c r="F45" s="322"/>
      <c r="G45" s="312">
        <v>9.8000000000000004E-2</v>
      </c>
    </row>
    <row r="46" spans="1:7">
      <c r="A46" s="321" t="s">
        <v>251</v>
      </c>
      <c r="B46" s="310" t="s">
        <v>2389</v>
      </c>
      <c r="C46" s="311">
        <v>0.1</v>
      </c>
      <c r="D46" s="311">
        <v>9.9000000000000005E-2</v>
      </c>
      <c r="E46" s="311">
        <v>9.6000000000000002E-2</v>
      </c>
      <c r="F46" s="322"/>
      <c r="G46" s="312">
        <v>0.1</v>
      </c>
    </row>
    <row r="47" spans="1:7">
      <c r="A47" s="321" t="s">
        <v>251</v>
      </c>
      <c r="B47" s="310" t="s">
        <v>2399</v>
      </c>
      <c r="C47" s="311">
        <v>9.8000000000000004E-2</v>
      </c>
      <c r="D47" s="311">
        <v>8.6999999999999994E-2</v>
      </c>
      <c r="E47" s="311">
        <v>5.8999999999999997E-2</v>
      </c>
      <c r="F47" s="322"/>
      <c r="G47" s="312">
        <v>9.6000000000000002E-2</v>
      </c>
    </row>
    <row r="48" spans="1:7">
      <c r="A48" s="321" t="s">
        <v>251</v>
      </c>
      <c r="B48" s="310" t="s">
        <v>2409</v>
      </c>
      <c r="C48" s="311">
        <v>9.9000000000000005E-2</v>
      </c>
      <c r="D48" s="311">
        <v>9.8000000000000004E-2</v>
      </c>
      <c r="E48" s="311">
        <v>9.5000000000000001E-2</v>
      </c>
      <c r="F48" s="322"/>
      <c r="G48" s="312">
        <v>9.8000000000000004E-2</v>
      </c>
    </row>
    <row r="49" spans="1:7">
      <c r="A49" s="321" t="s">
        <v>251</v>
      </c>
      <c r="B49" s="310" t="s">
        <v>2419</v>
      </c>
      <c r="C49" s="311">
        <v>8.7999999999999995E-2</v>
      </c>
      <c r="D49" s="311">
        <v>9.9000000000000005E-2</v>
      </c>
      <c r="E49" s="311">
        <v>7.0000000000000007E-2</v>
      </c>
      <c r="F49" s="322"/>
      <c r="G49" s="312">
        <v>0.1</v>
      </c>
    </row>
    <row r="50" spans="1:7">
      <c r="A50" s="321" t="s">
        <v>251</v>
      </c>
      <c r="B50" s="310" t="s">
        <v>2428</v>
      </c>
      <c r="C50" s="311">
        <v>9.8000000000000004E-2</v>
      </c>
      <c r="D50" s="311">
        <v>7.2999999999999995E-2</v>
      </c>
      <c r="E50" s="311">
        <v>7.0999999999999994E-2</v>
      </c>
      <c r="F50" s="322"/>
      <c r="G50" s="312">
        <v>7.2999999999999995E-2</v>
      </c>
    </row>
    <row r="51" spans="1:7">
      <c r="A51" s="321" t="s">
        <v>251</v>
      </c>
      <c r="B51" s="310" t="s">
        <v>2436</v>
      </c>
      <c r="C51" s="311">
        <v>9.9000000000000005E-2</v>
      </c>
      <c r="D51" s="311">
        <v>8.5000000000000006E-2</v>
      </c>
      <c r="E51" s="311">
        <v>6.3E-2</v>
      </c>
      <c r="F51" s="322"/>
      <c r="G51" s="312">
        <v>9.6000000000000002E-2</v>
      </c>
    </row>
    <row r="52" spans="1:7">
      <c r="A52" s="321" t="s">
        <v>251</v>
      </c>
      <c r="B52" s="310" t="s">
        <v>2444</v>
      </c>
      <c r="C52" s="311">
        <v>7.3999999999999996E-2</v>
      </c>
      <c r="D52" s="311">
        <v>9.6000000000000002E-2</v>
      </c>
      <c r="E52" s="311">
        <v>0.05</v>
      </c>
      <c r="F52" s="322"/>
      <c r="G52" s="312">
        <v>9.8000000000000004E-2</v>
      </c>
    </row>
    <row r="53" spans="1:7">
      <c r="A53" s="321" t="s">
        <v>251</v>
      </c>
      <c r="B53" s="310" t="s">
        <v>2452</v>
      </c>
      <c r="C53" s="311">
        <v>8.5999999999999993E-2</v>
      </c>
      <c r="D53" s="322"/>
      <c r="E53" s="311">
        <v>9.1999999999999998E-2</v>
      </c>
      <c r="F53" s="322"/>
      <c r="G53" s="323"/>
    </row>
    <row r="54" spans="1:7">
      <c r="A54" s="324" t="s">
        <v>251</v>
      </c>
      <c r="B54" s="314" t="s">
        <v>2460</v>
      </c>
      <c r="C54" s="315">
        <v>9.6000000000000002E-2</v>
      </c>
      <c r="D54" s="316"/>
      <c r="E54" s="325"/>
      <c r="F54" s="316"/>
      <c r="G54" s="326"/>
    </row>
    <row r="55" spans="1:7">
      <c r="A55" s="320" t="s">
        <v>259</v>
      </c>
      <c r="B55" s="306" t="s">
        <v>2216</v>
      </c>
      <c r="C55" s="307">
        <v>9.6000000000000002E-2</v>
      </c>
      <c r="D55" s="307">
        <v>8.4000000000000005E-2</v>
      </c>
      <c r="E55" s="307">
        <v>9.1999999999999998E-2</v>
      </c>
      <c r="F55" s="307">
        <v>0.1</v>
      </c>
      <c r="G55" s="308">
        <v>9.5000000000000001E-2</v>
      </c>
    </row>
    <row r="56" spans="1:7">
      <c r="A56" s="321" t="s">
        <v>259</v>
      </c>
      <c r="B56" s="310" t="s">
        <v>2229</v>
      </c>
      <c r="C56" s="311">
        <v>8.4000000000000005E-2</v>
      </c>
      <c r="D56" s="311">
        <v>9.1999999999999998E-2</v>
      </c>
      <c r="E56" s="311">
        <v>9.5000000000000001E-2</v>
      </c>
      <c r="F56" s="311">
        <v>9.1999999999999998E-2</v>
      </c>
      <c r="G56" s="312">
        <v>9.6000000000000002E-2</v>
      </c>
    </row>
    <row r="57" spans="1:7">
      <c r="A57" s="321" t="s">
        <v>259</v>
      </c>
      <c r="B57" s="310" t="s">
        <v>2243</v>
      </c>
      <c r="C57" s="311">
        <v>9.9000000000000005E-2</v>
      </c>
      <c r="D57" s="311">
        <v>9.6000000000000002E-2</v>
      </c>
      <c r="E57" s="311">
        <v>9.1999999999999998E-2</v>
      </c>
      <c r="F57" s="311">
        <v>0.1</v>
      </c>
      <c r="G57" s="312">
        <v>9.8000000000000004E-2</v>
      </c>
    </row>
    <row r="58" spans="1:7">
      <c r="A58" s="321" t="s">
        <v>259</v>
      </c>
      <c r="B58" s="310" t="s">
        <v>2255</v>
      </c>
      <c r="C58" s="311">
        <v>9.8000000000000004E-2</v>
      </c>
      <c r="D58" s="311">
        <v>9.5000000000000001E-2</v>
      </c>
      <c r="E58" s="311">
        <v>5.7000000000000002E-2</v>
      </c>
      <c r="F58" s="311">
        <v>0.1</v>
      </c>
      <c r="G58" s="312">
        <v>9.6000000000000002E-2</v>
      </c>
    </row>
    <row r="59" spans="1:7">
      <c r="A59" s="321" t="s">
        <v>259</v>
      </c>
      <c r="B59" s="310" t="s">
        <v>2267</v>
      </c>
      <c r="C59" s="311">
        <v>9.5000000000000001E-2</v>
      </c>
      <c r="D59" s="311">
        <v>0.1</v>
      </c>
      <c r="E59" s="311">
        <v>7.4999999999999997E-2</v>
      </c>
      <c r="F59" s="311">
        <v>0.1</v>
      </c>
      <c r="G59" s="312">
        <v>0.1</v>
      </c>
    </row>
    <row r="60" spans="1:7">
      <c r="A60" s="321" t="s">
        <v>259</v>
      </c>
      <c r="B60" s="310" t="s">
        <v>2278</v>
      </c>
      <c r="C60" s="311">
        <v>0.1</v>
      </c>
      <c r="D60" s="311">
        <v>9.7000000000000003E-2</v>
      </c>
      <c r="E60" s="311">
        <v>0.1</v>
      </c>
      <c r="F60" s="311">
        <v>0.1</v>
      </c>
      <c r="G60" s="312">
        <v>9.7000000000000003E-2</v>
      </c>
    </row>
    <row r="61" spans="1:7">
      <c r="A61" s="321" t="s">
        <v>259</v>
      </c>
      <c r="B61" s="310" t="s">
        <v>2289</v>
      </c>
      <c r="C61" s="311">
        <v>9.7000000000000003E-2</v>
      </c>
      <c r="D61" s="311">
        <v>0.1</v>
      </c>
      <c r="E61" s="311">
        <v>9.2999999999999999E-2</v>
      </c>
      <c r="F61" s="311">
        <v>0.1</v>
      </c>
      <c r="G61" s="312">
        <v>0.1</v>
      </c>
    </row>
    <row r="62" spans="1:7">
      <c r="A62" s="321" t="s">
        <v>259</v>
      </c>
      <c r="B62" s="310" t="s">
        <v>2300</v>
      </c>
      <c r="C62" s="311">
        <v>0.1</v>
      </c>
      <c r="D62" s="311">
        <v>9.7000000000000003E-2</v>
      </c>
      <c r="E62" s="311">
        <v>8.8999999999999996E-2</v>
      </c>
      <c r="F62" s="311">
        <v>0.1</v>
      </c>
      <c r="G62" s="312">
        <v>9.8000000000000004E-2</v>
      </c>
    </row>
    <row r="63" spans="1:7">
      <c r="A63" s="321" t="s">
        <v>259</v>
      </c>
      <c r="B63" s="310" t="s">
        <v>2310</v>
      </c>
      <c r="C63" s="311">
        <v>9.7000000000000003E-2</v>
      </c>
      <c r="D63" s="311">
        <v>9.7000000000000003E-2</v>
      </c>
      <c r="E63" s="311">
        <v>9.9000000000000005E-2</v>
      </c>
      <c r="F63" s="311">
        <v>0.1</v>
      </c>
      <c r="G63" s="312">
        <v>9.7000000000000003E-2</v>
      </c>
    </row>
    <row r="64" spans="1:7">
      <c r="A64" s="321" t="s">
        <v>259</v>
      </c>
      <c r="B64" s="310" t="s">
        <v>2320</v>
      </c>
      <c r="C64" s="311">
        <v>9.7000000000000003E-2</v>
      </c>
      <c r="D64" s="311">
        <v>7.3999999999999996E-2</v>
      </c>
      <c r="E64" s="311">
        <v>7.8E-2</v>
      </c>
      <c r="F64" s="311">
        <v>0.1</v>
      </c>
      <c r="G64" s="312">
        <v>8.8999999999999996E-2</v>
      </c>
    </row>
    <row r="65" spans="1:7">
      <c r="A65" s="321" t="s">
        <v>259</v>
      </c>
      <c r="B65" s="310" t="s">
        <v>2330</v>
      </c>
      <c r="C65" s="311">
        <v>7.2999999999999995E-2</v>
      </c>
      <c r="D65" s="311">
        <v>9.8000000000000004E-2</v>
      </c>
      <c r="E65" s="311">
        <v>9.5000000000000001E-2</v>
      </c>
      <c r="F65" s="311">
        <v>0.1</v>
      </c>
      <c r="G65" s="312">
        <v>9.9000000000000005E-2</v>
      </c>
    </row>
    <row r="66" spans="1:7">
      <c r="A66" s="321" t="s">
        <v>259</v>
      </c>
      <c r="B66" s="310" t="s">
        <v>2340</v>
      </c>
      <c r="C66" s="311">
        <v>9.8000000000000004E-2</v>
      </c>
      <c r="D66" s="311">
        <v>9.5000000000000001E-2</v>
      </c>
      <c r="E66" s="311">
        <v>0.05</v>
      </c>
      <c r="F66" s="311">
        <v>0.1</v>
      </c>
      <c r="G66" s="312">
        <v>9.7000000000000003E-2</v>
      </c>
    </row>
    <row r="67" spans="1:7">
      <c r="A67" s="321" t="s">
        <v>259</v>
      </c>
      <c r="B67" s="310" t="s">
        <v>2350</v>
      </c>
      <c r="C67" s="311">
        <v>9.5000000000000001E-2</v>
      </c>
      <c r="D67" s="311">
        <v>9.7000000000000003E-2</v>
      </c>
      <c r="E67" s="311">
        <v>9.7000000000000003E-2</v>
      </c>
      <c r="F67" s="311">
        <v>0.1</v>
      </c>
      <c r="G67" s="312">
        <v>9.9000000000000005E-2</v>
      </c>
    </row>
    <row r="68" spans="1:7">
      <c r="A68" s="321" t="s">
        <v>259</v>
      </c>
      <c r="B68" s="310" t="s">
        <v>2360</v>
      </c>
      <c r="C68" s="311">
        <v>9.7000000000000003E-2</v>
      </c>
      <c r="D68" s="311">
        <v>6.8000000000000005E-2</v>
      </c>
      <c r="E68" s="311">
        <v>6.6000000000000003E-2</v>
      </c>
      <c r="F68" s="311">
        <v>0.1</v>
      </c>
      <c r="G68" s="312">
        <v>8.4000000000000005E-2</v>
      </c>
    </row>
    <row r="69" spans="1:7">
      <c r="A69" s="321" t="s">
        <v>259</v>
      </c>
      <c r="B69" s="310" t="s">
        <v>2370</v>
      </c>
      <c r="C69" s="311">
        <v>6.8000000000000005E-2</v>
      </c>
      <c r="D69" s="311">
        <v>9.8000000000000004E-2</v>
      </c>
      <c r="E69" s="311">
        <v>9.5000000000000001E-2</v>
      </c>
      <c r="F69" s="311">
        <v>0.1</v>
      </c>
      <c r="G69" s="312">
        <v>0.1</v>
      </c>
    </row>
    <row r="70" spans="1:7">
      <c r="A70" s="321" t="s">
        <v>259</v>
      </c>
      <c r="B70" s="310" t="s">
        <v>2380</v>
      </c>
      <c r="C70" s="311">
        <v>9.8000000000000004E-2</v>
      </c>
      <c r="D70" s="311">
        <v>8.8999999999999996E-2</v>
      </c>
      <c r="E70" s="311">
        <v>5.8999999999999997E-2</v>
      </c>
      <c r="F70" s="311">
        <v>0.1</v>
      </c>
      <c r="G70" s="312">
        <v>9.6000000000000002E-2</v>
      </c>
    </row>
    <row r="71" spans="1:7">
      <c r="A71" s="321" t="s">
        <v>259</v>
      </c>
      <c r="B71" s="310" t="s">
        <v>2390</v>
      </c>
      <c r="C71" s="311">
        <v>8.8999999999999996E-2</v>
      </c>
      <c r="D71" s="311">
        <v>9.9000000000000005E-2</v>
      </c>
      <c r="E71" s="311">
        <v>9.6000000000000002E-2</v>
      </c>
      <c r="F71" s="311">
        <v>0.1</v>
      </c>
      <c r="G71" s="312">
        <v>0.1</v>
      </c>
    </row>
    <row r="72" spans="1:7">
      <c r="A72" s="321" t="s">
        <v>259</v>
      </c>
      <c r="B72" s="310" t="s">
        <v>2400</v>
      </c>
      <c r="C72" s="311">
        <v>9.9000000000000005E-2</v>
      </c>
      <c r="D72" s="311">
        <v>0.1</v>
      </c>
      <c r="E72" s="311">
        <v>7.0000000000000007E-2</v>
      </c>
      <c r="F72" s="322"/>
      <c r="G72" s="312">
        <v>0.1</v>
      </c>
    </row>
    <row r="73" spans="1:7">
      <c r="A73" s="321" t="s">
        <v>259</v>
      </c>
      <c r="B73" s="310" t="s">
        <v>2410</v>
      </c>
      <c r="C73" s="311">
        <v>0.1</v>
      </c>
      <c r="D73" s="311">
        <v>0.1</v>
      </c>
      <c r="E73" s="311">
        <v>9.6000000000000002E-2</v>
      </c>
      <c r="F73" s="322"/>
      <c r="G73" s="312">
        <v>0.1</v>
      </c>
    </row>
    <row r="74" spans="1:7">
      <c r="A74" s="321" t="s">
        <v>259</v>
      </c>
      <c r="B74" s="310" t="s">
        <v>2420</v>
      </c>
      <c r="C74" s="311">
        <v>0.1</v>
      </c>
      <c r="D74" s="311">
        <v>0.1</v>
      </c>
      <c r="E74" s="311">
        <v>9.8000000000000004E-2</v>
      </c>
      <c r="F74" s="322"/>
      <c r="G74" s="312">
        <v>0.1</v>
      </c>
    </row>
    <row r="75" spans="1:7">
      <c r="A75" s="321" t="s">
        <v>259</v>
      </c>
      <c r="B75" s="310" t="s">
        <v>2429</v>
      </c>
      <c r="C75" s="311">
        <v>0.1</v>
      </c>
      <c r="D75" s="311">
        <v>9.9000000000000005E-2</v>
      </c>
      <c r="E75" s="311">
        <v>9.8000000000000004E-2</v>
      </c>
      <c r="F75" s="322"/>
      <c r="G75" s="312">
        <v>0.1</v>
      </c>
    </row>
    <row r="76" spans="1:7">
      <c r="A76" s="321" t="s">
        <v>259</v>
      </c>
      <c r="B76" s="310" t="s">
        <v>2437</v>
      </c>
      <c r="C76" s="311">
        <v>9.9000000000000005E-2</v>
      </c>
      <c r="D76" s="311">
        <v>0.1</v>
      </c>
      <c r="E76" s="311">
        <v>9.7000000000000003E-2</v>
      </c>
      <c r="F76" s="322"/>
      <c r="G76" s="312">
        <v>0.1</v>
      </c>
    </row>
    <row r="77" spans="1:7">
      <c r="A77" s="321" t="s">
        <v>259</v>
      </c>
      <c r="B77" s="310" t="s">
        <v>2445</v>
      </c>
      <c r="C77" s="311">
        <v>0.1</v>
      </c>
      <c r="D77" s="311">
        <v>0.1</v>
      </c>
      <c r="E77" s="311">
        <v>9.6000000000000002E-2</v>
      </c>
      <c r="F77" s="322"/>
      <c r="G77" s="312">
        <v>0.1</v>
      </c>
    </row>
    <row r="78" spans="1:7">
      <c r="A78" s="321" t="s">
        <v>259</v>
      </c>
      <c r="B78" s="310" t="s">
        <v>2453</v>
      </c>
      <c r="C78" s="311">
        <v>0.1</v>
      </c>
      <c r="D78" s="311">
        <v>8.5000000000000006E-2</v>
      </c>
      <c r="E78" s="311">
        <v>9.6000000000000002E-2</v>
      </c>
      <c r="F78" s="322"/>
      <c r="G78" s="312">
        <v>9.6000000000000002E-2</v>
      </c>
    </row>
    <row r="79" spans="1:7">
      <c r="A79" s="321" t="s">
        <v>259</v>
      </c>
      <c r="B79" s="310" t="s">
        <v>2461</v>
      </c>
      <c r="C79" s="311">
        <v>0.05</v>
      </c>
      <c r="D79" s="311">
        <v>9.6000000000000002E-2</v>
      </c>
      <c r="E79" s="311">
        <v>9.5000000000000001E-2</v>
      </c>
      <c r="F79" s="322"/>
      <c r="G79" s="312">
        <v>9.8000000000000004E-2</v>
      </c>
    </row>
    <row r="80" spans="1:7">
      <c r="A80" s="321" t="s">
        <v>259</v>
      </c>
      <c r="B80" s="310" t="s">
        <v>2468</v>
      </c>
      <c r="C80" s="311">
        <v>8.5999999999999993E-2</v>
      </c>
      <c r="D80" s="327"/>
      <c r="E80" s="311">
        <v>0.1</v>
      </c>
      <c r="F80" s="322"/>
      <c r="G80" s="323"/>
    </row>
    <row r="81" spans="1:7">
      <c r="A81" s="321" t="s">
        <v>259</v>
      </c>
      <c r="B81" s="310" t="s">
        <v>2475</v>
      </c>
      <c r="C81" s="311">
        <v>9.6000000000000002E-2</v>
      </c>
      <c r="D81" s="322"/>
      <c r="E81" s="311">
        <v>9.8000000000000004E-2</v>
      </c>
      <c r="F81" s="322"/>
      <c r="G81" s="323"/>
    </row>
    <row r="82" spans="1:7">
      <c r="A82" s="321" t="s">
        <v>259</v>
      </c>
      <c r="B82" s="310" t="s">
        <v>2482</v>
      </c>
      <c r="C82" s="327"/>
      <c r="D82" s="322"/>
      <c r="E82" s="311">
        <v>7.6999999999999999E-2</v>
      </c>
      <c r="F82" s="322"/>
      <c r="G82" s="323"/>
    </row>
    <row r="83" spans="1:7">
      <c r="A83" s="321" t="s">
        <v>259</v>
      </c>
      <c r="B83" s="310" t="s">
        <v>2489</v>
      </c>
      <c r="C83" s="322"/>
      <c r="D83" s="322"/>
      <c r="E83" s="322"/>
      <c r="F83" s="311">
        <v>0.1</v>
      </c>
      <c r="G83" s="328"/>
    </row>
    <row r="84" spans="1:7">
      <c r="A84" s="321" t="s">
        <v>259</v>
      </c>
      <c r="B84" s="310" t="s">
        <v>2496</v>
      </c>
      <c r="C84" s="322"/>
      <c r="D84" s="322"/>
      <c r="E84" s="322"/>
      <c r="F84" s="311">
        <v>0.1</v>
      </c>
      <c r="G84" s="328"/>
    </row>
    <row r="85" spans="1:7">
      <c r="A85" s="321" t="s">
        <v>259</v>
      </c>
      <c r="B85" s="310" t="s">
        <v>2503</v>
      </c>
      <c r="C85" s="322"/>
      <c r="D85" s="322"/>
      <c r="E85" s="322"/>
      <c r="F85" s="311">
        <v>0.1</v>
      </c>
      <c r="G85" s="328"/>
    </row>
    <row r="86" spans="1:7">
      <c r="A86" s="324" t="s">
        <v>259</v>
      </c>
      <c r="B86" s="314" t="s">
        <v>2510</v>
      </c>
      <c r="C86" s="315">
        <v>9.8000000000000004E-2</v>
      </c>
      <c r="D86" s="315">
        <v>9.8000000000000004E-2</v>
      </c>
      <c r="E86" s="315">
        <v>9.6000000000000002E-2</v>
      </c>
      <c r="F86" s="325"/>
      <c r="G86" s="317">
        <v>0.1</v>
      </c>
    </row>
    <row r="87" spans="1:7">
      <c r="A87" s="320" t="s">
        <v>267</v>
      </c>
      <c r="B87" s="306" t="s">
        <v>2217</v>
      </c>
      <c r="C87" s="307">
        <v>0.1</v>
      </c>
      <c r="D87" s="307">
        <v>0.1</v>
      </c>
      <c r="E87" s="307">
        <v>9.8000000000000004E-2</v>
      </c>
      <c r="F87" s="307">
        <v>0.1</v>
      </c>
      <c r="G87" s="308">
        <v>0.1</v>
      </c>
    </row>
    <row r="88" spans="1:7">
      <c r="A88" s="321" t="s">
        <v>267</v>
      </c>
      <c r="B88" s="310" t="s">
        <v>2230</v>
      </c>
      <c r="C88" s="311">
        <v>9.0999999999999998E-2</v>
      </c>
      <c r="D88" s="311">
        <v>9.1999999999999998E-2</v>
      </c>
      <c r="E88" s="311">
        <v>0.1</v>
      </c>
      <c r="F88" s="311">
        <v>0.1</v>
      </c>
      <c r="G88" s="312">
        <v>9.6000000000000002E-2</v>
      </c>
    </row>
    <row r="89" spans="1:7">
      <c r="A89" s="321" t="s">
        <v>267</v>
      </c>
      <c r="B89" s="310" t="s">
        <v>2244</v>
      </c>
      <c r="C89" s="311">
        <v>0.1</v>
      </c>
      <c r="D89" s="311">
        <v>0.1</v>
      </c>
      <c r="E89" s="311">
        <v>6.7000000000000004E-2</v>
      </c>
      <c r="F89" s="311">
        <v>9.2999999999999999E-2</v>
      </c>
      <c r="G89" s="312">
        <v>0.1</v>
      </c>
    </row>
    <row r="90" spans="1:7">
      <c r="A90" s="321" t="s">
        <v>267</v>
      </c>
      <c r="B90" s="310" t="s">
        <v>2256</v>
      </c>
      <c r="C90" s="311">
        <v>9.6000000000000002E-2</v>
      </c>
      <c r="D90" s="311">
        <v>9.6000000000000002E-2</v>
      </c>
      <c r="E90" s="311">
        <v>0.1</v>
      </c>
      <c r="F90" s="311">
        <v>0.1</v>
      </c>
      <c r="G90" s="312">
        <v>9.8000000000000004E-2</v>
      </c>
    </row>
    <row r="91" spans="1:7">
      <c r="A91" s="321" t="s">
        <v>267</v>
      </c>
      <c r="B91" s="310" t="s">
        <v>2268</v>
      </c>
      <c r="C91" s="311">
        <v>7.6999999999999999E-2</v>
      </c>
      <c r="D91" s="311">
        <v>7.6999999999999999E-2</v>
      </c>
      <c r="E91" s="311">
        <v>9.6000000000000002E-2</v>
      </c>
      <c r="F91" s="311">
        <v>0.1</v>
      </c>
      <c r="G91" s="312">
        <v>7.6999999999999999E-2</v>
      </c>
    </row>
    <row r="92" spans="1:7">
      <c r="A92" s="321" t="s">
        <v>267</v>
      </c>
      <c r="B92" s="310" t="s">
        <v>2279</v>
      </c>
      <c r="C92" s="311">
        <v>0.1</v>
      </c>
      <c r="D92" s="311">
        <v>0.1</v>
      </c>
      <c r="E92" s="311">
        <v>9.1999999999999998E-2</v>
      </c>
      <c r="F92" s="311">
        <v>0.1</v>
      </c>
      <c r="G92" s="312">
        <v>0.1</v>
      </c>
    </row>
    <row r="93" spans="1:7">
      <c r="A93" s="321" t="s">
        <v>267</v>
      </c>
      <c r="B93" s="310" t="s">
        <v>2290</v>
      </c>
      <c r="C93" s="311">
        <v>9.8000000000000004E-2</v>
      </c>
      <c r="D93" s="311">
        <v>9.8000000000000004E-2</v>
      </c>
      <c r="E93" s="311">
        <v>9.6000000000000002E-2</v>
      </c>
      <c r="F93" s="311">
        <v>0.1</v>
      </c>
      <c r="G93" s="312">
        <v>9.9000000000000005E-2</v>
      </c>
    </row>
    <row r="94" spans="1:7">
      <c r="A94" s="321" t="s">
        <v>267</v>
      </c>
      <c r="B94" s="310" t="s">
        <v>2301</v>
      </c>
      <c r="C94" s="311">
        <v>8.7999999999999995E-2</v>
      </c>
      <c r="D94" s="311">
        <v>8.7999999999999995E-2</v>
      </c>
      <c r="E94" s="311">
        <v>9.6000000000000002E-2</v>
      </c>
      <c r="F94" s="311">
        <v>0.1</v>
      </c>
      <c r="G94" s="312">
        <v>8.7999999999999995E-2</v>
      </c>
    </row>
    <row r="95" spans="1:7">
      <c r="A95" s="321" t="s">
        <v>267</v>
      </c>
      <c r="B95" s="310" t="s">
        <v>2311</v>
      </c>
      <c r="C95" s="311">
        <v>9.6000000000000002E-2</v>
      </c>
      <c r="D95" s="311">
        <v>9.6000000000000002E-2</v>
      </c>
      <c r="E95" s="311">
        <v>0.1</v>
      </c>
      <c r="F95" s="311">
        <v>0.1</v>
      </c>
      <c r="G95" s="312">
        <v>9.8000000000000004E-2</v>
      </c>
    </row>
    <row r="96" spans="1:7">
      <c r="A96" s="321" t="s">
        <v>267</v>
      </c>
      <c r="B96" s="310" t="s">
        <v>2321</v>
      </c>
      <c r="C96" s="311">
        <v>9.7000000000000003E-2</v>
      </c>
      <c r="D96" s="311">
        <v>9.7000000000000003E-2</v>
      </c>
      <c r="E96" s="311">
        <v>0.1</v>
      </c>
      <c r="F96" s="311">
        <v>0.1</v>
      </c>
      <c r="G96" s="312">
        <v>9.8000000000000004E-2</v>
      </c>
    </row>
    <row r="97" spans="1:7">
      <c r="A97" s="321" t="s">
        <v>267</v>
      </c>
      <c r="B97" s="310" t="s">
        <v>2331</v>
      </c>
      <c r="C97" s="311">
        <v>9.6000000000000002E-2</v>
      </c>
      <c r="D97" s="311">
        <v>9.6000000000000002E-2</v>
      </c>
      <c r="E97" s="311">
        <v>9.9000000000000005E-2</v>
      </c>
      <c r="F97" s="311">
        <v>0.1</v>
      </c>
      <c r="G97" s="312">
        <v>9.8000000000000004E-2</v>
      </c>
    </row>
    <row r="98" spans="1:7">
      <c r="A98" s="321" t="s">
        <v>267</v>
      </c>
      <c r="B98" s="310" t="s">
        <v>2341</v>
      </c>
      <c r="C98" s="311">
        <v>9.8000000000000004E-2</v>
      </c>
      <c r="D98" s="311">
        <v>9.8000000000000004E-2</v>
      </c>
      <c r="E98" s="311">
        <v>0.1</v>
      </c>
      <c r="F98" s="311">
        <v>0.1</v>
      </c>
      <c r="G98" s="312">
        <v>9.9000000000000005E-2</v>
      </c>
    </row>
    <row r="99" spans="1:7">
      <c r="A99" s="321" t="s">
        <v>267</v>
      </c>
      <c r="B99" s="310" t="s">
        <v>2351</v>
      </c>
      <c r="C99" s="311">
        <v>9.6000000000000002E-2</v>
      </c>
      <c r="D99" s="311">
        <v>9.6000000000000002E-2</v>
      </c>
      <c r="E99" s="311">
        <v>0.1</v>
      </c>
      <c r="F99" s="311">
        <v>0.1</v>
      </c>
      <c r="G99" s="312">
        <v>9.7000000000000003E-2</v>
      </c>
    </row>
    <row r="100" spans="1:7">
      <c r="A100" s="321" t="s">
        <v>267</v>
      </c>
      <c r="B100" s="310" t="s">
        <v>2361</v>
      </c>
      <c r="C100" s="311">
        <v>0.1</v>
      </c>
      <c r="D100" s="311">
        <v>0.1</v>
      </c>
      <c r="E100" s="311">
        <v>9.7000000000000003E-2</v>
      </c>
      <c r="F100" s="311">
        <v>9.8000000000000004E-2</v>
      </c>
      <c r="G100" s="312">
        <v>0.1</v>
      </c>
    </row>
    <row r="101" spans="1:7">
      <c r="A101" s="321" t="s">
        <v>267</v>
      </c>
      <c r="B101" s="310" t="s">
        <v>2371</v>
      </c>
      <c r="C101" s="311">
        <v>0.1</v>
      </c>
      <c r="D101" s="311">
        <v>0.1</v>
      </c>
      <c r="E101" s="311">
        <v>9.5000000000000001E-2</v>
      </c>
      <c r="F101" s="311">
        <v>0.1</v>
      </c>
      <c r="G101" s="312">
        <v>0.1</v>
      </c>
    </row>
    <row r="102" spans="1:7">
      <c r="A102" s="321" t="s">
        <v>267</v>
      </c>
      <c r="B102" s="310" t="s">
        <v>2381</v>
      </c>
      <c r="C102" s="311">
        <v>0.1</v>
      </c>
      <c r="D102" s="311">
        <v>0.1</v>
      </c>
      <c r="E102" s="311">
        <v>9.9000000000000005E-2</v>
      </c>
      <c r="F102" s="311">
        <v>9.7000000000000003E-2</v>
      </c>
      <c r="G102" s="312">
        <v>0.1</v>
      </c>
    </row>
    <row r="103" spans="1:7">
      <c r="A103" s="321" t="s">
        <v>267</v>
      </c>
      <c r="B103" s="310" t="s">
        <v>2391</v>
      </c>
      <c r="C103" s="311">
        <v>0.1</v>
      </c>
      <c r="D103" s="311">
        <v>0.1</v>
      </c>
      <c r="E103" s="311">
        <v>9.8000000000000004E-2</v>
      </c>
      <c r="F103" s="311">
        <v>0.1</v>
      </c>
      <c r="G103" s="312">
        <v>0.1</v>
      </c>
    </row>
    <row r="104" spans="1:7">
      <c r="A104" s="321" t="s">
        <v>267</v>
      </c>
      <c r="B104" s="310" t="s">
        <v>2401</v>
      </c>
      <c r="C104" s="311">
        <v>0.1</v>
      </c>
      <c r="D104" s="311">
        <v>0.1</v>
      </c>
      <c r="E104" s="311">
        <v>9.8000000000000004E-2</v>
      </c>
      <c r="F104" s="311">
        <v>0.1</v>
      </c>
      <c r="G104" s="312">
        <v>0.1</v>
      </c>
    </row>
    <row r="105" spans="1:7">
      <c r="A105" s="321" t="s">
        <v>267</v>
      </c>
      <c r="B105" s="310" t="s">
        <v>2411</v>
      </c>
      <c r="C105" s="311">
        <v>9.8000000000000004E-2</v>
      </c>
      <c r="D105" s="311">
        <v>9.8000000000000004E-2</v>
      </c>
      <c r="E105" s="311">
        <v>9.8000000000000004E-2</v>
      </c>
      <c r="F105" s="311">
        <v>0.1</v>
      </c>
      <c r="G105" s="312">
        <v>9.9000000000000005E-2</v>
      </c>
    </row>
    <row r="106" spans="1:7">
      <c r="A106" s="321" t="s">
        <v>267</v>
      </c>
      <c r="B106" s="310" t="s">
        <v>2421</v>
      </c>
      <c r="C106" s="311">
        <v>9.7000000000000003E-2</v>
      </c>
      <c r="D106" s="311">
        <v>9.7000000000000003E-2</v>
      </c>
      <c r="E106" s="311">
        <v>9.7000000000000003E-2</v>
      </c>
      <c r="F106" s="311">
        <v>0.1</v>
      </c>
      <c r="G106" s="312">
        <v>9.9000000000000005E-2</v>
      </c>
    </row>
    <row r="107" spans="1:7">
      <c r="A107" s="321" t="s">
        <v>267</v>
      </c>
      <c r="B107" s="310" t="s">
        <v>2430</v>
      </c>
      <c r="C107" s="311">
        <v>0.1</v>
      </c>
      <c r="D107" s="311">
        <v>0.1</v>
      </c>
      <c r="E107" s="311">
        <v>8.5999999999999993E-2</v>
      </c>
      <c r="F107" s="311">
        <v>0.09</v>
      </c>
      <c r="G107" s="312">
        <v>0.1</v>
      </c>
    </row>
    <row r="108" spans="1:7">
      <c r="A108" s="321" t="s">
        <v>267</v>
      </c>
      <c r="B108" s="310" t="s">
        <v>2438</v>
      </c>
      <c r="C108" s="311">
        <v>0.1</v>
      </c>
      <c r="D108" s="311">
        <v>0.1</v>
      </c>
      <c r="E108" s="311">
        <v>9.6000000000000002E-2</v>
      </c>
      <c r="F108" s="322"/>
      <c r="G108" s="312">
        <v>0.1</v>
      </c>
    </row>
    <row r="109" spans="1:7">
      <c r="A109" s="321" t="s">
        <v>267</v>
      </c>
      <c r="B109" s="310" t="s">
        <v>2446</v>
      </c>
      <c r="C109" s="311">
        <v>0.1</v>
      </c>
      <c r="D109" s="311">
        <v>0.1</v>
      </c>
      <c r="E109" s="311">
        <v>0.1</v>
      </c>
      <c r="F109" s="322"/>
      <c r="G109" s="312">
        <v>0.1</v>
      </c>
    </row>
    <row r="110" spans="1:7">
      <c r="A110" s="321" t="s">
        <v>267</v>
      </c>
      <c r="B110" s="310" t="s">
        <v>2454</v>
      </c>
      <c r="C110" s="311">
        <v>0.1</v>
      </c>
      <c r="D110" s="311">
        <v>0.1</v>
      </c>
      <c r="E110" s="311">
        <v>0.1</v>
      </c>
      <c r="F110" s="322"/>
      <c r="G110" s="312">
        <v>0.1</v>
      </c>
    </row>
    <row r="111" spans="1:7">
      <c r="A111" s="321" t="s">
        <v>267</v>
      </c>
      <c r="B111" s="310" t="s">
        <v>2462</v>
      </c>
      <c r="C111" s="311">
        <v>0.1</v>
      </c>
      <c r="D111" s="311">
        <v>0.1</v>
      </c>
      <c r="E111" s="311">
        <v>9.5000000000000001E-2</v>
      </c>
      <c r="F111" s="322"/>
      <c r="G111" s="312">
        <v>0.1</v>
      </c>
    </row>
    <row r="112" spans="1:7">
      <c r="A112" s="321" t="s">
        <v>267</v>
      </c>
      <c r="B112" s="310" t="s">
        <v>2469</v>
      </c>
      <c r="C112" s="311">
        <v>9.7000000000000003E-2</v>
      </c>
      <c r="D112" s="311">
        <v>9.7000000000000003E-2</v>
      </c>
      <c r="E112" s="311">
        <v>0.05</v>
      </c>
      <c r="F112" s="322"/>
      <c r="G112" s="312">
        <v>9.8000000000000004E-2</v>
      </c>
    </row>
    <row r="113" spans="1:7">
      <c r="A113" s="321" t="s">
        <v>267</v>
      </c>
      <c r="B113" s="310" t="s">
        <v>2476</v>
      </c>
      <c r="C113" s="311">
        <v>0.1</v>
      </c>
      <c r="D113" s="311">
        <v>0.1</v>
      </c>
      <c r="E113" s="322"/>
      <c r="F113" s="322"/>
      <c r="G113" s="312">
        <v>0.1</v>
      </c>
    </row>
    <row r="114" spans="1:7">
      <c r="A114" s="321" t="s">
        <v>267</v>
      </c>
      <c r="B114" s="310" t="s">
        <v>2483</v>
      </c>
      <c r="C114" s="311">
        <v>9.7000000000000003E-2</v>
      </c>
      <c r="D114" s="311">
        <v>9.7000000000000003E-2</v>
      </c>
      <c r="E114" s="322"/>
      <c r="F114" s="322"/>
      <c r="G114" s="312">
        <v>9.9000000000000005E-2</v>
      </c>
    </row>
    <row r="115" spans="1:7">
      <c r="A115" s="321" t="s">
        <v>267</v>
      </c>
      <c r="B115" s="310" t="s">
        <v>2490</v>
      </c>
      <c r="C115" s="311">
        <v>0.1</v>
      </c>
      <c r="D115" s="311">
        <v>0.1</v>
      </c>
      <c r="E115" s="322"/>
      <c r="F115" s="322"/>
      <c r="G115" s="312">
        <v>0.1</v>
      </c>
    </row>
    <row r="116" spans="1:7">
      <c r="A116" s="321" t="s">
        <v>267</v>
      </c>
      <c r="B116" s="310" t="s">
        <v>2497</v>
      </c>
      <c r="C116" s="311">
        <v>0.1</v>
      </c>
      <c r="D116" s="311">
        <v>0.1</v>
      </c>
      <c r="E116" s="322"/>
      <c r="F116" s="322"/>
      <c r="G116" s="312">
        <v>0.1</v>
      </c>
    </row>
    <row r="117" spans="1:7">
      <c r="A117" s="321" t="s">
        <v>267</v>
      </c>
      <c r="B117" s="310" t="s">
        <v>2504</v>
      </c>
      <c r="C117" s="311">
        <v>9.7000000000000003E-2</v>
      </c>
      <c r="D117" s="311">
        <v>9.7000000000000003E-2</v>
      </c>
      <c r="E117" s="322"/>
      <c r="F117" s="322"/>
      <c r="G117" s="312">
        <v>9.7000000000000003E-2</v>
      </c>
    </row>
    <row r="118" spans="1:7">
      <c r="A118" s="321" t="s">
        <v>267</v>
      </c>
      <c r="B118" s="310" t="s">
        <v>2511</v>
      </c>
      <c r="C118" s="311">
        <v>0.1</v>
      </c>
      <c r="D118" s="311">
        <v>0.1</v>
      </c>
      <c r="E118" s="322"/>
      <c r="F118" s="322"/>
      <c r="G118" s="312">
        <v>0.1</v>
      </c>
    </row>
    <row r="119" spans="1:7">
      <c r="A119" s="321" t="s">
        <v>267</v>
      </c>
      <c r="B119" s="310" t="s">
        <v>2516</v>
      </c>
      <c r="C119" s="311">
        <v>5.0999999999999997E-2</v>
      </c>
      <c r="D119" s="311">
        <v>5.1999999999999998E-2</v>
      </c>
      <c r="E119" s="322"/>
      <c r="F119" s="327"/>
      <c r="G119" s="312">
        <v>0.06</v>
      </c>
    </row>
    <row r="120" spans="1:7">
      <c r="A120" s="321" t="s">
        <v>267</v>
      </c>
      <c r="B120" s="310" t="s">
        <v>2521</v>
      </c>
      <c r="C120" s="322"/>
      <c r="D120" s="322"/>
      <c r="E120" s="322"/>
      <c r="F120" s="311">
        <v>0.1</v>
      </c>
      <c r="G120" s="328"/>
    </row>
    <row r="121" spans="1:7">
      <c r="A121" s="321" t="s">
        <v>267</v>
      </c>
      <c r="B121" s="310" t="s">
        <v>2526</v>
      </c>
      <c r="C121" s="322"/>
      <c r="D121" s="322"/>
      <c r="E121" s="322"/>
      <c r="F121" s="311">
        <v>0.1</v>
      </c>
      <c r="G121" s="328"/>
    </row>
    <row r="122" spans="1:7">
      <c r="A122" s="321" t="s">
        <v>267</v>
      </c>
      <c r="B122" s="310" t="s">
        <v>2531</v>
      </c>
      <c r="C122" s="311">
        <v>0.1</v>
      </c>
      <c r="D122" s="311">
        <v>0.1</v>
      </c>
      <c r="E122" s="311">
        <v>9.8000000000000004E-2</v>
      </c>
      <c r="F122" s="311">
        <v>0.1</v>
      </c>
      <c r="G122" s="312">
        <v>0.1</v>
      </c>
    </row>
    <row r="123" spans="1:7">
      <c r="A123" s="321" t="s">
        <v>267</v>
      </c>
      <c r="B123" s="310" t="s">
        <v>2536</v>
      </c>
      <c r="C123" s="311">
        <v>0.1</v>
      </c>
      <c r="D123" s="311">
        <v>0.1</v>
      </c>
      <c r="E123" s="311">
        <v>9.8000000000000004E-2</v>
      </c>
      <c r="F123" s="311">
        <v>0.1</v>
      </c>
      <c r="G123" s="312">
        <v>0.1</v>
      </c>
    </row>
    <row r="124" spans="1:7">
      <c r="A124" s="321" t="s">
        <v>267</v>
      </c>
      <c r="B124" s="310" t="s">
        <v>2541</v>
      </c>
      <c r="C124" s="311">
        <v>0.1</v>
      </c>
      <c r="D124" s="311">
        <v>0.1</v>
      </c>
      <c r="E124" s="311">
        <v>9.8000000000000004E-2</v>
      </c>
      <c r="F124" s="327"/>
      <c r="G124" s="312">
        <v>0.1</v>
      </c>
    </row>
    <row r="125" spans="1:7">
      <c r="A125" s="321" t="s">
        <v>267</v>
      </c>
      <c r="B125" s="310" t="s">
        <v>2546</v>
      </c>
      <c r="C125" s="311">
        <v>9.8000000000000004E-2</v>
      </c>
      <c r="D125" s="311">
        <v>9.8000000000000004E-2</v>
      </c>
      <c r="E125" s="311">
        <v>9.6000000000000002E-2</v>
      </c>
      <c r="F125" s="327"/>
      <c r="G125" s="312">
        <v>0.1</v>
      </c>
    </row>
    <row r="126" spans="1:7">
      <c r="A126" s="324" t="s">
        <v>267</v>
      </c>
      <c r="B126" s="314" t="s">
        <v>2551</v>
      </c>
      <c r="C126" s="315">
        <v>0.1</v>
      </c>
      <c r="D126" s="315">
        <v>0.1</v>
      </c>
      <c r="E126" s="315">
        <v>9.8000000000000004E-2</v>
      </c>
      <c r="F126" s="315">
        <v>0.1</v>
      </c>
      <c r="G126" s="317">
        <v>0.1</v>
      </c>
    </row>
    <row r="127" spans="1:7">
      <c r="A127" s="320" t="s">
        <v>273</v>
      </c>
      <c r="B127" s="306" t="s">
        <v>2218</v>
      </c>
      <c r="C127" s="307">
        <v>0.121</v>
      </c>
      <c r="D127" s="307">
        <v>0.121</v>
      </c>
      <c r="E127" s="307">
        <v>0.107</v>
      </c>
      <c r="F127" s="307">
        <v>0.13</v>
      </c>
      <c r="G127" s="308">
        <v>0.122</v>
      </c>
    </row>
    <row r="128" spans="1:7">
      <c r="A128" s="321" t="s">
        <v>273</v>
      </c>
      <c r="B128" s="310" t="s">
        <v>2231</v>
      </c>
      <c r="C128" s="311">
        <v>0.11600000000000001</v>
      </c>
      <c r="D128" s="311">
        <v>0.11700000000000001</v>
      </c>
      <c r="E128" s="311">
        <v>0.104</v>
      </c>
      <c r="F128" s="311">
        <v>0.13</v>
      </c>
      <c r="G128" s="312">
        <v>0.11700000000000001</v>
      </c>
    </row>
    <row r="129" spans="1:7">
      <c r="A129" s="321" t="s">
        <v>273</v>
      </c>
      <c r="B129" s="310" t="s">
        <v>2245</v>
      </c>
      <c r="C129" s="311">
        <v>0.107</v>
      </c>
      <c r="D129" s="311">
        <v>0.108</v>
      </c>
      <c r="E129" s="311">
        <v>0.1</v>
      </c>
      <c r="F129" s="311">
        <v>0.13</v>
      </c>
      <c r="G129" s="312">
        <v>0.11700000000000001</v>
      </c>
    </row>
    <row r="130" spans="1:7">
      <c r="A130" s="321" t="s">
        <v>273</v>
      </c>
      <c r="B130" s="310" t="s">
        <v>2257</v>
      </c>
      <c r="C130" s="311">
        <v>0.13</v>
      </c>
      <c r="D130" s="311">
        <v>0.13</v>
      </c>
      <c r="E130" s="311">
        <v>0.126</v>
      </c>
      <c r="F130" s="311">
        <v>0.13</v>
      </c>
      <c r="G130" s="312">
        <v>0.13</v>
      </c>
    </row>
    <row r="131" spans="1:7">
      <c r="A131" s="321" t="s">
        <v>273</v>
      </c>
      <c r="B131" s="310" t="s">
        <v>2269</v>
      </c>
      <c r="C131" s="311">
        <v>0.13</v>
      </c>
      <c r="D131" s="311">
        <v>0.13</v>
      </c>
      <c r="E131" s="311">
        <v>0.13</v>
      </c>
      <c r="F131" s="311">
        <v>0.13</v>
      </c>
      <c r="G131" s="312">
        <v>0.13</v>
      </c>
    </row>
    <row r="132" spans="1:7">
      <c r="A132" s="321" t="s">
        <v>273</v>
      </c>
      <c r="B132" s="310" t="s">
        <v>2280</v>
      </c>
      <c r="C132" s="311">
        <v>0.13</v>
      </c>
      <c r="D132" s="311">
        <v>0.13</v>
      </c>
      <c r="E132" s="311">
        <v>0.126</v>
      </c>
      <c r="F132" s="311">
        <v>0.13</v>
      </c>
      <c r="G132" s="312">
        <v>0.13</v>
      </c>
    </row>
    <row r="133" spans="1:7">
      <c r="A133" s="321" t="s">
        <v>273</v>
      </c>
      <c r="B133" s="310" t="s">
        <v>2291</v>
      </c>
      <c r="C133" s="311">
        <v>0.111</v>
      </c>
      <c r="D133" s="311">
        <v>0.111</v>
      </c>
      <c r="E133" s="311">
        <v>0.10199999999999999</v>
      </c>
      <c r="F133" s="311">
        <v>0.13</v>
      </c>
      <c r="G133" s="312">
        <v>0.121</v>
      </c>
    </row>
    <row r="134" spans="1:7">
      <c r="A134" s="321" t="s">
        <v>273</v>
      </c>
      <c r="B134" s="310" t="s">
        <v>2302</v>
      </c>
      <c r="C134" s="311">
        <v>0.121</v>
      </c>
      <c r="D134" s="311">
        <v>0.121</v>
      </c>
      <c r="E134" s="311">
        <v>0.1</v>
      </c>
      <c r="F134" s="311">
        <v>0.13</v>
      </c>
      <c r="G134" s="312">
        <v>0.123</v>
      </c>
    </row>
    <row r="135" spans="1:7">
      <c r="A135" s="321" t="s">
        <v>273</v>
      </c>
      <c r="B135" s="310" t="s">
        <v>2312</v>
      </c>
      <c r="C135" s="311">
        <v>0.105</v>
      </c>
      <c r="D135" s="311">
        <v>0.106</v>
      </c>
      <c r="E135" s="311">
        <v>0.1</v>
      </c>
      <c r="F135" s="311">
        <v>0.13</v>
      </c>
      <c r="G135" s="312">
        <v>0.115</v>
      </c>
    </row>
    <row r="136" spans="1:7">
      <c r="A136" s="321" t="s">
        <v>273</v>
      </c>
      <c r="B136" s="310" t="s">
        <v>2322</v>
      </c>
      <c r="C136" s="311">
        <v>0.127</v>
      </c>
      <c r="D136" s="311">
        <v>0.127</v>
      </c>
      <c r="E136" s="311">
        <v>0.121</v>
      </c>
      <c r="F136" s="311">
        <v>0.123</v>
      </c>
      <c r="G136" s="312">
        <v>0.129</v>
      </c>
    </row>
    <row r="137" spans="1:7">
      <c r="A137" s="321" t="s">
        <v>273</v>
      </c>
      <c r="B137" s="310" t="s">
        <v>2332</v>
      </c>
      <c r="C137" s="311">
        <v>0.13</v>
      </c>
      <c r="D137" s="311">
        <v>0.13</v>
      </c>
      <c r="E137" s="311">
        <v>0.129</v>
      </c>
      <c r="F137" s="311">
        <v>0.13</v>
      </c>
      <c r="G137" s="312">
        <v>0.13</v>
      </c>
    </row>
    <row r="138" spans="1:7">
      <c r="A138" s="321" t="s">
        <v>273</v>
      </c>
      <c r="B138" s="310" t="s">
        <v>2342</v>
      </c>
      <c r="C138" s="311">
        <v>0.13</v>
      </c>
      <c r="D138" s="311">
        <v>0.13</v>
      </c>
      <c r="E138" s="311">
        <v>0.125</v>
      </c>
      <c r="F138" s="311">
        <v>0.13</v>
      </c>
      <c r="G138" s="312">
        <v>0.13</v>
      </c>
    </row>
    <row r="139" spans="1:7">
      <c r="A139" s="321" t="s">
        <v>273</v>
      </c>
      <c r="B139" s="310" t="s">
        <v>2352</v>
      </c>
      <c r="C139" s="311">
        <v>0.13</v>
      </c>
      <c r="D139" s="311">
        <v>0.13</v>
      </c>
      <c r="E139" s="311">
        <v>0.126</v>
      </c>
      <c r="F139" s="311">
        <v>0.13</v>
      </c>
      <c r="G139" s="312">
        <v>0.13</v>
      </c>
    </row>
    <row r="140" spans="1:7">
      <c r="A140" s="321" t="s">
        <v>273</v>
      </c>
      <c r="B140" s="310" t="s">
        <v>2362</v>
      </c>
      <c r="C140" s="311">
        <v>0.1</v>
      </c>
      <c r="D140" s="311">
        <v>0.1</v>
      </c>
      <c r="E140" s="311">
        <v>0.1</v>
      </c>
      <c r="F140" s="311">
        <v>0.123</v>
      </c>
      <c r="G140" s="312">
        <v>0.107</v>
      </c>
    </row>
    <row r="141" spans="1:7">
      <c r="A141" s="321" t="s">
        <v>273</v>
      </c>
      <c r="B141" s="310" t="s">
        <v>2372</v>
      </c>
      <c r="C141" s="311">
        <v>0.127</v>
      </c>
      <c r="D141" s="311">
        <v>0.127</v>
      </c>
      <c r="E141" s="311">
        <v>0.122</v>
      </c>
      <c r="F141" s="311">
        <v>0.1</v>
      </c>
      <c r="G141" s="312">
        <v>0.129</v>
      </c>
    </row>
    <row r="142" spans="1:7">
      <c r="A142" s="321" t="s">
        <v>273</v>
      </c>
      <c r="B142" s="310" t="s">
        <v>2382</v>
      </c>
      <c r="C142" s="311">
        <v>0.121</v>
      </c>
      <c r="D142" s="311">
        <v>0.122</v>
      </c>
      <c r="E142" s="311">
        <v>0.1</v>
      </c>
      <c r="F142" s="311">
        <v>0.123</v>
      </c>
      <c r="G142" s="312">
        <v>0.123</v>
      </c>
    </row>
    <row r="143" spans="1:7">
      <c r="A143" s="321" t="s">
        <v>273</v>
      </c>
      <c r="B143" s="310" t="s">
        <v>2392</v>
      </c>
      <c r="C143" s="311">
        <v>0.1</v>
      </c>
      <c r="D143" s="311">
        <v>0.1</v>
      </c>
      <c r="E143" s="311">
        <v>0.1</v>
      </c>
      <c r="F143" s="311">
        <v>0.13</v>
      </c>
      <c r="G143" s="312">
        <v>0.1</v>
      </c>
    </row>
    <row r="144" spans="1:7">
      <c r="A144" s="321" t="s">
        <v>273</v>
      </c>
      <c r="B144" s="310" t="s">
        <v>2402</v>
      </c>
      <c r="C144" s="311">
        <v>0.106</v>
      </c>
      <c r="D144" s="311">
        <v>0.105</v>
      </c>
      <c r="E144" s="311">
        <v>0.1</v>
      </c>
      <c r="F144" s="311">
        <v>0.13</v>
      </c>
      <c r="G144" s="312">
        <v>0.11799999999999999</v>
      </c>
    </row>
    <row r="145" spans="1:7">
      <c r="A145" s="321" t="s">
        <v>273</v>
      </c>
      <c r="B145" s="310" t="s">
        <v>2412</v>
      </c>
      <c r="C145" s="311">
        <v>0.123</v>
      </c>
      <c r="D145" s="311">
        <v>0.123</v>
      </c>
      <c r="E145" s="311">
        <v>0.11700000000000001</v>
      </c>
      <c r="F145" s="311">
        <v>0.13</v>
      </c>
      <c r="G145" s="312">
        <v>0.126</v>
      </c>
    </row>
    <row r="146" spans="1:7">
      <c r="A146" s="321" t="s">
        <v>273</v>
      </c>
      <c r="B146" s="310" t="s">
        <v>2422</v>
      </c>
      <c r="C146" s="311">
        <v>0.127</v>
      </c>
      <c r="D146" s="311">
        <v>0.127</v>
      </c>
      <c r="E146" s="311">
        <v>0.12</v>
      </c>
      <c r="F146" s="322"/>
      <c r="G146" s="312">
        <v>0.129</v>
      </c>
    </row>
    <row r="147" spans="1:7">
      <c r="A147" s="321" t="s">
        <v>273</v>
      </c>
      <c r="B147" s="310" t="s">
        <v>2431</v>
      </c>
      <c r="C147" s="311">
        <v>0.13</v>
      </c>
      <c r="D147" s="311">
        <v>0.13</v>
      </c>
      <c r="E147" s="311">
        <v>0.126</v>
      </c>
      <c r="F147" s="322"/>
      <c r="G147" s="312">
        <v>0.13</v>
      </c>
    </row>
    <row r="148" spans="1:7">
      <c r="A148" s="321" t="s">
        <v>273</v>
      </c>
      <c r="B148" s="310" t="s">
        <v>2439</v>
      </c>
      <c r="C148" s="311">
        <v>0.13</v>
      </c>
      <c r="D148" s="311">
        <v>0.13</v>
      </c>
      <c r="E148" s="311">
        <v>0.13</v>
      </c>
      <c r="F148" s="322"/>
      <c r="G148" s="312">
        <v>0.13</v>
      </c>
    </row>
    <row r="149" spans="1:7">
      <c r="A149" s="321" t="s">
        <v>273</v>
      </c>
      <c r="B149" s="310" t="s">
        <v>2447</v>
      </c>
      <c r="C149" s="311">
        <v>0.13</v>
      </c>
      <c r="D149" s="311">
        <v>0.13</v>
      </c>
      <c r="E149" s="311">
        <v>0.13</v>
      </c>
      <c r="F149" s="311">
        <v>0.13</v>
      </c>
      <c r="G149" s="312">
        <v>0.13</v>
      </c>
    </row>
    <row r="150" spans="1:7">
      <c r="A150" s="321" t="s">
        <v>273</v>
      </c>
      <c r="B150" s="310" t="s">
        <v>2455</v>
      </c>
      <c r="C150" s="311">
        <v>0.13</v>
      </c>
      <c r="D150" s="311">
        <v>0.13</v>
      </c>
      <c r="E150" s="311">
        <v>0.127</v>
      </c>
      <c r="F150" s="311">
        <v>0.13</v>
      </c>
      <c r="G150" s="312">
        <v>0.13</v>
      </c>
    </row>
    <row r="151" spans="1:7">
      <c r="A151" s="321" t="s">
        <v>273</v>
      </c>
      <c r="B151" s="310" t="s">
        <v>2463</v>
      </c>
      <c r="C151" s="311">
        <v>0.13</v>
      </c>
      <c r="D151" s="311">
        <v>0.13</v>
      </c>
      <c r="E151" s="311">
        <v>0.13</v>
      </c>
      <c r="F151" s="311">
        <v>0.13</v>
      </c>
      <c r="G151" s="312">
        <v>0.13</v>
      </c>
    </row>
    <row r="152" spans="1:7">
      <c r="A152" s="321" t="s">
        <v>273</v>
      </c>
      <c r="B152" s="310" t="s">
        <v>2470</v>
      </c>
      <c r="C152" s="311">
        <v>0.13</v>
      </c>
      <c r="D152" s="311">
        <v>0.13</v>
      </c>
      <c r="E152" s="311">
        <v>0.13</v>
      </c>
      <c r="F152" s="311">
        <v>0.13</v>
      </c>
      <c r="G152" s="312">
        <v>0.13</v>
      </c>
    </row>
    <row r="153" spans="1:7">
      <c r="A153" s="321" t="s">
        <v>273</v>
      </c>
      <c r="B153" s="310" t="s">
        <v>2477</v>
      </c>
      <c r="C153" s="311">
        <v>0.13</v>
      </c>
      <c r="D153" s="311">
        <v>0.13</v>
      </c>
      <c r="E153" s="311">
        <v>0.13</v>
      </c>
      <c r="F153" s="311">
        <v>0.13</v>
      </c>
      <c r="G153" s="312">
        <v>0.13</v>
      </c>
    </row>
    <row r="154" spans="1:7">
      <c r="A154" s="321" t="s">
        <v>273</v>
      </c>
      <c r="B154" s="310" t="s">
        <v>2484</v>
      </c>
      <c r="C154" s="311">
        <v>0.121</v>
      </c>
      <c r="D154" s="311">
        <v>0.121</v>
      </c>
      <c r="E154" s="311">
        <v>0.105</v>
      </c>
      <c r="F154" s="311">
        <v>0.121</v>
      </c>
      <c r="G154" s="312">
        <v>0.123</v>
      </c>
    </row>
    <row r="155" spans="1:7">
      <c r="A155" s="321" t="s">
        <v>273</v>
      </c>
      <c r="B155" s="310" t="s">
        <v>2491</v>
      </c>
      <c r="C155" s="311">
        <v>0.1</v>
      </c>
      <c r="D155" s="311">
        <v>0.1</v>
      </c>
      <c r="E155" s="311">
        <v>0.1</v>
      </c>
      <c r="F155" s="311">
        <v>0.1</v>
      </c>
      <c r="G155" s="312">
        <v>0.1</v>
      </c>
    </row>
    <row r="156" spans="1:7">
      <c r="A156" s="321" t="s">
        <v>273</v>
      </c>
      <c r="B156" s="310" t="s">
        <v>2498</v>
      </c>
      <c r="C156" s="311">
        <v>0.13</v>
      </c>
      <c r="D156" s="311">
        <v>0.13</v>
      </c>
      <c r="E156" s="311">
        <v>0.13</v>
      </c>
      <c r="F156" s="311">
        <v>0.13</v>
      </c>
      <c r="G156" s="312">
        <v>0.13</v>
      </c>
    </row>
    <row r="157" spans="1:7">
      <c r="A157" s="321" t="s">
        <v>273</v>
      </c>
      <c r="B157" s="310" t="s">
        <v>2505</v>
      </c>
      <c r="C157" s="311">
        <v>0.13</v>
      </c>
      <c r="D157" s="311">
        <v>0.13</v>
      </c>
      <c r="E157" s="311">
        <v>0.125</v>
      </c>
      <c r="F157" s="311">
        <v>0.13</v>
      </c>
      <c r="G157" s="312">
        <v>0.13</v>
      </c>
    </row>
    <row r="158" spans="1:7">
      <c r="A158" s="321" t="s">
        <v>273</v>
      </c>
      <c r="B158" s="310" t="s">
        <v>2512</v>
      </c>
      <c r="C158" s="311">
        <v>0.124</v>
      </c>
      <c r="D158" s="311">
        <v>0.124</v>
      </c>
      <c r="E158" s="311">
        <v>0.11700000000000001</v>
      </c>
      <c r="F158" s="311">
        <v>0.121</v>
      </c>
      <c r="G158" s="312">
        <v>0.124</v>
      </c>
    </row>
    <row r="159" spans="1:7">
      <c r="A159" s="321" t="s">
        <v>273</v>
      </c>
      <c r="B159" s="310" t="s">
        <v>2517</v>
      </c>
      <c r="C159" s="311">
        <v>0.127</v>
      </c>
      <c r="D159" s="311">
        <v>0.127</v>
      </c>
      <c r="E159" s="311">
        <v>0.122</v>
      </c>
      <c r="F159" s="311">
        <v>0.13</v>
      </c>
      <c r="G159" s="312">
        <v>0.129</v>
      </c>
    </row>
    <row r="160" spans="1:7">
      <c r="A160" s="321" t="s">
        <v>273</v>
      </c>
      <c r="B160" s="310" t="s">
        <v>2522</v>
      </c>
      <c r="C160" s="311">
        <v>0.13</v>
      </c>
      <c r="D160" s="311">
        <v>0.13</v>
      </c>
      <c r="E160" s="311">
        <v>0.124</v>
      </c>
      <c r="F160" s="311">
        <v>0.126</v>
      </c>
      <c r="G160" s="312">
        <v>0.13</v>
      </c>
    </row>
    <row r="161" spans="1:7">
      <c r="A161" s="321" t="s">
        <v>273</v>
      </c>
      <c r="B161" s="310" t="s">
        <v>2527</v>
      </c>
      <c r="C161" s="311">
        <v>0.13</v>
      </c>
      <c r="D161" s="311">
        <v>0.13</v>
      </c>
      <c r="E161" s="311">
        <v>0.124</v>
      </c>
      <c r="F161" s="311">
        <v>0.127</v>
      </c>
      <c r="G161" s="312">
        <v>0.13</v>
      </c>
    </row>
    <row r="162" spans="1:7">
      <c r="A162" s="321" t="s">
        <v>273</v>
      </c>
      <c r="B162" s="310" t="s">
        <v>2532</v>
      </c>
      <c r="C162" s="311">
        <v>0.1</v>
      </c>
      <c r="D162" s="311">
        <v>0.1</v>
      </c>
      <c r="E162" s="311">
        <v>0.1</v>
      </c>
      <c r="F162" s="311">
        <v>0.121</v>
      </c>
      <c r="G162" s="312">
        <v>0.105</v>
      </c>
    </row>
    <row r="163" spans="1:7">
      <c r="A163" s="321" t="s">
        <v>273</v>
      </c>
      <c r="B163" s="310" t="s">
        <v>2537</v>
      </c>
      <c r="C163" s="311">
        <v>0.1</v>
      </c>
      <c r="D163" s="311">
        <v>0.1</v>
      </c>
      <c r="E163" s="311">
        <v>0.1</v>
      </c>
      <c r="F163" s="311">
        <v>0.1</v>
      </c>
      <c r="G163" s="312">
        <v>0.1</v>
      </c>
    </row>
    <row r="164" spans="1:7">
      <c r="A164" s="321" t="s">
        <v>273</v>
      </c>
      <c r="B164" s="310" t="s">
        <v>2542</v>
      </c>
      <c r="C164" s="327"/>
      <c r="D164" s="327"/>
      <c r="E164" s="327"/>
      <c r="F164" s="311">
        <v>0.1</v>
      </c>
      <c r="G164" s="323"/>
    </row>
    <row r="165" spans="1:7">
      <c r="A165" s="321" t="s">
        <v>273</v>
      </c>
      <c r="B165" s="310" t="s">
        <v>2547</v>
      </c>
      <c r="C165" s="311">
        <v>0.126</v>
      </c>
      <c r="D165" s="311">
        <v>0.126</v>
      </c>
      <c r="E165" s="311">
        <v>0.11899999999999999</v>
      </c>
      <c r="F165" s="311">
        <v>0.13</v>
      </c>
      <c r="G165" s="312">
        <v>0.128</v>
      </c>
    </row>
    <row r="166" spans="1:7">
      <c r="A166" s="321" t="s">
        <v>273</v>
      </c>
      <c r="B166" s="310" t="s">
        <v>2552</v>
      </c>
      <c r="C166" s="311">
        <v>0.129</v>
      </c>
      <c r="D166" s="311">
        <v>0.129</v>
      </c>
      <c r="E166" s="311">
        <v>0.123</v>
      </c>
      <c r="F166" s="311">
        <v>0.128</v>
      </c>
      <c r="G166" s="312">
        <v>0.13</v>
      </c>
    </row>
    <row r="167" spans="1:7">
      <c r="A167" s="321" t="s">
        <v>273</v>
      </c>
      <c r="B167" s="310" t="s">
        <v>2556</v>
      </c>
      <c r="C167" s="311">
        <v>0.125</v>
      </c>
      <c r="D167" s="311">
        <v>0.125</v>
      </c>
      <c r="E167" s="311">
        <v>0.11700000000000001</v>
      </c>
      <c r="F167" s="311">
        <v>0.13</v>
      </c>
      <c r="G167" s="312">
        <v>0.126</v>
      </c>
    </row>
    <row r="168" spans="1:7">
      <c r="A168" s="321" t="s">
        <v>273</v>
      </c>
      <c r="B168" s="310" t="s">
        <v>2560</v>
      </c>
      <c r="C168" s="311">
        <v>0.128</v>
      </c>
      <c r="D168" s="311">
        <v>0.128</v>
      </c>
      <c r="E168" s="311">
        <v>0.123</v>
      </c>
      <c r="F168" s="322"/>
      <c r="G168" s="312">
        <v>0.13</v>
      </c>
    </row>
    <row r="169" spans="1:7">
      <c r="A169" s="321" t="s">
        <v>273</v>
      </c>
      <c r="B169" s="310" t="s">
        <v>2564</v>
      </c>
      <c r="C169" s="327"/>
      <c r="D169" s="327"/>
      <c r="E169" s="327"/>
      <c r="F169" s="311">
        <v>0.05</v>
      </c>
      <c r="G169" s="323"/>
    </row>
    <row r="170" spans="1:7">
      <c r="A170" s="321" t="s">
        <v>273</v>
      </c>
      <c r="B170" s="310" t="s">
        <v>2568</v>
      </c>
      <c r="C170" s="327"/>
      <c r="D170" s="327"/>
      <c r="E170" s="327"/>
      <c r="F170" s="311">
        <v>0.05</v>
      </c>
      <c r="G170" s="323"/>
    </row>
    <row r="171" spans="1:7">
      <c r="A171" s="321" t="s">
        <v>273</v>
      </c>
      <c r="B171" s="310" t="s">
        <v>2571</v>
      </c>
      <c r="C171" s="327"/>
      <c r="D171" s="327"/>
      <c r="E171" s="327"/>
      <c r="F171" s="311">
        <v>0.05</v>
      </c>
      <c r="G171" s="328"/>
    </row>
    <row r="172" spans="1:7">
      <c r="A172" s="321" t="s">
        <v>273</v>
      </c>
      <c r="B172" s="310" t="s">
        <v>2573</v>
      </c>
      <c r="C172" s="327"/>
      <c r="D172" s="327"/>
      <c r="E172" s="327"/>
      <c r="F172" s="311">
        <v>0.05</v>
      </c>
      <c r="G172" s="328"/>
    </row>
    <row r="173" spans="1:7">
      <c r="A173" s="321" t="s">
        <v>273</v>
      </c>
      <c r="B173" s="310" t="s">
        <v>2575</v>
      </c>
      <c r="C173" s="327"/>
      <c r="D173" s="327"/>
      <c r="E173" s="327"/>
      <c r="F173" s="311">
        <v>0.05</v>
      </c>
      <c r="G173" s="323"/>
    </row>
    <row r="174" spans="1:7">
      <c r="A174" s="321" t="s">
        <v>273</v>
      </c>
      <c r="B174" s="310" t="s">
        <v>2577</v>
      </c>
      <c r="C174" s="327"/>
      <c r="D174" s="327"/>
      <c r="E174" s="327"/>
      <c r="F174" s="311">
        <v>0.05</v>
      </c>
      <c r="G174" s="323"/>
    </row>
    <row r="175" spans="1:7">
      <c r="A175" s="321" t="s">
        <v>273</v>
      </c>
      <c r="B175" s="310" t="s">
        <v>2579</v>
      </c>
      <c r="C175" s="327"/>
      <c r="D175" s="327"/>
      <c r="E175" s="327"/>
      <c r="F175" s="311">
        <v>0.05</v>
      </c>
      <c r="G175" s="323"/>
    </row>
    <row r="176" spans="1:7">
      <c r="A176" s="321" t="s">
        <v>273</v>
      </c>
      <c r="B176" s="310" t="s">
        <v>2581</v>
      </c>
      <c r="C176" s="327"/>
      <c r="D176" s="327"/>
      <c r="E176" s="327"/>
      <c r="F176" s="311">
        <v>0.05</v>
      </c>
      <c r="G176" s="323"/>
    </row>
    <row r="177" spans="1:7">
      <c r="A177" s="321" t="s">
        <v>273</v>
      </c>
      <c r="B177" s="310" t="s">
        <v>2583</v>
      </c>
      <c r="C177" s="322"/>
      <c r="D177" s="322"/>
      <c r="E177" s="322"/>
      <c r="F177" s="311">
        <v>0.05</v>
      </c>
      <c r="G177" s="328"/>
    </row>
    <row r="178" spans="1:7">
      <c r="A178" s="321" t="s">
        <v>273</v>
      </c>
      <c r="B178" s="310" t="s">
        <v>2584</v>
      </c>
      <c r="C178" s="322"/>
      <c r="D178" s="322"/>
      <c r="E178" s="322"/>
      <c r="F178" s="311">
        <v>0.05</v>
      </c>
      <c r="G178" s="328"/>
    </row>
    <row r="179" spans="1:7">
      <c r="A179" s="321" t="s">
        <v>273</v>
      </c>
      <c r="B179" s="310" t="s">
        <v>2585</v>
      </c>
      <c r="C179" s="322"/>
      <c r="D179" s="322"/>
      <c r="E179" s="322"/>
      <c r="F179" s="311">
        <v>0.05</v>
      </c>
      <c r="G179" s="328"/>
    </row>
    <row r="180" spans="1:7">
      <c r="A180" s="321" t="s">
        <v>273</v>
      </c>
      <c r="B180" s="310" t="s">
        <v>2586</v>
      </c>
      <c r="C180" s="322"/>
      <c r="D180" s="322"/>
      <c r="E180" s="322"/>
      <c r="F180" s="311">
        <v>0.05</v>
      </c>
      <c r="G180" s="328"/>
    </row>
    <row r="181" spans="1:7">
      <c r="A181" s="321" t="s">
        <v>273</v>
      </c>
      <c r="B181" s="310" t="s">
        <v>2587</v>
      </c>
      <c r="C181" s="322"/>
      <c r="D181" s="322"/>
      <c r="E181" s="322"/>
      <c r="F181" s="311">
        <v>0.05</v>
      </c>
      <c r="G181" s="328"/>
    </row>
    <row r="182" spans="1:7">
      <c r="A182" s="321" t="s">
        <v>273</v>
      </c>
      <c r="B182" s="310" t="s">
        <v>2588</v>
      </c>
      <c r="C182" s="322"/>
      <c r="D182" s="322"/>
      <c r="E182" s="322"/>
      <c r="F182" s="311">
        <v>0.05</v>
      </c>
      <c r="G182" s="328"/>
    </row>
    <row r="183" spans="1:7">
      <c r="A183" s="321" t="s">
        <v>273</v>
      </c>
      <c r="B183" s="310" t="s">
        <v>2589</v>
      </c>
      <c r="C183" s="322"/>
      <c r="D183" s="322"/>
      <c r="E183" s="322"/>
      <c r="F183" s="311">
        <v>0.05</v>
      </c>
      <c r="G183" s="328"/>
    </row>
    <row r="184" spans="1:7">
      <c r="A184" s="321" t="s">
        <v>273</v>
      </c>
      <c r="B184" s="310" t="s">
        <v>2590</v>
      </c>
      <c r="C184" s="322"/>
      <c r="D184" s="322"/>
      <c r="E184" s="322"/>
      <c r="F184" s="311">
        <v>0.05</v>
      </c>
      <c r="G184" s="328"/>
    </row>
    <row r="185" spans="1:7">
      <c r="A185" s="321" t="s">
        <v>273</v>
      </c>
      <c r="B185" s="310" t="s">
        <v>2591</v>
      </c>
      <c r="C185" s="322"/>
      <c r="D185" s="322"/>
      <c r="E185" s="322"/>
      <c r="F185" s="311">
        <v>0.05</v>
      </c>
      <c r="G185" s="328"/>
    </row>
    <row r="186" spans="1:7">
      <c r="A186" s="321" t="s">
        <v>273</v>
      </c>
      <c r="B186" s="310" t="s">
        <v>2592</v>
      </c>
      <c r="C186" s="322"/>
      <c r="D186" s="322"/>
      <c r="E186" s="322"/>
      <c r="F186" s="311">
        <v>0.05</v>
      </c>
      <c r="G186" s="328"/>
    </row>
    <row r="187" spans="1:7">
      <c r="A187" s="321" t="s">
        <v>273</v>
      </c>
      <c r="B187" s="310" t="s">
        <v>2593</v>
      </c>
      <c r="C187" s="322"/>
      <c r="D187" s="322"/>
      <c r="E187" s="322"/>
      <c r="F187" s="311">
        <v>0.05</v>
      </c>
      <c r="G187" s="328"/>
    </row>
    <row r="188" spans="1:7">
      <c r="A188" s="321" t="s">
        <v>273</v>
      </c>
      <c r="B188" s="310" t="s">
        <v>2594</v>
      </c>
      <c r="C188" s="322"/>
      <c r="D188" s="322"/>
      <c r="E188" s="322"/>
      <c r="F188" s="311">
        <v>0.05</v>
      </c>
      <c r="G188" s="328"/>
    </row>
    <row r="189" spans="1:7">
      <c r="A189" s="324" t="s">
        <v>273</v>
      </c>
      <c r="B189" s="314" t="s">
        <v>2595</v>
      </c>
      <c r="C189" s="316"/>
      <c r="D189" s="316"/>
      <c r="E189" s="316"/>
      <c r="F189" s="315">
        <v>0.05</v>
      </c>
      <c r="G189" s="329"/>
    </row>
    <row r="190" spans="1:7">
      <c r="A190" s="320" t="s">
        <v>278</v>
      </c>
      <c r="B190" s="306" t="s">
        <v>2219</v>
      </c>
      <c r="C190" s="307">
        <v>0.124</v>
      </c>
      <c r="D190" s="307">
        <v>0.124</v>
      </c>
      <c r="E190" s="307">
        <v>0.129</v>
      </c>
      <c r="F190" s="307">
        <v>0.13</v>
      </c>
      <c r="G190" s="308">
        <v>0.127</v>
      </c>
    </row>
    <row r="191" spans="1:7">
      <c r="A191" s="321" t="s">
        <v>278</v>
      </c>
      <c r="B191" s="310" t="s">
        <v>2232</v>
      </c>
      <c r="C191" s="311">
        <v>0.13</v>
      </c>
      <c r="D191" s="311">
        <v>0.13</v>
      </c>
      <c r="E191" s="311">
        <v>0.13</v>
      </c>
      <c r="F191" s="311">
        <v>0.13</v>
      </c>
      <c r="G191" s="312">
        <v>0.13</v>
      </c>
    </row>
    <row r="192" spans="1:7">
      <c r="A192" s="321" t="s">
        <v>278</v>
      </c>
      <c r="B192" s="310" t="s">
        <v>2246</v>
      </c>
      <c r="C192" s="311">
        <v>0.13</v>
      </c>
      <c r="D192" s="311">
        <v>0.13</v>
      </c>
      <c r="E192" s="311">
        <v>0.13</v>
      </c>
      <c r="F192" s="311">
        <v>0.13</v>
      </c>
      <c r="G192" s="312">
        <v>0.13</v>
      </c>
    </row>
    <row r="193" spans="1:7">
      <c r="A193" s="321" t="s">
        <v>278</v>
      </c>
      <c r="B193" s="310" t="s">
        <v>2258</v>
      </c>
      <c r="C193" s="311">
        <v>0.13</v>
      </c>
      <c r="D193" s="311">
        <v>0.13</v>
      </c>
      <c r="E193" s="311">
        <v>0.13</v>
      </c>
      <c r="F193" s="311">
        <v>0.13</v>
      </c>
      <c r="G193" s="312">
        <v>0.13</v>
      </c>
    </row>
    <row r="194" spans="1:7">
      <c r="A194" s="321" t="s">
        <v>278</v>
      </c>
      <c r="B194" s="310" t="s">
        <v>2270</v>
      </c>
      <c r="C194" s="311">
        <v>0.123</v>
      </c>
      <c r="D194" s="311">
        <v>0.123</v>
      </c>
      <c r="E194" s="311">
        <v>0.128</v>
      </c>
      <c r="F194" s="311">
        <v>0.13</v>
      </c>
      <c r="G194" s="312">
        <v>0.126</v>
      </c>
    </row>
    <row r="195" spans="1:7">
      <c r="A195" s="321" t="s">
        <v>278</v>
      </c>
      <c r="B195" s="310" t="s">
        <v>2281</v>
      </c>
      <c r="C195" s="311">
        <v>0.127</v>
      </c>
      <c r="D195" s="311">
        <v>0.127</v>
      </c>
      <c r="E195" s="311">
        <v>0.121</v>
      </c>
      <c r="F195" s="311">
        <v>0.129</v>
      </c>
      <c r="G195" s="312">
        <v>0.129</v>
      </c>
    </row>
    <row r="196" spans="1:7">
      <c r="A196" s="321" t="s">
        <v>278</v>
      </c>
      <c r="B196" s="310" t="s">
        <v>2292</v>
      </c>
      <c r="C196" s="311">
        <v>0.127</v>
      </c>
      <c r="D196" s="311">
        <v>0.128</v>
      </c>
      <c r="E196" s="311">
        <v>0.122</v>
      </c>
      <c r="F196" s="311">
        <v>0.13</v>
      </c>
      <c r="G196" s="312">
        <v>0.129</v>
      </c>
    </row>
    <row r="197" spans="1:7">
      <c r="A197" s="321" t="s">
        <v>278</v>
      </c>
      <c r="B197" s="310" t="s">
        <v>2303</v>
      </c>
      <c r="C197" s="311">
        <v>0.126</v>
      </c>
      <c r="D197" s="311">
        <v>0.126</v>
      </c>
      <c r="E197" s="311">
        <v>0.11899999999999999</v>
      </c>
      <c r="F197" s="311">
        <v>0.13</v>
      </c>
      <c r="G197" s="312">
        <v>0.128</v>
      </c>
    </row>
    <row r="198" spans="1:7">
      <c r="A198" s="321" t="s">
        <v>278</v>
      </c>
      <c r="B198" s="310" t="s">
        <v>2313</v>
      </c>
      <c r="C198" s="311">
        <v>0.13</v>
      </c>
      <c r="D198" s="311">
        <v>0.13</v>
      </c>
      <c r="E198" s="311">
        <v>0.126</v>
      </c>
      <c r="F198" s="327"/>
      <c r="G198" s="312">
        <v>0.13</v>
      </c>
    </row>
    <row r="199" spans="1:7">
      <c r="A199" s="321" t="s">
        <v>278</v>
      </c>
      <c r="B199" s="310" t="s">
        <v>2323</v>
      </c>
      <c r="C199" s="311">
        <v>0.13</v>
      </c>
      <c r="D199" s="311">
        <v>0.13</v>
      </c>
      <c r="E199" s="311">
        <v>0.13</v>
      </c>
      <c r="F199" s="311">
        <v>0.13</v>
      </c>
      <c r="G199" s="312">
        <v>0.13</v>
      </c>
    </row>
    <row r="200" spans="1:7">
      <c r="A200" s="321" t="s">
        <v>278</v>
      </c>
      <c r="B200" s="310" t="s">
        <v>2333</v>
      </c>
      <c r="C200" s="327"/>
      <c r="D200" s="327"/>
      <c r="E200" s="327"/>
      <c r="F200" s="311">
        <v>0.13</v>
      </c>
      <c r="G200" s="323"/>
    </row>
    <row r="201" spans="1:7">
      <c r="A201" s="321" t="s">
        <v>278</v>
      </c>
      <c r="B201" s="310" t="s">
        <v>2343</v>
      </c>
      <c r="C201" s="311">
        <v>0.13</v>
      </c>
      <c r="D201" s="311">
        <v>0.13</v>
      </c>
      <c r="E201" s="311">
        <v>0.13</v>
      </c>
      <c r="F201" s="311">
        <v>0.129</v>
      </c>
      <c r="G201" s="312">
        <v>0.13</v>
      </c>
    </row>
    <row r="202" spans="1:7">
      <c r="A202" s="321" t="s">
        <v>278</v>
      </c>
      <c r="B202" s="310" t="s">
        <v>2353</v>
      </c>
      <c r="C202" s="311">
        <v>0.13</v>
      </c>
      <c r="D202" s="311">
        <v>0.13</v>
      </c>
      <c r="E202" s="311">
        <v>0.13</v>
      </c>
      <c r="F202" s="311">
        <v>0.13</v>
      </c>
      <c r="G202" s="312">
        <v>0.13</v>
      </c>
    </row>
    <row r="203" spans="1:7">
      <c r="A203" s="321" t="s">
        <v>278</v>
      </c>
      <c r="B203" s="310" t="s">
        <v>2363</v>
      </c>
      <c r="C203" s="311">
        <v>0.129</v>
      </c>
      <c r="D203" s="311">
        <v>0.129</v>
      </c>
      <c r="E203" s="311">
        <v>0.13</v>
      </c>
      <c r="F203" s="311">
        <v>0.13</v>
      </c>
      <c r="G203" s="312">
        <v>0.13</v>
      </c>
    </row>
    <row r="204" spans="1:7">
      <c r="A204" s="321" t="s">
        <v>278</v>
      </c>
      <c r="B204" s="310" t="s">
        <v>2373</v>
      </c>
      <c r="C204" s="311">
        <v>0.129</v>
      </c>
      <c r="D204" s="311">
        <v>0.129</v>
      </c>
      <c r="E204" s="311">
        <v>0.123</v>
      </c>
      <c r="F204" s="311">
        <v>0.13</v>
      </c>
      <c r="G204" s="312">
        <v>0.13</v>
      </c>
    </row>
    <row r="205" spans="1:7">
      <c r="A205" s="321" t="s">
        <v>278</v>
      </c>
      <c r="B205" s="310" t="s">
        <v>2383</v>
      </c>
      <c r="C205" s="311">
        <v>0.13</v>
      </c>
      <c r="D205" s="311">
        <v>0.13</v>
      </c>
      <c r="E205" s="311">
        <v>0.13</v>
      </c>
      <c r="F205" s="311">
        <v>0.13</v>
      </c>
      <c r="G205" s="312">
        <v>0.13</v>
      </c>
    </row>
    <row r="206" spans="1:7">
      <c r="A206" s="321" t="s">
        <v>278</v>
      </c>
      <c r="B206" s="310" t="s">
        <v>2393</v>
      </c>
      <c r="C206" s="311">
        <v>0.13</v>
      </c>
      <c r="D206" s="311">
        <v>0.13</v>
      </c>
      <c r="E206" s="311">
        <v>0.13</v>
      </c>
      <c r="F206" s="311">
        <v>0.128</v>
      </c>
      <c r="G206" s="312">
        <v>0.13</v>
      </c>
    </row>
    <row r="207" spans="1:7">
      <c r="A207" s="321" t="s">
        <v>278</v>
      </c>
      <c r="B207" s="310" t="s">
        <v>2403</v>
      </c>
      <c r="C207" s="311">
        <v>0.13</v>
      </c>
      <c r="D207" s="311">
        <v>0.13</v>
      </c>
      <c r="E207" s="311">
        <v>0.13</v>
      </c>
      <c r="F207" s="311">
        <v>0.13</v>
      </c>
      <c r="G207" s="312">
        <v>0.13</v>
      </c>
    </row>
    <row r="208" spans="1:7">
      <c r="A208" s="321" t="s">
        <v>278</v>
      </c>
      <c r="B208" s="310" t="s">
        <v>2413</v>
      </c>
      <c r="C208" s="311">
        <v>0.13</v>
      </c>
      <c r="D208" s="311">
        <v>0.13</v>
      </c>
      <c r="E208" s="311">
        <v>0.13</v>
      </c>
      <c r="F208" s="311">
        <v>0.13</v>
      </c>
      <c r="G208" s="312">
        <v>0.13</v>
      </c>
    </row>
    <row r="209" spans="1:7">
      <c r="A209" s="321" t="s">
        <v>278</v>
      </c>
      <c r="B209" s="310" t="s">
        <v>2423</v>
      </c>
      <c r="C209" s="311">
        <v>0.13</v>
      </c>
      <c r="D209" s="311">
        <v>0.13</v>
      </c>
      <c r="E209" s="311">
        <v>0.13</v>
      </c>
      <c r="F209" s="311">
        <v>0.13</v>
      </c>
      <c r="G209" s="312">
        <v>0.13</v>
      </c>
    </row>
    <row r="210" spans="1:7">
      <c r="A210" s="321" t="s">
        <v>278</v>
      </c>
      <c r="B210" s="310" t="s">
        <v>2432</v>
      </c>
      <c r="C210" s="311">
        <v>0.121</v>
      </c>
      <c r="D210" s="311">
        <v>0.121</v>
      </c>
      <c r="E210" s="311">
        <v>0.125</v>
      </c>
      <c r="F210" s="311">
        <v>0.13</v>
      </c>
      <c r="G210" s="312">
        <v>0.123</v>
      </c>
    </row>
    <row r="211" spans="1:7">
      <c r="A211" s="321" t="s">
        <v>278</v>
      </c>
      <c r="B211" s="310" t="s">
        <v>2440</v>
      </c>
      <c r="C211" s="311">
        <v>0.123</v>
      </c>
      <c r="D211" s="311">
        <v>0.123</v>
      </c>
      <c r="E211" s="311">
        <v>0.127</v>
      </c>
      <c r="F211" s="311">
        <v>0.115</v>
      </c>
      <c r="G211" s="312">
        <v>0.126</v>
      </c>
    </row>
    <row r="212" spans="1:7">
      <c r="A212" s="321" t="s">
        <v>278</v>
      </c>
      <c r="B212" s="310" t="s">
        <v>2448</v>
      </c>
      <c r="C212" s="311">
        <v>0.126</v>
      </c>
      <c r="D212" s="311">
        <v>0.126</v>
      </c>
      <c r="E212" s="311">
        <v>0.13</v>
      </c>
      <c r="F212" s="311">
        <v>0.13</v>
      </c>
      <c r="G212" s="312">
        <v>0.129</v>
      </c>
    </row>
    <row r="213" spans="1:7">
      <c r="A213" s="321" t="s">
        <v>278</v>
      </c>
      <c r="B213" s="310" t="s">
        <v>2456</v>
      </c>
      <c r="C213" s="311">
        <v>0.129</v>
      </c>
      <c r="D213" s="311">
        <v>0.13</v>
      </c>
      <c r="E213" s="311">
        <v>0.127</v>
      </c>
      <c r="F213" s="311">
        <v>0.13</v>
      </c>
      <c r="G213" s="312">
        <v>0.13</v>
      </c>
    </row>
    <row r="214" spans="1:7">
      <c r="A214" s="321" t="s">
        <v>278</v>
      </c>
      <c r="B214" s="310" t="s">
        <v>2464</v>
      </c>
      <c r="C214" s="311">
        <v>0.128</v>
      </c>
      <c r="D214" s="311">
        <v>0.128</v>
      </c>
      <c r="E214" s="311">
        <v>0.13</v>
      </c>
      <c r="F214" s="311">
        <v>0.13</v>
      </c>
      <c r="G214" s="312">
        <v>0.13</v>
      </c>
    </row>
    <row r="215" spans="1:7">
      <c r="A215" s="321" t="s">
        <v>278</v>
      </c>
      <c r="B215" s="310" t="s">
        <v>2471</v>
      </c>
      <c r="C215" s="311">
        <v>0.13</v>
      </c>
      <c r="D215" s="311">
        <v>0.13</v>
      </c>
      <c r="E215" s="311">
        <v>0.13</v>
      </c>
      <c r="F215" s="311">
        <v>0.129</v>
      </c>
      <c r="G215" s="312">
        <v>0.13</v>
      </c>
    </row>
    <row r="216" spans="1:7">
      <c r="A216" s="321" t="s">
        <v>278</v>
      </c>
      <c r="B216" s="310" t="s">
        <v>2478</v>
      </c>
      <c r="C216" s="311">
        <v>0.13</v>
      </c>
      <c r="D216" s="311">
        <v>0.13</v>
      </c>
      <c r="E216" s="311">
        <v>0.13</v>
      </c>
      <c r="F216" s="311">
        <v>0.13</v>
      </c>
      <c r="G216" s="312">
        <v>0.13</v>
      </c>
    </row>
    <row r="217" spans="1:7">
      <c r="A217" s="321" t="s">
        <v>278</v>
      </c>
      <c r="B217" s="310" t="s">
        <v>2485</v>
      </c>
      <c r="C217" s="311">
        <v>0.129</v>
      </c>
      <c r="D217" s="311">
        <v>0.129</v>
      </c>
      <c r="E217" s="311">
        <v>0.13</v>
      </c>
      <c r="F217" s="311">
        <v>0.13</v>
      </c>
      <c r="G217" s="312">
        <v>0.13</v>
      </c>
    </row>
    <row r="218" spans="1:7">
      <c r="A218" s="321" t="s">
        <v>278</v>
      </c>
      <c r="B218" s="310" t="s">
        <v>2492</v>
      </c>
      <c r="C218" s="322"/>
      <c r="D218" s="322"/>
      <c r="E218" s="322"/>
      <c r="F218" s="311">
        <v>0.05</v>
      </c>
      <c r="G218" s="328"/>
    </row>
    <row r="219" spans="1:7">
      <c r="A219" s="321" t="s">
        <v>278</v>
      </c>
      <c r="B219" s="310" t="s">
        <v>2499</v>
      </c>
      <c r="C219" s="322"/>
      <c r="D219" s="322"/>
      <c r="E219" s="322"/>
      <c r="F219" s="311">
        <v>0.05</v>
      </c>
      <c r="G219" s="328"/>
    </row>
    <row r="220" spans="1:7">
      <c r="A220" s="321" t="s">
        <v>278</v>
      </c>
      <c r="B220" s="310" t="s">
        <v>2506</v>
      </c>
      <c r="C220" s="322"/>
      <c r="D220" s="322"/>
      <c r="E220" s="322"/>
      <c r="F220" s="311">
        <v>0.05</v>
      </c>
      <c r="G220" s="328"/>
    </row>
    <row r="221" spans="1:7">
      <c r="A221" s="321" t="s">
        <v>278</v>
      </c>
      <c r="B221" s="310" t="s">
        <v>2513</v>
      </c>
      <c r="C221" s="322"/>
      <c r="D221" s="322"/>
      <c r="E221" s="322"/>
      <c r="F221" s="311">
        <v>0.05</v>
      </c>
      <c r="G221" s="328"/>
    </row>
    <row r="222" spans="1:7">
      <c r="A222" s="321" t="s">
        <v>278</v>
      </c>
      <c r="B222" s="310" t="s">
        <v>2518</v>
      </c>
      <c r="C222" s="322"/>
      <c r="D222" s="322"/>
      <c r="E222" s="322"/>
      <c r="F222" s="311">
        <v>0.05</v>
      </c>
      <c r="G222" s="328"/>
    </row>
    <row r="223" spans="1:7">
      <c r="A223" s="321" t="s">
        <v>278</v>
      </c>
      <c r="B223" s="310" t="s">
        <v>2523</v>
      </c>
      <c r="C223" s="322"/>
      <c r="D223" s="322"/>
      <c r="E223" s="322"/>
      <c r="F223" s="311">
        <v>0.05</v>
      </c>
      <c r="G223" s="328"/>
    </row>
    <row r="224" spans="1:7">
      <c r="A224" s="321" t="s">
        <v>278</v>
      </c>
      <c r="B224" s="310" t="s">
        <v>2528</v>
      </c>
      <c r="C224" s="322"/>
      <c r="D224" s="322"/>
      <c r="E224" s="322"/>
      <c r="F224" s="311">
        <v>0.05</v>
      </c>
      <c r="G224" s="328"/>
    </row>
    <row r="225" spans="1:7">
      <c r="A225" s="321" t="s">
        <v>278</v>
      </c>
      <c r="B225" s="310" t="s">
        <v>2533</v>
      </c>
      <c r="C225" s="322"/>
      <c r="D225" s="322"/>
      <c r="E225" s="322"/>
      <c r="F225" s="311">
        <v>0.05</v>
      </c>
      <c r="G225" s="328"/>
    </row>
    <row r="226" spans="1:7">
      <c r="A226" s="321" t="s">
        <v>278</v>
      </c>
      <c r="B226" s="310" t="s">
        <v>2538</v>
      </c>
      <c r="C226" s="322"/>
      <c r="D226" s="322"/>
      <c r="E226" s="322"/>
      <c r="F226" s="311">
        <v>0.05</v>
      </c>
      <c r="G226" s="328"/>
    </row>
    <row r="227" spans="1:7">
      <c r="A227" s="321" t="s">
        <v>278</v>
      </c>
      <c r="B227" s="310" t="s">
        <v>2597</v>
      </c>
      <c r="C227" s="322"/>
      <c r="D227" s="322"/>
      <c r="E227" s="322"/>
      <c r="F227" s="311">
        <v>0.05</v>
      </c>
      <c r="G227" s="328"/>
    </row>
    <row r="228" spans="1:7">
      <c r="A228" s="321" t="s">
        <v>278</v>
      </c>
      <c r="B228" s="310" t="s">
        <v>2598</v>
      </c>
      <c r="C228" s="322"/>
      <c r="D228" s="322"/>
      <c r="E228" s="322"/>
      <c r="F228" s="311">
        <v>0.05</v>
      </c>
      <c r="G228" s="328"/>
    </row>
    <row r="229" spans="1:7">
      <c r="A229" s="321" t="s">
        <v>278</v>
      </c>
      <c r="B229" s="310" t="s">
        <v>2599</v>
      </c>
      <c r="C229" s="322"/>
      <c r="D229" s="322"/>
      <c r="E229" s="322"/>
      <c r="F229" s="311">
        <v>0.05</v>
      </c>
      <c r="G229" s="328"/>
    </row>
    <row r="230" spans="1:7">
      <c r="A230" s="321" t="s">
        <v>278</v>
      </c>
      <c r="B230" s="310" t="s">
        <v>2557</v>
      </c>
      <c r="C230" s="322"/>
      <c r="D230" s="322"/>
      <c r="E230" s="322"/>
      <c r="F230" s="311">
        <v>0.05</v>
      </c>
      <c r="G230" s="328"/>
    </row>
    <row r="231" spans="1:7">
      <c r="A231" s="321" t="s">
        <v>278</v>
      </c>
      <c r="B231" s="310" t="s">
        <v>2561</v>
      </c>
      <c r="C231" s="322"/>
      <c r="D231" s="322"/>
      <c r="E231" s="322"/>
      <c r="F231" s="311">
        <v>0.05</v>
      </c>
      <c r="G231" s="328"/>
    </row>
    <row r="232" spans="1:7">
      <c r="A232" s="321" t="s">
        <v>278</v>
      </c>
      <c r="B232" s="310" t="s">
        <v>2600</v>
      </c>
      <c r="C232" s="322"/>
      <c r="D232" s="322"/>
      <c r="E232" s="322"/>
      <c r="F232" s="311">
        <v>0.05</v>
      </c>
      <c r="G232" s="328"/>
    </row>
    <row r="233" spans="1:7">
      <c r="A233" s="324" t="s">
        <v>278</v>
      </c>
      <c r="B233" s="314" t="s">
        <v>2569</v>
      </c>
      <c r="C233" s="316"/>
      <c r="D233" s="316"/>
      <c r="E233" s="316"/>
      <c r="F233" s="315">
        <v>0.05</v>
      </c>
      <c r="G233" s="329"/>
    </row>
    <row r="234" spans="1:7">
      <c r="A234" s="320" t="s">
        <v>284</v>
      </c>
      <c r="B234" s="306" t="s">
        <v>2220</v>
      </c>
      <c r="C234" s="307">
        <v>0.13</v>
      </c>
      <c r="D234" s="307">
        <v>0.128</v>
      </c>
      <c r="E234" s="307">
        <v>0.14199999999999999</v>
      </c>
      <c r="F234" s="307">
        <v>0.14699999999999999</v>
      </c>
      <c r="G234" s="308">
        <v>0.14000000000000001</v>
      </c>
    </row>
    <row r="235" spans="1:7">
      <c r="A235" s="321" t="s">
        <v>284</v>
      </c>
      <c r="B235" s="310" t="s">
        <v>2233</v>
      </c>
      <c r="C235" s="311">
        <v>0.13600000000000001</v>
      </c>
      <c r="D235" s="311">
        <v>0.13800000000000001</v>
      </c>
      <c r="E235" s="311">
        <v>0.14499999999999999</v>
      </c>
      <c r="F235" s="311">
        <v>0.14299999999999999</v>
      </c>
      <c r="G235" s="312">
        <v>0.14099999999999999</v>
      </c>
    </row>
    <row r="236" spans="1:7">
      <c r="A236" s="321" t="s">
        <v>284</v>
      </c>
      <c r="B236" s="310" t="s">
        <v>2247</v>
      </c>
      <c r="C236" s="311">
        <v>0.15</v>
      </c>
      <c r="D236" s="311">
        <v>0.15</v>
      </c>
      <c r="E236" s="311">
        <v>0.15</v>
      </c>
      <c r="F236" s="311">
        <v>0.15</v>
      </c>
      <c r="G236" s="312">
        <v>0.15</v>
      </c>
    </row>
    <row r="237" spans="1:7">
      <c r="A237" s="321" t="s">
        <v>284</v>
      </c>
      <c r="B237" s="310" t="s">
        <v>2259</v>
      </c>
      <c r="C237" s="311">
        <v>0.15</v>
      </c>
      <c r="D237" s="311">
        <v>0.15</v>
      </c>
      <c r="E237" s="311">
        <v>0.15</v>
      </c>
      <c r="F237" s="311">
        <v>0.15</v>
      </c>
      <c r="G237" s="312">
        <v>0.15</v>
      </c>
    </row>
    <row r="238" spans="1:7">
      <c r="A238" s="321" t="s">
        <v>284</v>
      </c>
      <c r="B238" s="310" t="s">
        <v>2271</v>
      </c>
      <c r="C238" s="311">
        <v>0.14899999999999999</v>
      </c>
      <c r="D238" s="311">
        <v>0.14899999999999999</v>
      </c>
      <c r="E238" s="311">
        <v>0.15</v>
      </c>
      <c r="F238" s="311">
        <v>0.15</v>
      </c>
      <c r="G238" s="312">
        <v>0.15</v>
      </c>
    </row>
    <row r="239" spans="1:7">
      <c r="A239" s="321" t="s">
        <v>284</v>
      </c>
      <c r="B239" s="310" t="s">
        <v>2282</v>
      </c>
      <c r="C239" s="311">
        <v>0.15</v>
      </c>
      <c r="D239" s="311">
        <v>0.15</v>
      </c>
      <c r="E239" s="311">
        <v>0.15</v>
      </c>
      <c r="F239" s="311">
        <v>0.15</v>
      </c>
      <c r="G239" s="312">
        <v>0.15</v>
      </c>
    </row>
    <row r="240" spans="1:7">
      <c r="A240" s="321" t="s">
        <v>284</v>
      </c>
      <c r="B240" s="310" t="s">
        <v>2293</v>
      </c>
      <c r="C240" s="311">
        <v>0.15</v>
      </c>
      <c r="D240" s="311">
        <v>0.15</v>
      </c>
      <c r="E240" s="311">
        <v>0.15</v>
      </c>
      <c r="F240" s="311">
        <v>0.15</v>
      </c>
      <c r="G240" s="312">
        <v>0.15</v>
      </c>
    </row>
    <row r="241" spans="1:7">
      <c r="A241" s="321" t="s">
        <v>284</v>
      </c>
      <c r="B241" s="310" t="s">
        <v>2304</v>
      </c>
      <c r="C241" s="311">
        <v>0.14099999999999999</v>
      </c>
      <c r="D241" s="311">
        <v>0.14199999999999999</v>
      </c>
      <c r="E241" s="311">
        <v>0.14899999999999999</v>
      </c>
      <c r="F241" s="311">
        <v>0.15</v>
      </c>
      <c r="G241" s="312">
        <v>0.14399999999999999</v>
      </c>
    </row>
    <row r="242" spans="1:7">
      <c r="A242" s="321" t="s">
        <v>284</v>
      </c>
      <c r="B242" s="310" t="s">
        <v>2314</v>
      </c>
      <c r="C242" s="311">
        <v>0.14099999999999999</v>
      </c>
      <c r="D242" s="311">
        <v>0.14199999999999999</v>
      </c>
      <c r="E242" s="311">
        <v>0.14799999999999999</v>
      </c>
      <c r="F242" s="311">
        <v>0.127</v>
      </c>
      <c r="G242" s="312">
        <v>0.14399999999999999</v>
      </c>
    </row>
    <row r="243" spans="1:7">
      <c r="A243" s="321" t="s">
        <v>284</v>
      </c>
      <c r="B243" s="310" t="s">
        <v>2324</v>
      </c>
      <c r="C243" s="311">
        <v>0.14699999999999999</v>
      </c>
      <c r="D243" s="311">
        <v>0.14699999999999999</v>
      </c>
      <c r="E243" s="311">
        <v>0.15</v>
      </c>
      <c r="F243" s="311">
        <v>0.15</v>
      </c>
      <c r="G243" s="312">
        <v>0.14899999999999999</v>
      </c>
    </row>
    <row r="244" spans="1:7">
      <c r="A244" s="321" t="s">
        <v>284</v>
      </c>
      <c r="B244" s="310" t="s">
        <v>2334</v>
      </c>
      <c r="C244" s="311">
        <v>0.15</v>
      </c>
      <c r="D244" s="311">
        <v>0.15</v>
      </c>
      <c r="E244" s="311">
        <v>0.15</v>
      </c>
      <c r="F244" s="311">
        <v>0.15</v>
      </c>
      <c r="G244" s="312">
        <v>0.15</v>
      </c>
    </row>
    <row r="245" spans="1:7">
      <c r="A245" s="321" t="s">
        <v>284</v>
      </c>
      <c r="B245" s="310" t="s">
        <v>2344</v>
      </c>
      <c r="C245" s="311">
        <v>0.14199999999999999</v>
      </c>
      <c r="D245" s="311">
        <v>0.14199999999999999</v>
      </c>
      <c r="E245" s="311">
        <v>0.15</v>
      </c>
      <c r="F245" s="311">
        <v>0.15</v>
      </c>
      <c r="G245" s="312">
        <v>0.14499999999999999</v>
      </c>
    </row>
    <row r="246" spans="1:7">
      <c r="A246" s="321" t="s">
        <v>284</v>
      </c>
      <c r="B246" s="310" t="s">
        <v>2354</v>
      </c>
      <c r="C246" s="311">
        <v>0.14199999999999999</v>
      </c>
      <c r="D246" s="311">
        <v>0.14299999999999999</v>
      </c>
      <c r="E246" s="311">
        <v>0.15</v>
      </c>
      <c r="F246" s="311">
        <v>0.14199999999999999</v>
      </c>
      <c r="G246" s="312">
        <v>0.14399999999999999</v>
      </c>
    </row>
    <row r="247" spans="1:7">
      <c r="A247" s="321" t="s">
        <v>284</v>
      </c>
      <c r="B247" s="310" t="s">
        <v>2364</v>
      </c>
      <c r="C247" s="311">
        <v>0.14899999999999999</v>
      </c>
      <c r="D247" s="311">
        <v>0.14899999999999999</v>
      </c>
      <c r="E247" s="311">
        <v>0.15</v>
      </c>
      <c r="F247" s="311">
        <v>0.15</v>
      </c>
      <c r="G247" s="312">
        <v>0.15</v>
      </c>
    </row>
    <row r="248" spans="1:7">
      <c r="A248" s="321" t="s">
        <v>284</v>
      </c>
      <c r="B248" s="310" t="s">
        <v>2374</v>
      </c>
      <c r="C248" s="311">
        <v>0.14399999999999999</v>
      </c>
      <c r="D248" s="311">
        <v>0.14399999999999999</v>
      </c>
      <c r="E248" s="311">
        <v>0.14899999999999999</v>
      </c>
      <c r="F248" s="311">
        <v>0.14799999999999999</v>
      </c>
      <c r="G248" s="312">
        <v>0.14599999999999999</v>
      </c>
    </row>
    <row r="249" spans="1:7">
      <c r="A249" s="321" t="s">
        <v>284</v>
      </c>
      <c r="B249" s="310" t="s">
        <v>2384</v>
      </c>
      <c r="C249" s="311">
        <v>0.14000000000000001</v>
      </c>
      <c r="D249" s="311">
        <v>0.14000000000000001</v>
      </c>
      <c r="E249" s="311">
        <v>0.14699999999999999</v>
      </c>
      <c r="F249" s="311">
        <v>0.14899999999999999</v>
      </c>
      <c r="G249" s="312">
        <v>0.14199999999999999</v>
      </c>
    </row>
    <row r="250" spans="1:7">
      <c r="A250" s="321" t="s">
        <v>284</v>
      </c>
      <c r="B250" s="310" t="s">
        <v>2394</v>
      </c>
      <c r="C250" s="311">
        <v>0.14399999999999999</v>
      </c>
      <c r="D250" s="311">
        <v>0.14299999999999999</v>
      </c>
      <c r="E250" s="311">
        <v>0.14899999999999999</v>
      </c>
      <c r="F250" s="311">
        <v>0.15</v>
      </c>
      <c r="G250" s="312">
        <v>0.14599999999999999</v>
      </c>
    </row>
    <row r="251" spans="1:7">
      <c r="A251" s="321" t="s">
        <v>284</v>
      </c>
      <c r="B251" s="310" t="s">
        <v>2404</v>
      </c>
      <c r="C251" s="327"/>
      <c r="D251" s="322"/>
      <c r="E251" s="322"/>
      <c r="F251" s="311">
        <v>0.1</v>
      </c>
      <c r="G251" s="328"/>
    </row>
    <row r="252" spans="1:7">
      <c r="A252" s="321" t="s">
        <v>284</v>
      </c>
      <c r="B252" s="310" t="s">
        <v>2414</v>
      </c>
      <c r="C252" s="311">
        <v>0.14399999999999999</v>
      </c>
      <c r="D252" s="311">
        <v>0.14399999999999999</v>
      </c>
      <c r="E252" s="311">
        <v>0.15</v>
      </c>
      <c r="F252" s="311">
        <v>0.14899999999999999</v>
      </c>
      <c r="G252" s="312">
        <v>0.14599999999999999</v>
      </c>
    </row>
    <row r="253" spans="1:7">
      <c r="A253" s="321" t="s">
        <v>284</v>
      </c>
      <c r="B253" s="310" t="s">
        <v>2424</v>
      </c>
      <c r="C253" s="311">
        <v>0.14199999999999999</v>
      </c>
      <c r="D253" s="311">
        <v>0.14199999999999999</v>
      </c>
      <c r="E253" s="311">
        <v>0.14599999999999999</v>
      </c>
      <c r="F253" s="311">
        <v>0.14799999999999999</v>
      </c>
      <c r="G253" s="312">
        <v>0.14499999999999999</v>
      </c>
    </row>
    <row r="254" spans="1:7">
      <c r="A254" s="321" t="s">
        <v>284</v>
      </c>
      <c r="B254" s="310" t="s">
        <v>2433</v>
      </c>
      <c r="C254" s="311">
        <v>0.15</v>
      </c>
      <c r="D254" s="311">
        <v>0.15</v>
      </c>
      <c r="E254" s="311">
        <v>0.15</v>
      </c>
      <c r="F254" s="311">
        <v>0.15</v>
      </c>
      <c r="G254" s="312">
        <v>0.15</v>
      </c>
    </row>
    <row r="255" spans="1:7">
      <c r="A255" s="321" t="s">
        <v>284</v>
      </c>
      <c r="B255" s="310" t="s">
        <v>2441</v>
      </c>
      <c r="C255" s="311">
        <v>0.14299999999999999</v>
      </c>
      <c r="D255" s="311">
        <v>0.14299999999999999</v>
      </c>
      <c r="E255" s="311">
        <v>0.15</v>
      </c>
      <c r="F255" s="311">
        <v>0.15</v>
      </c>
      <c r="G255" s="312">
        <v>0.14499999999999999</v>
      </c>
    </row>
    <row r="256" spans="1:7">
      <c r="A256" s="321" t="s">
        <v>284</v>
      </c>
      <c r="B256" s="310" t="s">
        <v>2449</v>
      </c>
      <c r="C256" s="311">
        <v>0.15</v>
      </c>
      <c r="D256" s="311">
        <v>0.15</v>
      </c>
      <c r="E256" s="311">
        <v>0.15</v>
      </c>
      <c r="F256" s="311">
        <v>0.14599999999999999</v>
      </c>
      <c r="G256" s="312">
        <v>0.15</v>
      </c>
    </row>
    <row r="257" spans="1:7">
      <c r="A257" s="321" t="s">
        <v>284</v>
      </c>
      <c r="B257" s="310" t="s">
        <v>2457</v>
      </c>
      <c r="C257" s="311">
        <v>0.14199999999999999</v>
      </c>
      <c r="D257" s="311">
        <v>0.14299999999999999</v>
      </c>
      <c r="E257" s="311">
        <v>0.14799999999999999</v>
      </c>
      <c r="F257" s="311">
        <v>0.15</v>
      </c>
      <c r="G257" s="312">
        <v>0.14499999999999999</v>
      </c>
    </row>
    <row r="258" spans="1:7">
      <c r="A258" s="321" t="s">
        <v>284</v>
      </c>
      <c r="B258" s="310" t="s">
        <v>2465</v>
      </c>
      <c r="C258" s="311">
        <v>0.14299999999999999</v>
      </c>
      <c r="D258" s="311">
        <v>0.14299999999999999</v>
      </c>
      <c r="E258" s="311">
        <v>0.15</v>
      </c>
      <c r="F258" s="311">
        <v>0.14799999999999999</v>
      </c>
      <c r="G258" s="312">
        <v>0.14599999999999999</v>
      </c>
    </row>
    <row r="259" spans="1:7">
      <c r="A259" s="321" t="s">
        <v>284</v>
      </c>
      <c r="B259" s="310" t="s">
        <v>2472</v>
      </c>
      <c r="C259" s="311">
        <v>0.14399999999999999</v>
      </c>
      <c r="D259" s="311">
        <v>0.14399999999999999</v>
      </c>
      <c r="E259" s="311">
        <v>0.14899999999999999</v>
      </c>
      <c r="F259" s="311">
        <v>0.14699999999999999</v>
      </c>
      <c r="G259" s="312">
        <v>0.14599999999999999</v>
      </c>
    </row>
    <row r="260" spans="1:7">
      <c r="A260" s="321" t="s">
        <v>284</v>
      </c>
      <c r="B260" s="310" t="s">
        <v>2479</v>
      </c>
      <c r="C260" s="311">
        <v>0.109</v>
      </c>
      <c r="D260" s="311">
        <v>0.111</v>
      </c>
      <c r="E260" s="311">
        <v>0.13100000000000001</v>
      </c>
      <c r="F260" s="311">
        <v>0.126</v>
      </c>
      <c r="G260" s="312">
        <v>0.11899999999999999</v>
      </c>
    </row>
    <row r="261" spans="1:7">
      <c r="A261" s="321" t="s">
        <v>284</v>
      </c>
      <c r="B261" s="310" t="s">
        <v>2486</v>
      </c>
      <c r="C261" s="311">
        <v>0.1</v>
      </c>
      <c r="D261" s="311">
        <v>0.1</v>
      </c>
      <c r="E261" s="311">
        <v>0.11799999999999999</v>
      </c>
      <c r="F261" s="311">
        <v>0.108</v>
      </c>
      <c r="G261" s="312">
        <v>0.107</v>
      </c>
    </row>
    <row r="262" spans="1:7">
      <c r="A262" s="321" t="s">
        <v>284</v>
      </c>
      <c r="B262" s="310" t="s">
        <v>2493</v>
      </c>
      <c r="C262" s="311">
        <v>0.1</v>
      </c>
      <c r="D262" s="311">
        <v>0.1</v>
      </c>
      <c r="E262" s="311">
        <v>0.1</v>
      </c>
      <c r="F262" s="311">
        <v>0.14099999999999999</v>
      </c>
      <c r="G262" s="312">
        <v>0.1</v>
      </c>
    </row>
    <row r="263" spans="1:7">
      <c r="A263" s="321" t="s">
        <v>284</v>
      </c>
      <c r="B263" s="310" t="s">
        <v>2500</v>
      </c>
      <c r="C263" s="311">
        <v>0.14799999999999999</v>
      </c>
      <c r="D263" s="311">
        <v>0.14799999999999999</v>
      </c>
      <c r="E263" s="311">
        <v>0.15</v>
      </c>
      <c r="F263" s="311">
        <v>0.14699999999999999</v>
      </c>
      <c r="G263" s="312">
        <v>0.15</v>
      </c>
    </row>
    <row r="264" spans="1:7">
      <c r="A264" s="321" t="s">
        <v>284</v>
      </c>
      <c r="B264" s="310" t="s">
        <v>2507</v>
      </c>
      <c r="C264" s="311">
        <v>0.14299999999999999</v>
      </c>
      <c r="D264" s="311">
        <v>0.14299999999999999</v>
      </c>
      <c r="E264" s="311">
        <v>0.15</v>
      </c>
      <c r="F264" s="311">
        <v>0.14899999999999999</v>
      </c>
      <c r="G264" s="312">
        <v>0.14599999999999999</v>
      </c>
    </row>
    <row r="265" spans="1:7">
      <c r="A265" s="321" t="s">
        <v>284</v>
      </c>
      <c r="B265" s="310" t="s">
        <v>2514</v>
      </c>
      <c r="C265" s="322"/>
      <c r="D265" s="322"/>
      <c r="E265" s="322"/>
      <c r="F265" s="311">
        <v>0.05</v>
      </c>
      <c r="G265" s="328"/>
    </row>
    <row r="266" spans="1:7">
      <c r="A266" s="321" t="s">
        <v>284</v>
      </c>
      <c r="B266" s="310" t="s">
        <v>2519</v>
      </c>
      <c r="C266" s="322"/>
      <c r="D266" s="322"/>
      <c r="E266" s="322"/>
      <c r="F266" s="311">
        <v>0.05</v>
      </c>
      <c r="G266" s="328"/>
    </row>
    <row r="267" spans="1:7">
      <c r="A267" s="321" t="s">
        <v>284</v>
      </c>
      <c r="B267" s="310" t="s">
        <v>2524</v>
      </c>
      <c r="C267" s="322"/>
      <c r="D267" s="322"/>
      <c r="E267" s="322"/>
      <c r="F267" s="311">
        <v>0.05</v>
      </c>
      <c r="G267" s="328"/>
    </row>
    <row r="268" spans="1:7">
      <c r="A268" s="321" t="s">
        <v>284</v>
      </c>
      <c r="B268" s="310" t="s">
        <v>2529</v>
      </c>
      <c r="C268" s="322"/>
      <c r="D268" s="322"/>
      <c r="E268" s="322"/>
      <c r="F268" s="311">
        <v>0.05</v>
      </c>
      <c r="G268" s="328"/>
    </row>
    <row r="269" spans="1:7">
      <c r="A269" s="321" t="s">
        <v>284</v>
      </c>
      <c r="B269" s="310" t="s">
        <v>2534</v>
      </c>
      <c r="C269" s="322"/>
      <c r="D269" s="322"/>
      <c r="E269" s="322"/>
      <c r="F269" s="311">
        <v>0.05</v>
      </c>
      <c r="G269" s="328"/>
    </row>
    <row r="270" spans="1:7">
      <c r="A270" s="321" t="s">
        <v>284</v>
      </c>
      <c r="B270" s="310" t="s">
        <v>2539</v>
      </c>
      <c r="C270" s="322"/>
      <c r="D270" s="322"/>
      <c r="E270" s="322"/>
      <c r="F270" s="311">
        <v>0.05</v>
      </c>
      <c r="G270" s="328"/>
    </row>
    <row r="271" spans="1:7">
      <c r="A271" s="321" t="s">
        <v>284</v>
      </c>
      <c r="B271" s="310" t="s">
        <v>2544</v>
      </c>
      <c r="C271" s="322"/>
      <c r="D271" s="322"/>
      <c r="E271" s="322"/>
      <c r="F271" s="311">
        <v>0.05</v>
      </c>
      <c r="G271" s="328"/>
    </row>
    <row r="272" spans="1:7">
      <c r="A272" s="321" t="s">
        <v>284</v>
      </c>
      <c r="B272" s="310" t="s">
        <v>2549</v>
      </c>
      <c r="C272" s="322"/>
      <c r="D272" s="322"/>
      <c r="E272" s="322"/>
      <c r="F272" s="311">
        <v>0.05</v>
      </c>
      <c r="G272" s="328"/>
    </row>
    <row r="273" spans="1:7">
      <c r="A273" s="321" t="s">
        <v>284</v>
      </c>
      <c r="B273" s="310" t="s">
        <v>2554</v>
      </c>
      <c r="C273" s="322"/>
      <c r="D273" s="322"/>
      <c r="E273" s="322"/>
      <c r="F273" s="311">
        <v>0.05</v>
      </c>
      <c r="G273" s="328"/>
    </row>
    <row r="274" spans="1:7">
      <c r="A274" s="321" t="s">
        <v>284</v>
      </c>
      <c r="B274" s="310" t="s">
        <v>2558</v>
      </c>
      <c r="C274" s="322"/>
      <c r="D274" s="322"/>
      <c r="E274" s="322"/>
      <c r="F274" s="311">
        <v>0.05</v>
      </c>
      <c r="G274" s="328"/>
    </row>
    <row r="275" spans="1:7">
      <c r="A275" s="321" t="s">
        <v>284</v>
      </c>
      <c r="B275" s="310" t="s">
        <v>2562</v>
      </c>
      <c r="C275" s="322"/>
      <c r="D275" s="322"/>
      <c r="E275" s="322"/>
      <c r="F275" s="311">
        <v>0.05</v>
      </c>
      <c r="G275" s="328"/>
    </row>
    <row r="276" spans="1:7">
      <c r="A276" s="324" t="s">
        <v>284</v>
      </c>
      <c r="B276" s="314" t="s">
        <v>2566</v>
      </c>
      <c r="C276" s="316"/>
      <c r="D276" s="316"/>
      <c r="E276" s="316"/>
      <c r="F276" s="315">
        <v>0.05</v>
      </c>
      <c r="G276" s="329"/>
    </row>
    <row r="277" spans="1:7">
      <c r="A277" s="320" t="s">
        <v>288</v>
      </c>
      <c r="B277" s="306" t="s">
        <v>2221</v>
      </c>
      <c r="C277" s="307">
        <v>0.15</v>
      </c>
      <c r="D277" s="307">
        <v>0.15</v>
      </c>
      <c r="E277" s="307">
        <v>0.15</v>
      </c>
      <c r="F277" s="307">
        <v>0.15</v>
      </c>
      <c r="G277" s="308">
        <v>0.15</v>
      </c>
    </row>
    <row r="278" spans="1:7">
      <c r="A278" s="321" t="s">
        <v>288</v>
      </c>
      <c r="B278" s="310" t="s">
        <v>2234</v>
      </c>
      <c r="C278" s="311">
        <v>0.15</v>
      </c>
      <c r="D278" s="311">
        <v>0.15</v>
      </c>
      <c r="E278" s="311">
        <v>0.15</v>
      </c>
      <c r="F278" s="311">
        <v>0.15</v>
      </c>
      <c r="G278" s="312">
        <v>0.15</v>
      </c>
    </row>
    <row r="279" spans="1:7">
      <c r="A279" s="321" t="s">
        <v>288</v>
      </c>
      <c r="B279" s="310" t="s">
        <v>2248</v>
      </c>
      <c r="C279" s="311">
        <v>0.15</v>
      </c>
      <c r="D279" s="311">
        <v>0.15</v>
      </c>
      <c r="E279" s="311">
        <v>0.15</v>
      </c>
      <c r="F279" s="311">
        <v>0.15</v>
      </c>
      <c r="G279" s="312">
        <v>0.15</v>
      </c>
    </row>
    <row r="280" spans="1:7">
      <c r="A280" s="321" t="s">
        <v>288</v>
      </c>
      <c r="B280" s="310" t="s">
        <v>2260</v>
      </c>
      <c r="C280" s="311">
        <v>0.15</v>
      </c>
      <c r="D280" s="311">
        <v>0.15</v>
      </c>
      <c r="E280" s="311">
        <v>0.15</v>
      </c>
      <c r="F280" s="311">
        <v>0.15</v>
      </c>
      <c r="G280" s="312">
        <v>0.15</v>
      </c>
    </row>
    <row r="281" spans="1:7">
      <c r="A281" s="321" t="s">
        <v>288</v>
      </c>
      <c r="B281" s="310" t="s">
        <v>2272</v>
      </c>
      <c r="C281" s="311">
        <v>0.15</v>
      </c>
      <c r="D281" s="311">
        <v>0.15</v>
      </c>
      <c r="E281" s="311">
        <v>0.15</v>
      </c>
      <c r="F281" s="311">
        <v>0.15</v>
      </c>
      <c r="G281" s="312">
        <v>0.15</v>
      </c>
    </row>
    <row r="282" spans="1:7">
      <c r="A282" s="321" t="s">
        <v>288</v>
      </c>
      <c r="B282" s="310" t="s">
        <v>2283</v>
      </c>
      <c r="C282" s="311">
        <v>0.15</v>
      </c>
      <c r="D282" s="311">
        <v>0.15</v>
      </c>
      <c r="E282" s="311">
        <v>0.15</v>
      </c>
      <c r="F282" s="311">
        <v>0.14499999999999999</v>
      </c>
      <c r="G282" s="312">
        <v>0.15</v>
      </c>
    </row>
    <row r="283" spans="1:7">
      <c r="A283" s="321" t="s">
        <v>288</v>
      </c>
      <c r="B283" s="310" t="s">
        <v>2294</v>
      </c>
      <c r="C283" s="311">
        <v>0.15</v>
      </c>
      <c r="D283" s="311">
        <v>0.15</v>
      </c>
      <c r="E283" s="311">
        <v>0.15</v>
      </c>
      <c r="F283" s="311">
        <v>0.14199999999999999</v>
      </c>
      <c r="G283" s="312">
        <v>0.15</v>
      </c>
    </row>
    <row r="284" spans="1:7">
      <c r="A284" s="321" t="s">
        <v>288</v>
      </c>
      <c r="B284" s="310" t="s">
        <v>2305</v>
      </c>
      <c r="C284" s="311">
        <v>0.15</v>
      </c>
      <c r="D284" s="311">
        <v>0.15</v>
      </c>
      <c r="E284" s="311">
        <v>0.15</v>
      </c>
      <c r="F284" s="311">
        <v>0.15</v>
      </c>
      <c r="G284" s="312">
        <v>0.15</v>
      </c>
    </row>
    <row r="285" spans="1:7">
      <c r="A285" s="321" t="s">
        <v>288</v>
      </c>
      <c r="B285" s="310" t="s">
        <v>2315</v>
      </c>
      <c r="C285" s="311">
        <v>0.15</v>
      </c>
      <c r="D285" s="311">
        <v>0.15</v>
      </c>
      <c r="E285" s="311">
        <v>0.15</v>
      </c>
      <c r="F285" s="311">
        <v>0.15</v>
      </c>
      <c r="G285" s="312">
        <v>0.15</v>
      </c>
    </row>
    <row r="286" spans="1:7">
      <c r="A286" s="321" t="s">
        <v>288</v>
      </c>
      <c r="B286" s="310" t="s">
        <v>2325</v>
      </c>
      <c r="C286" s="311">
        <v>0.14499999999999999</v>
      </c>
      <c r="D286" s="311">
        <v>0.14499999999999999</v>
      </c>
      <c r="E286" s="311">
        <v>0.15</v>
      </c>
      <c r="F286" s="311">
        <v>0.14099999999999999</v>
      </c>
      <c r="G286" s="312">
        <v>0.14499999999999999</v>
      </c>
    </row>
    <row r="287" spans="1:7">
      <c r="A287" s="321" t="s">
        <v>288</v>
      </c>
      <c r="B287" s="310" t="s">
        <v>2335</v>
      </c>
      <c r="C287" s="311">
        <v>0.11</v>
      </c>
      <c r="D287" s="311">
        <v>0.111</v>
      </c>
      <c r="E287" s="311">
        <v>0.14099999999999999</v>
      </c>
      <c r="F287" s="311">
        <v>0.11</v>
      </c>
      <c r="G287" s="312">
        <v>0.12</v>
      </c>
    </row>
    <row r="288" spans="1:7">
      <c r="A288" s="321" t="s">
        <v>288</v>
      </c>
      <c r="B288" s="310" t="s">
        <v>2345</v>
      </c>
      <c r="C288" s="311">
        <v>0.14199999999999999</v>
      </c>
      <c r="D288" s="311">
        <v>0.14299999999999999</v>
      </c>
      <c r="E288" s="311">
        <v>0.15</v>
      </c>
      <c r="F288" s="311">
        <v>0.14199999999999999</v>
      </c>
      <c r="G288" s="312">
        <v>0.14399999999999999</v>
      </c>
    </row>
    <row r="289" spans="1:7">
      <c r="A289" s="321" t="s">
        <v>288</v>
      </c>
      <c r="B289" s="310" t="s">
        <v>2355</v>
      </c>
      <c r="C289" s="311">
        <v>0.14299999999999999</v>
      </c>
      <c r="D289" s="311">
        <v>0.14299999999999999</v>
      </c>
      <c r="E289" s="311">
        <v>0.14799999999999999</v>
      </c>
      <c r="F289" s="311">
        <v>0.14399999999999999</v>
      </c>
      <c r="G289" s="312">
        <v>0.14399999999999999</v>
      </c>
    </row>
    <row r="290" spans="1:7">
      <c r="A290" s="321" t="s">
        <v>288</v>
      </c>
      <c r="B290" s="310" t="s">
        <v>2365</v>
      </c>
      <c r="C290" s="311">
        <v>0.14799999999999999</v>
      </c>
      <c r="D290" s="311">
        <v>0.14899999999999999</v>
      </c>
      <c r="E290" s="311">
        <v>0.15</v>
      </c>
      <c r="F290" s="311">
        <v>0.127</v>
      </c>
      <c r="G290" s="312">
        <v>0.15</v>
      </c>
    </row>
    <row r="291" spans="1:7">
      <c r="A291" s="321" t="s">
        <v>288</v>
      </c>
      <c r="B291" s="310" t="s">
        <v>2375</v>
      </c>
      <c r="C291" s="311">
        <v>0.15</v>
      </c>
      <c r="D291" s="311">
        <v>0.15</v>
      </c>
      <c r="E291" s="311">
        <v>0.15</v>
      </c>
      <c r="F291" s="311">
        <v>0.14899999999999999</v>
      </c>
      <c r="G291" s="312">
        <v>0.15</v>
      </c>
    </row>
    <row r="292" spans="1:7">
      <c r="A292" s="321" t="s">
        <v>288</v>
      </c>
      <c r="B292" s="310" t="s">
        <v>2385</v>
      </c>
      <c r="C292" s="311">
        <v>0.15</v>
      </c>
      <c r="D292" s="311">
        <v>0.15</v>
      </c>
      <c r="E292" s="311">
        <v>0.15</v>
      </c>
      <c r="F292" s="311">
        <v>0.14399999999999999</v>
      </c>
      <c r="G292" s="312">
        <v>0.15</v>
      </c>
    </row>
    <row r="293" spans="1:7">
      <c r="A293" s="321" t="s">
        <v>288</v>
      </c>
      <c r="B293" s="310" t="s">
        <v>2395</v>
      </c>
      <c r="C293" s="311">
        <v>0.15</v>
      </c>
      <c r="D293" s="311">
        <v>0.15</v>
      </c>
      <c r="E293" s="311">
        <v>0.15</v>
      </c>
      <c r="F293" s="311">
        <v>0.14499999999999999</v>
      </c>
      <c r="G293" s="312">
        <v>0.15</v>
      </c>
    </row>
    <row r="294" spans="1:7">
      <c r="A294" s="321" t="s">
        <v>288</v>
      </c>
      <c r="B294" s="310" t="s">
        <v>2405</v>
      </c>
      <c r="C294" s="311">
        <v>0.15</v>
      </c>
      <c r="D294" s="311">
        <v>0.15</v>
      </c>
      <c r="E294" s="311">
        <v>0.15</v>
      </c>
      <c r="F294" s="311">
        <v>0.14899999999999999</v>
      </c>
      <c r="G294" s="312">
        <v>0.15</v>
      </c>
    </row>
    <row r="295" spans="1:7">
      <c r="A295" s="321" t="s">
        <v>288</v>
      </c>
      <c r="B295" s="310" t="s">
        <v>2415</v>
      </c>
      <c r="C295" s="311">
        <v>0.15</v>
      </c>
      <c r="D295" s="311">
        <v>0.15</v>
      </c>
      <c r="E295" s="311">
        <v>0.15</v>
      </c>
      <c r="F295" s="311">
        <v>0.14799999999999999</v>
      </c>
      <c r="G295" s="312">
        <v>0.15</v>
      </c>
    </row>
    <row r="296" spans="1:7">
      <c r="A296" s="321" t="s">
        <v>288</v>
      </c>
      <c r="B296" s="310" t="s">
        <v>2425</v>
      </c>
      <c r="C296" s="311">
        <v>0.15</v>
      </c>
      <c r="D296" s="311">
        <v>0.15</v>
      </c>
      <c r="E296" s="311">
        <v>0.15</v>
      </c>
      <c r="F296" s="311">
        <v>0.14399999999999999</v>
      </c>
      <c r="G296" s="312">
        <v>0.15</v>
      </c>
    </row>
    <row r="297" spans="1:7">
      <c r="A297" s="321" t="s">
        <v>288</v>
      </c>
      <c r="B297" s="310" t="s">
        <v>2434</v>
      </c>
      <c r="C297" s="311">
        <v>0.15</v>
      </c>
      <c r="D297" s="311">
        <v>0.15</v>
      </c>
      <c r="E297" s="311">
        <v>0.15</v>
      </c>
      <c r="F297" s="311">
        <v>0.14499999999999999</v>
      </c>
      <c r="G297" s="312">
        <v>0.15</v>
      </c>
    </row>
    <row r="298" spans="1:7">
      <c r="A298" s="321" t="s">
        <v>288</v>
      </c>
      <c r="B298" s="310" t="s">
        <v>2442</v>
      </c>
      <c r="C298" s="311">
        <v>0.15</v>
      </c>
      <c r="D298" s="311">
        <v>0.15</v>
      </c>
      <c r="E298" s="311">
        <v>0.15</v>
      </c>
      <c r="F298" s="311">
        <v>0.15</v>
      </c>
      <c r="G298" s="312">
        <v>0.15</v>
      </c>
    </row>
    <row r="299" spans="1:7">
      <c r="A299" s="321" t="s">
        <v>288</v>
      </c>
      <c r="B299" s="330" t="s">
        <v>2450</v>
      </c>
      <c r="C299" s="311">
        <v>0.15</v>
      </c>
      <c r="D299" s="311">
        <v>0.15</v>
      </c>
      <c r="E299" s="311">
        <v>0.15</v>
      </c>
      <c r="F299" s="311">
        <v>0.14499999999999999</v>
      </c>
      <c r="G299" s="312">
        <v>0.15</v>
      </c>
    </row>
    <row r="300" spans="1:7">
      <c r="A300" s="321" t="s">
        <v>288</v>
      </c>
      <c r="B300" s="330" t="s">
        <v>2458</v>
      </c>
      <c r="C300" s="311">
        <v>0.15</v>
      </c>
      <c r="D300" s="311">
        <v>0.15</v>
      </c>
      <c r="E300" s="311">
        <v>0.15</v>
      </c>
      <c r="F300" s="311">
        <v>0.14599999999999999</v>
      </c>
      <c r="G300" s="312">
        <v>0.15</v>
      </c>
    </row>
    <row r="301" spans="1:7">
      <c r="A301" s="321" t="s">
        <v>288</v>
      </c>
      <c r="B301" s="330" t="s">
        <v>2466</v>
      </c>
      <c r="C301" s="311">
        <v>0.126</v>
      </c>
      <c r="D301" s="311">
        <v>0.124</v>
      </c>
      <c r="E301" s="311">
        <v>0.14099999999999999</v>
      </c>
      <c r="F301" s="311">
        <v>0.14399999999999999</v>
      </c>
      <c r="G301" s="312">
        <v>0.13</v>
      </c>
    </row>
    <row r="302" spans="1:7">
      <c r="A302" s="321" t="s">
        <v>288</v>
      </c>
      <c r="B302" s="310" t="s">
        <v>2473</v>
      </c>
      <c r="C302" s="311">
        <v>0.15</v>
      </c>
      <c r="D302" s="311">
        <v>0.15</v>
      </c>
      <c r="E302" s="311">
        <v>0.15</v>
      </c>
      <c r="F302" s="311">
        <v>0.14699999999999999</v>
      </c>
      <c r="G302" s="312">
        <v>0.15</v>
      </c>
    </row>
    <row r="303" spans="1:7">
      <c r="A303" s="321" t="s">
        <v>288</v>
      </c>
      <c r="B303" s="310" t="s">
        <v>2480</v>
      </c>
      <c r="C303" s="311">
        <v>0.15</v>
      </c>
      <c r="D303" s="311">
        <v>0.15</v>
      </c>
      <c r="E303" s="311">
        <v>0.15</v>
      </c>
      <c r="F303" s="311">
        <v>0.14199999999999999</v>
      </c>
      <c r="G303" s="312">
        <v>0.15</v>
      </c>
    </row>
    <row r="304" spans="1:7">
      <c r="A304" s="321" t="s">
        <v>288</v>
      </c>
      <c r="B304" s="310" t="s">
        <v>2487</v>
      </c>
      <c r="C304" s="311">
        <v>0.15</v>
      </c>
      <c r="D304" s="311">
        <v>0.15</v>
      </c>
      <c r="E304" s="311">
        <v>0.15</v>
      </c>
      <c r="F304" s="311">
        <v>0.14499999999999999</v>
      </c>
      <c r="G304" s="312">
        <v>0.15</v>
      </c>
    </row>
    <row r="305" spans="1:7">
      <c r="A305" s="321" t="s">
        <v>288</v>
      </c>
      <c r="B305" s="310" t="s">
        <v>2494</v>
      </c>
      <c r="C305" s="311">
        <v>0.15</v>
      </c>
      <c r="D305" s="311">
        <v>0.15</v>
      </c>
      <c r="E305" s="311">
        <v>0.15</v>
      </c>
      <c r="F305" s="311">
        <v>0.111</v>
      </c>
      <c r="G305" s="312">
        <v>0.15</v>
      </c>
    </row>
    <row r="306" spans="1:7">
      <c r="A306" s="321" t="s">
        <v>288</v>
      </c>
      <c r="B306" s="310" t="s">
        <v>2501</v>
      </c>
      <c r="C306" s="311">
        <v>0.15</v>
      </c>
      <c r="D306" s="311">
        <v>0.15</v>
      </c>
      <c r="E306" s="311">
        <v>0.15</v>
      </c>
      <c r="F306" s="311">
        <v>0.126</v>
      </c>
      <c r="G306" s="312">
        <v>0.15</v>
      </c>
    </row>
    <row r="307" spans="1:7">
      <c r="A307" s="321" t="s">
        <v>288</v>
      </c>
      <c r="B307" s="310" t="s">
        <v>2508</v>
      </c>
      <c r="C307" s="311">
        <v>0.15</v>
      </c>
      <c r="D307" s="311">
        <v>0.15</v>
      </c>
      <c r="E307" s="311">
        <v>0.15</v>
      </c>
      <c r="F307" s="311">
        <v>0.12</v>
      </c>
      <c r="G307" s="312">
        <v>0.15</v>
      </c>
    </row>
    <row r="308" spans="1:7">
      <c r="A308" s="321" t="s">
        <v>288</v>
      </c>
      <c r="B308" s="310" t="s">
        <v>2515</v>
      </c>
      <c r="C308" s="311">
        <v>0.15</v>
      </c>
      <c r="D308" s="311">
        <v>0.15</v>
      </c>
      <c r="E308" s="311">
        <v>0.15</v>
      </c>
      <c r="F308" s="311">
        <v>0.13</v>
      </c>
      <c r="G308" s="312">
        <v>0.15</v>
      </c>
    </row>
    <row r="309" spans="1:7">
      <c r="A309" s="321" t="s">
        <v>288</v>
      </c>
      <c r="B309" s="310" t="s">
        <v>2520</v>
      </c>
      <c r="C309" s="311">
        <v>0.15</v>
      </c>
      <c r="D309" s="311">
        <v>0.15</v>
      </c>
      <c r="E309" s="311">
        <v>0.15</v>
      </c>
      <c r="F309" s="311">
        <v>0.14099999999999999</v>
      </c>
      <c r="G309" s="312">
        <v>0.15</v>
      </c>
    </row>
    <row r="310" spans="1:7">
      <c r="A310" s="321" t="s">
        <v>288</v>
      </c>
      <c r="B310" s="310" t="s">
        <v>2525</v>
      </c>
      <c r="C310" s="311">
        <v>0.15</v>
      </c>
      <c r="D310" s="311">
        <v>0.15</v>
      </c>
      <c r="E310" s="311">
        <v>0.15</v>
      </c>
      <c r="F310" s="311">
        <v>0.15</v>
      </c>
      <c r="G310" s="312">
        <v>0.15</v>
      </c>
    </row>
    <row r="311" spans="1:7">
      <c r="A311" s="321" t="s">
        <v>288</v>
      </c>
      <c r="B311" s="310" t="s">
        <v>2530</v>
      </c>
      <c r="C311" s="311">
        <v>0.13200000000000001</v>
      </c>
      <c r="D311" s="311">
        <v>0.13300000000000001</v>
      </c>
      <c r="E311" s="311">
        <v>0.14499999999999999</v>
      </c>
      <c r="F311" s="311">
        <v>0.14199999999999999</v>
      </c>
      <c r="G311" s="312">
        <v>0.14000000000000001</v>
      </c>
    </row>
    <row r="312" spans="1:7">
      <c r="A312" s="321" t="s">
        <v>288</v>
      </c>
      <c r="B312" s="310" t="s">
        <v>2535</v>
      </c>
      <c r="C312" s="311">
        <v>0.13800000000000001</v>
      </c>
      <c r="D312" s="311">
        <v>0.14000000000000001</v>
      </c>
      <c r="E312" s="311">
        <v>0.14599999999999999</v>
      </c>
      <c r="F312" s="311">
        <v>0.14899999999999999</v>
      </c>
      <c r="G312" s="312">
        <v>0.14199999999999999</v>
      </c>
    </row>
    <row r="313" spans="1:7">
      <c r="A313" s="321" t="s">
        <v>288</v>
      </c>
      <c r="B313" s="310" t="s">
        <v>2540</v>
      </c>
      <c r="C313" s="311">
        <v>0.125</v>
      </c>
      <c r="D313" s="311">
        <v>0.127</v>
      </c>
      <c r="E313" s="311">
        <v>0.14399999999999999</v>
      </c>
      <c r="F313" s="311">
        <v>0.115</v>
      </c>
      <c r="G313" s="312">
        <v>0.13600000000000001</v>
      </c>
    </row>
    <row r="314" spans="1:7">
      <c r="A314" s="321" t="s">
        <v>288</v>
      </c>
      <c r="B314" s="310" t="s">
        <v>2545</v>
      </c>
      <c r="C314" s="327"/>
      <c r="D314" s="327"/>
      <c r="E314" s="327"/>
      <c r="F314" s="311">
        <v>0.05</v>
      </c>
      <c r="G314" s="328"/>
    </row>
    <row r="315" spans="1:7">
      <c r="A315" s="321" t="s">
        <v>288</v>
      </c>
      <c r="B315" s="310" t="s">
        <v>2550</v>
      </c>
      <c r="C315" s="327"/>
      <c r="D315" s="327"/>
      <c r="E315" s="327"/>
      <c r="F315" s="311">
        <v>0.05</v>
      </c>
      <c r="G315" s="328"/>
    </row>
    <row r="316" spans="1:7">
      <c r="A316" s="321" t="s">
        <v>288</v>
      </c>
      <c r="B316" s="310" t="s">
        <v>2555</v>
      </c>
      <c r="C316" s="322"/>
      <c r="D316" s="322"/>
      <c r="E316" s="322"/>
      <c r="F316" s="311">
        <v>0.05</v>
      </c>
      <c r="G316" s="328"/>
    </row>
    <row r="317" spans="1:7">
      <c r="A317" s="321" t="s">
        <v>288</v>
      </c>
      <c r="B317" s="310" t="s">
        <v>2559</v>
      </c>
      <c r="C317" s="322"/>
      <c r="D317" s="322"/>
      <c r="E317" s="322"/>
      <c r="F317" s="311">
        <v>0.05</v>
      </c>
      <c r="G317" s="328"/>
    </row>
    <row r="318" spans="1:7">
      <c r="A318" s="321" t="s">
        <v>288</v>
      </c>
      <c r="B318" s="310" t="s">
        <v>2563</v>
      </c>
      <c r="C318" s="322"/>
      <c r="D318" s="322"/>
      <c r="E318" s="322"/>
      <c r="F318" s="311">
        <v>0.05</v>
      </c>
      <c r="G318" s="328"/>
    </row>
    <row r="319" spans="1:7">
      <c r="A319" s="321" t="s">
        <v>288</v>
      </c>
      <c r="B319" s="310" t="s">
        <v>2567</v>
      </c>
      <c r="C319" s="322"/>
      <c r="D319" s="322"/>
      <c r="E319" s="322"/>
      <c r="F319" s="311">
        <v>0.05</v>
      </c>
      <c r="G319" s="328"/>
    </row>
    <row r="320" spans="1:7">
      <c r="A320" s="321" t="s">
        <v>288</v>
      </c>
      <c r="B320" s="310" t="s">
        <v>2570</v>
      </c>
      <c r="C320" s="322"/>
      <c r="D320" s="322"/>
      <c r="E320" s="322"/>
      <c r="F320" s="311">
        <v>0.05</v>
      </c>
      <c r="G320" s="328"/>
    </row>
    <row r="321" spans="1:7">
      <c r="A321" s="321" t="s">
        <v>288</v>
      </c>
      <c r="B321" s="310" t="s">
        <v>2572</v>
      </c>
      <c r="C321" s="322"/>
      <c r="D321" s="322"/>
      <c r="E321" s="322"/>
      <c r="F321" s="311">
        <v>0.05</v>
      </c>
      <c r="G321" s="328"/>
    </row>
    <row r="322" spans="1:7">
      <c r="A322" s="321" t="s">
        <v>288</v>
      </c>
      <c r="B322" s="310" t="s">
        <v>2574</v>
      </c>
      <c r="C322" s="322"/>
      <c r="D322" s="322"/>
      <c r="E322" s="322"/>
      <c r="F322" s="311">
        <v>0.05</v>
      </c>
      <c r="G322" s="328"/>
    </row>
    <row r="323" spans="1:7">
      <c r="A323" s="321" t="s">
        <v>288</v>
      </c>
      <c r="B323" s="310" t="s">
        <v>2576</v>
      </c>
      <c r="C323" s="322"/>
      <c r="D323" s="322"/>
      <c r="E323" s="322"/>
      <c r="F323" s="311">
        <v>0.05</v>
      </c>
      <c r="G323" s="328"/>
    </row>
    <row r="324" spans="1:7">
      <c r="A324" s="321" t="s">
        <v>288</v>
      </c>
      <c r="B324" s="310" t="s">
        <v>2578</v>
      </c>
      <c r="C324" s="322"/>
      <c r="D324" s="322"/>
      <c r="E324" s="322"/>
      <c r="F324" s="311">
        <v>0.05</v>
      </c>
      <c r="G324" s="328"/>
    </row>
    <row r="325" spans="1:7">
      <c r="A325" s="321" t="s">
        <v>288</v>
      </c>
      <c r="B325" s="310" t="s">
        <v>2580</v>
      </c>
      <c r="C325" s="322"/>
      <c r="D325" s="322"/>
      <c r="E325" s="322"/>
      <c r="F325" s="311">
        <v>0.05</v>
      </c>
      <c r="G325" s="328"/>
    </row>
    <row r="326" spans="1:7">
      <c r="A326" s="324" t="s">
        <v>288</v>
      </c>
      <c r="B326" s="314" t="s">
        <v>2582</v>
      </c>
      <c r="C326" s="316"/>
      <c r="D326" s="316"/>
      <c r="E326" s="316"/>
      <c r="F326" s="315">
        <v>0.05</v>
      </c>
      <c r="G326" s="329"/>
    </row>
    <row r="327" spans="1:7">
      <c r="A327" s="320" t="s">
        <v>292</v>
      </c>
      <c r="B327" s="306" t="s">
        <v>2222</v>
      </c>
      <c r="C327" s="307">
        <v>0.15</v>
      </c>
      <c r="D327" s="307">
        <v>0.15</v>
      </c>
      <c r="E327" s="307">
        <v>0.15</v>
      </c>
      <c r="F327" s="307">
        <v>0.15</v>
      </c>
      <c r="G327" s="308">
        <v>0.15</v>
      </c>
    </row>
    <row r="328" spans="1:7">
      <c r="A328" s="321" t="s">
        <v>292</v>
      </c>
      <c r="B328" s="310" t="s">
        <v>2235</v>
      </c>
      <c r="C328" s="311">
        <v>0.15</v>
      </c>
      <c r="D328" s="311">
        <v>0.15</v>
      </c>
      <c r="E328" s="311">
        <v>0.15</v>
      </c>
      <c r="F328" s="311">
        <v>0.126</v>
      </c>
      <c r="G328" s="312">
        <v>0.15</v>
      </c>
    </row>
    <row r="329" spans="1:7">
      <c r="A329" s="321" t="s">
        <v>292</v>
      </c>
      <c r="B329" s="310" t="s">
        <v>2249</v>
      </c>
      <c r="C329" s="311">
        <v>0.15</v>
      </c>
      <c r="D329" s="311">
        <v>0.15</v>
      </c>
      <c r="E329" s="311">
        <v>0.15</v>
      </c>
      <c r="F329" s="311">
        <v>0.15</v>
      </c>
      <c r="G329" s="312">
        <v>0.15</v>
      </c>
    </row>
    <row r="330" spans="1:7">
      <c r="A330" s="321" t="s">
        <v>292</v>
      </c>
      <c r="B330" s="310" t="s">
        <v>2261</v>
      </c>
      <c r="C330" s="311">
        <v>0.15</v>
      </c>
      <c r="D330" s="311">
        <v>0.15</v>
      </c>
      <c r="E330" s="311">
        <v>0.15</v>
      </c>
      <c r="F330" s="311">
        <v>0.15</v>
      </c>
      <c r="G330" s="312">
        <v>0.15</v>
      </c>
    </row>
    <row r="331" spans="1:7">
      <c r="A331" s="321" t="s">
        <v>292</v>
      </c>
      <c r="B331" s="310" t="s">
        <v>2273</v>
      </c>
      <c r="C331" s="311">
        <v>0.15</v>
      </c>
      <c r="D331" s="311">
        <v>0.15</v>
      </c>
      <c r="E331" s="311">
        <v>0.15</v>
      </c>
      <c r="F331" s="311">
        <v>0.15</v>
      </c>
      <c r="G331" s="312">
        <v>0.15</v>
      </c>
    </row>
    <row r="332" spans="1:7">
      <c r="A332" s="321" t="s">
        <v>292</v>
      </c>
      <c r="B332" s="310" t="s">
        <v>2284</v>
      </c>
      <c r="C332" s="311">
        <v>0.15</v>
      </c>
      <c r="D332" s="311">
        <v>0.15</v>
      </c>
      <c r="E332" s="311">
        <v>0.15</v>
      </c>
      <c r="F332" s="311">
        <v>0.15</v>
      </c>
      <c r="G332" s="312">
        <v>0.15</v>
      </c>
    </row>
    <row r="333" spans="1:7">
      <c r="A333" s="321" t="s">
        <v>292</v>
      </c>
      <c r="B333" s="310" t="s">
        <v>2295</v>
      </c>
      <c r="C333" s="311">
        <v>0.14899999999999999</v>
      </c>
      <c r="D333" s="311">
        <v>0.14899999999999999</v>
      </c>
      <c r="E333" s="311">
        <v>0.15</v>
      </c>
      <c r="F333" s="311">
        <v>0.11600000000000001</v>
      </c>
      <c r="G333" s="312">
        <v>0.15</v>
      </c>
    </row>
    <row r="334" spans="1:7">
      <c r="A334" s="321" t="s">
        <v>292</v>
      </c>
      <c r="B334" s="310" t="s">
        <v>2306</v>
      </c>
      <c r="C334" s="311">
        <v>0.15</v>
      </c>
      <c r="D334" s="311">
        <v>0.15</v>
      </c>
      <c r="E334" s="311">
        <v>0.15</v>
      </c>
      <c r="F334" s="311">
        <v>0.13</v>
      </c>
      <c r="G334" s="312">
        <v>0.15</v>
      </c>
    </row>
    <row r="335" spans="1:7">
      <c r="A335" s="321" t="s">
        <v>292</v>
      </c>
      <c r="B335" s="310" t="s">
        <v>2316</v>
      </c>
      <c r="C335" s="311">
        <v>0.15</v>
      </c>
      <c r="D335" s="311">
        <v>0.15</v>
      </c>
      <c r="E335" s="311">
        <v>0.15</v>
      </c>
      <c r="F335" s="311">
        <v>0.14399999999999999</v>
      </c>
      <c r="G335" s="312">
        <v>0.15</v>
      </c>
    </row>
    <row r="336" spans="1:7">
      <c r="A336" s="321" t="s">
        <v>292</v>
      </c>
      <c r="B336" s="310" t="s">
        <v>2326</v>
      </c>
      <c r="C336" s="311">
        <v>0.15</v>
      </c>
      <c r="D336" s="311">
        <v>0.15</v>
      </c>
      <c r="E336" s="311">
        <v>0.15</v>
      </c>
      <c r="F336" s="311">
        <v>0.14199999999999999</v>
      </c>
      <c r="G336" s="312">
        <v>0.15</v>
      </c>
    </row>
    <row r="337" spans="1:7">
      <c r="A337" s="321" t="s">
        <v>292</v>
      </c>
      <c r="B337" s="310" t="s">
        <v>2336</v>
      </c>
      <c r="C337" s="311">
        <v>0.15</v>
      </c>
      <c r="D337" s="311">
        <v>0.15</v>
      </c>
      <c r="E337" s="311">
        <v>0.15</v>
      </c>
      <c r="F337" s="311">
        <v>0.14499999999999999</v>
      </c>
      <c r="G337" s="312">
        <v>0.15</v>
      </c>
    </row>
    <row r="338" spans="1:7">
      <c r="A338" s="321" t="s">
        <v>292</v>
      </c>
      <c r="B338" s="310" t="s">
        <v>2346</v>
      </c>
      <c r="C338" s="311">
        <v>0.15</v>
      </c>
      <c r="D338" s="311">
        <v>0.15</v>
      </c>
      <c r="E338" s="311">
        <v>0.15</v>
      </c>
      <c r="F338" s="311">
        <v>0.15</v>
      </c>
      <c r="G338" s="312">
        <v>0.15</v>
      </c>
    </row>
    <row r="339" spans="1:7">
      <c r="A339" s="321" t="s">
        <v>292</v>
      </c>
      <c r="B339" s="310" t="s">
        <v>2356</v>
      </c>
      <c r="C339" s="311">
        <v>0.15</v>
      </c>
      <c r="D339" s="311">
        <v>0.15</v>
      </c>
      <c r="E339" s="311">
        <v>0.15</v>
      </c>
      <c r="F339" s="311">
        <v>0.14699999999999999</v>
      </c>
      <c r="G339" s="312">
        <v>0.15</v>
      </c>
    </row>
    <row r="340" spans="1:7">
      <c r="A340" s="321" t="s">
        <v>292</v>
      </c>
      <c r="B340" s="310" t="s">
        <v>2366</v>
      </c>
      <c r="C340" s="311">
        <v>0.14599999999999999</v>
      </c>
      <c r="D340" s="311">
        <v>0.14599999999999999</v>
      </c>
      <c r="E340" s="311">
        <v>0.15</v>
      </c>
      <c r="F340" s="311">
        <v>0.14099999999999999</v>
      </c>
      <c r="G340" s="312">
        <v>0.14699999999999999</v>
      </c>
    </row>
    <row r="341" spans="1:7">
      <c r="A341" s="321" t="s">
        <v>292</v>
      </c>
      <c r="B341" s="310" t="s">
        <v>2376</v>
      </c>
      <c r="C341" s="311">
        <v>0.126</v>
      </c>
      <c r="D341" s="311">
        <v>0.124</v>
      </c>
      <c r="E341" s="311">
        <v>0.14099999999999999</v>
      </c>
      <c r="F341" s="311">
        <v>0.14399999999999999</v>
      </c>
      <c r="G341" s="312">
        <v>0.13</v>
      </c>
    </row>
    <row r="342" spans="1:7">
      <c r="A342" s="321" t="s">
        <v>292</v>
      </c>
      <c r="B342" s="310" t="s">
        <v>2386</v>
      </c>
      <c r="C342" s="311">
        <v>0.15</v>
      </c>
      <c r="D342" s="311">
        <v>0.15</v>
      </c>
      <c r="E342" s="311">
        <v>0.15</v>
      </c>
      <c r="F342" s="311">
        <v>0.14399999999999999</v>
      </c>
      <c r="G342" s="312">
        <v>0.15</v>
      </c>
    </row>
    <row r="343" spans="1:7">
      <c r="A343" s="321" t="s">
        <v>292</v>
      </c>
      <c r="B343" s="310" t="s">
        <v>2396</v>
      </c>
      <c r="C343" s="311">
        <v>0.15</v>
      </c>
      <c r="D343" s="311">
        <v>0.15</v>
      </c>
      <c r="E343" s="311">
        <v>0.15</v>
      </c>
      <c r="F343" s="311">
        <v>0.128</v>
      </c>
      <c r="G343" s="312">
        <v>0.15</v>
      </c>
    </row>
    <row r="344" spans="1:7">
      <c r="A344" s="321" t="s">
        <v>292</v>
      </c>
      <c r="B344" s="310" t="s">
        <v>2406</v>
      </c>
      <c r="C344" s="311">
        <v>0.15</v>
      </c>
      <c r="D344" s="311">
        <v>0.15</v>
      </c>
      <c r="E344" s="311">
        <v>0.15</v>
      </c>
      <c r="F344" s="311">
        <v>0.14799999999999999</v>
      </c>
      <c r="G344" s="312">
        <v>0.15</v>
      </c>
    </row>
    <row r="345" spans="1:7">
      <c r="A345" s="321" t="s">
        <v>292</v>
      </c>
      <c r="B345" s="310" t="s">
        <v>2416</v>
      </c>
      <c r="C345" s="311">
        <v>0.15</v>
      </c>
      <c r="D345" s="311">
        <v>0.15</v>
      </c>
      <c r="E345" s="311">
        <v>0.15</v>
      </c>
      <c r="F345" s="311">
        <v>0.13800000000000001</v>
      </c>
      <c r="G345" s="312">
        <v>0.15</v>
      </c>
    </row>
    <row r="346" spans="1:7">
      <c r="A346" s="321" t="s">
        <v>292</v>
      </c>
      <c r="B346" s="310" t="s">
        <v>2426</v>
      </c>
      <c r="C346" s="311">
        <v>0.15</v>
      </c>
      <c r="D346" s="311">
        <v>0.15</v>
      </c>
      <c r="E346" s="311">
        <v>0.15</v>
      </c>
      <c r="F346" s="311">
        <v>0.14399999999999999</v>
      </c>
      <c r="G346" s="312">
        <v>0.15</v>
      </c>
    </row>
    <row r="347" spans="1:7">
      <c r="A347" s="321" t="s">
        <v>292</v>
      </c>
      <c r="B347" s="310" t="s">
        <v>2435</v>
      </c>
      <c r="C347" s="311">
        <v>0.15</v>
      </c>
      <c r="D347" s="311">
        <v>0.15</v>
      </c>
      <c r="E347" s="311">
        <v>0.15</v>
      </c>
      <c r="F347" s="311">
        <v>0.14599999999999999</v>
      </c>
      <c r="G347" s="312">
        <v>0.15</v>
      </c>
    </row>
    <row r="348" spans="1:7">
      <c r="A348" s="321" t="s">
        <v>292</v>
      </c>
      <c r="B348" s="310" t="s">
        <v>2443</v>
      </c>
      <c r="C348" s="311">
        <v>0.15</v>
      </c>
      <c r="D348" s="311">
        <v>0.15</v>
      </c>
      <c r="E348" s="311">
        <v>0.15</v>
      </c>
      <c r="F348" s="311">
        <v>0.14399999999999999</v>
      </c>
      <c r="G348" s="312">
        <v>0.15</v>
      </c>
    </row>
    <row r="349" spans="1:7">
      <c r="A349" s="321" t="s">
        <v>292</v>
      </c>
      <c r="B349" s="310" t="s">
        <v>2451</v>
      </c>
      <c r="C349" s="311">
        <v>0.15</v>
      </c>
      <c r="D349" s="311">
        <v>0.15</v>
      </c>
      <c r="E349" s="311">
        <v>0.15</v>
      </c>
      <c r="F349" s="311">
        <v>0.15</v>
      </c>
      <c r="G349" s="312">
        <v>0.15</v>
      </c>
    </row>
    <row r="350" spans="1:7">
      <c r="A350" s="321" t="s">
        <v>292</v>
      </c>
      <c r="B350" s="310" t="s">
        <v>2459</v>
      </c>
      <c r="C350" s="311">
        <v>0.15</v>
      </c>
      <c r="D350" s="311">
        <v>0.15</v>
      </c>
      <c r="E350" s="311">
        <v>0.15</v>
      </c>
      <c r="F350" s="311">
        <v>0.14699999999999999</v>
      </c>
      <c r="G350" s="312">
        <v>0.15</v>
      </c>
    </row>
    <row r="351" spans="1:7">
      <c r="A351" s="321" t="s">
        <v>292</v>
      </c>
      <c r="B351" s="310" t="s">
        <v>2467</v>
      </c>
      <c r="C351" s="311">
        <v>0.15</v>
      </c>
      <c r="D351" s="311">
        <v>0.15</v>
      </c>
      <c r="E351" s="311">
        <v>0.15</v>
      </c>
      <c r="F351" s="311">
        <v>0.13</v>
      </c>
      <c r="G351" s="312">
        <v>0.15</v>
      </c>
    </row>
    <row r="352" spans="1:7">
      <c r="A352" s="321" t="s">
        <v>292</v>
      </c>
      <c r="B352" s="310" t="s">
        <v>2474</v>
      </c>
      <c r="C352" s="311">
        <v>0.15</v>
      </c>
      <c r="D352" s="311">
        <v>0.15</v>
      </c>
      <c r="E352" s="311">
        <v>0.15</v>
      </c>
      <c r="F352" s="311">
        <v>0.14599999999999999</v>
      </c>
      <c r="G352" s="312">
        <v>0.15</v>
      </c>
    </row>
    <row r="353" spans="1:7">
      <c r="A353" s="321" t="s">
        <v>292</v>
      </c>
      <c r="B353" s="310" t="s">
        <v>2481</v>
      </c>
      <c r="C353" s="311">
        <v>0.15</v>
      </c>
      <c r="D353" s="311">
        <v>0.15</v>
      </c>
      <c r="E353" s="311">
        <v>0.15</v>
      </c>
      <c r="F353" s="311">
        <v>0.14499999999999999</v>
      </c>
      <c r="G353" s="312">
        <v>0.15</v>
      </c>
    </row>
    <row r="354" spans="1:7">
      <c r="A354" s="321" t="s">
        <v>292</v>
      </c>
      <c r="B354" s="310" t="s">
        <v>2488</v>
      </c>
      <c r="C354" s="311">
        <v>0.15</v>
      </c>
      <c r="D354" s="311">
        <v>0.15</v>
      </c>
      <c r="E354" s="311">
        <v>0.15</v>
      </c>
      <c r="F354" s="311">
        <v>0.14099999999999999</v>
      </c>
      <c r="G354" s="312">
        <v>0.15</v>
      </c>
    </row>
    <row r="355" spans="1:7">
      <c r="A355" s="321" t="s">
        <v>292</v>
      </c>
      <c r="B355" s="310" t="s">
        <v>2495</v>
      </c>
      <c r="C355" s="311">
        <v>0.15</v>
      </c>
      <c r="D355" s="311">
        <v>0.15</v>
      </c>
      <c r="E355" s="311">
        <v>0.15</v>
      </c>
      <c r="F355" s="311">
        <v>0.15</v>
      </c>
      <c r="G355" s="312">
        <v>0.15</v>
      </c>
    </row>
    <row r="356" spans="1:7">
      <c r="A356" s="321" t="s">
        <v>292</v>
      </c>
      <c r="B356" s="310" t="s">
        <v>2502</v>
      </c>
      <c r="C356" s="311">
        <v>0.15</v>
      </c>
      <c r="D356" s="311">
        <v>0.15</v>
      </c>
      <c r="E356" s="311">
        <v>0.15</v>
      </c>
      <c r="F356" s="311">
        <v>0.15</v>
      </c>
      <c r="G356" s="312">
        <v>0.15</v>
      </c>
    </row>
    <row r="357" spans="1:7">
      <c r="A357" s="324" t="s">
        <v>292</v>
      </c>
      <c r="B357" s="314" t="s">
        <v>2509</v>
      </c>
      <c r="C357" s="315">
        <v>0.126</v>
      </c>
      <c r="D357" s="315">
        <v>0.127</v>
      </c>
      <c r="E357" s="315">
        <v>0.14299999999999999</v>
      </c>
      <c r="F357" s="315">
        <v>0.125</v>
      </c>
      <c r="G357" s="317">
        <v>0.129</v>
      </c>
    </row>
    <row r="358" spans="1:7">
      <c r="A358" s="320" t="s">
        <v>296</v>
      </c>
      <c r="B358" s="306" t="s">
        <v>2223</v>
      </c>
      <c r="C358" s="307">
        <v>0.15</v>
      </c>
      <c r="D358" s="307">
        <v>0.15</v>
      </c>
      <c r="E358" s="307">
        <v>0.15</v>
      </c>
      <c r="F358" s="307">
        <v>0.15</v>
      </c>
      <c r="G358" s="308">
        <v>0.15</v>
      </c>
    </row>
    <row r="359" spans="1:7">
      <c r="A359" s="321" t="s">
        <v>296</v>
      </c>
      <c r="B359" s="310" t="s">
        <v>2236</v>
      </c>
      <c r="C359" s="311">
        <v>0.1</v>
      </c>
      <c r="D359" s="311">
        <v>0.1</v>
      </c>
      <c r="E359" s="311">
        <v>0.1</v>
      </c>
      <c r="F359" s="311">
        <v>0.1</v>
      </c>
      <c r="G359" s="312">
        <v>0.1</v>
      </c>
    </row>
    <row r="360" spans="1:7">
      <c r="A360" s="321" t="s">
        <v>296</v>
      </c>
      <c r="B360" s="310" t="s">
        <v>2250</v>
      </c>
      <c r="C360" s="311">
        <v>0.15</v>
      </c>
      <c r="D360" s="311">
        <v>0.15</v>
      </c>
      <c r="E360" s="311">
        <v>0.15</v>
      </c>
      <c r="F360" s="311">
        <v>0.14899999999999999</v>
      </c>
      <c r="G360" s="312">
        <v>0.15</v>
      </c>
    </row>
    <row r="361" spans="1:7">
      <c r="A361" s="321" t="s">
        <v>296</v>
      </c>
      <c r="B361" s="310" t="s">
        <v>2262</v>
      </c>
      <c r="C361" s="311">
        <v>0.15</v>
      </c>
      <c r="D361" s="311">
        <v>0.15</v>
      </c>
      <c r="E361" s="311">
        <v>0.15</v>
      </c>
      <c r="F361" s="311">
        <v>0.115</v>
      </c>
      <c r="G361" s="312">
        <v>0.15</v>
      </c>
    </row>
    <row r="362" spans="1:7">
      <c r="A362" s="321" t="s">
        <v>296</v>
      </c>
      <c r="B362" s="310" t="s">
        <v>2274</v>
      </c>
      <c r="C362" s="311">
        <v>0.15</v>
      </c>
      <c r="D362" s="311">
        <v>0.15</v>
      </c>
      <c r="E362" s="311">
        <v>0.15</v>
      </c>
      <c r="F362" s="311">
        <v>0.106</v>
      </c>
      <c r="G362" s="312">
        <v>0.15</v>
      </c>
    </row>
    <row r="363" spans="1:7">
      <c r="A363" s="321" t="s">
        <v>296</v>
      </c>
      <c r="B363" s="310" t="s">
        <v>2285</v>
      </c>
      <c r="C363" s="311">
        <v>0.15</v>
      </c>
      <c r="D363" s="311">
        <v>0.15</v>
      </c>
      <c r="E363" s="311">
        <v>0.15</v>
      </c>
      <c r="F363" s="311">
        <v>0.14699999999999999</v>
      </c>
      <c r="G363" s="312">
        <v>0.15</v>
      </c>
    </row>
    <row r="364" spans="1:7">
      <c r="A364" s="321" t="s">
        <v>296</v>
      </c>
      <c r="B364" s="310" t="s">
        <v>2296</v>
      </c>
      <c r="C364" s="311">
        <v>0.15</v>
      </c>
      <c r="D364" s="311">
        <v>0.15</v>
      </c>
      <c r="E364" s="311">
        <v>0.15</v>
      </c>
      <c r="F364" s="311">
        <v>0.14799999999999999</v>
      </c>
      <c r="G364" s="312">
        <v>0.15</v>
      </c>
    </row>
    <row r="365" spans="1:7">
      <c r="A365" s="321" t="s">
        <v>296</v>
      </c>
      <c r="B365" s="310" t="s">
        <v>2307</v>
      </c>
      <c r="C365" s="311">
        <v>0.15</v>
      </c>
      <c r="D365" s="311">
        <v>0.15</v>
      </c>
      <c r="E365" s="311">
        <v>0.15</v>
      </c>
      <c r="F365" s="311">
        <v>0.15</v>
      </c>
      <c r="G365" s="312">
        <v>0.15</v>
      </c>
    </row>
    <row r="366" spans="1:7">
      <c r="A366" s="321" t="s">
        <v>296</v>
      </c>
      <c r="B366" s="310" t="s">
        <v>2317</v>
      </c>
      <c r="C366" s="311">
        <v>0.15</v>
      </c>
      <c r="D366" s="311">
        <v>0.15</v>
      </c>
      <c r="E366" s="311">
        <v>0.15</v>
      </c>
      <c r="F366" s="311">
        <v>0.15</v>
      </c>
      <c r="G366" s="312">
        <v>0.15</v>
      </c>
    </row>
    <row r="367" spans="1:7">
      <c r="A367" s="321" t="s">
        <v>296</v>
      </c>
      <c r="B367" s="310" t="s">
        <v>2327</v>
      </c>
      <c r="C367" s="311">
        <v>0.15</v>
      </c>
      <c r="D367" s="311">
        <v>0.15</v>
      </c>
      <c r="E367" s="311">
        <v>0.15</v>
      </c>
      <c r="F367" s="311">
        <v>0.14699999999999999</v>
      </c>
      <c r="G367" s="312">
        <v>0.15</v>
      </c>
    </row>
    <row r="368" spans="1:7">
      <c r="A368" s="321" t="s">
        <v>296</v>
      </c>
      <c r="B368" s="310" t="s">
        <v>2337</v>
      </c>
      <c r="C368" s="311">
        <v>0.15</v>
      </c>
      <c r="D368" s="311">
        <v>0.15</v>
      </c>
      <c r="E368" s="311">
        <v>0.15</v>
      </c>
      <c r="F368" s="311">
        <v>0.13600000000000001</v>
      </c>
      <c r="G368" s="312">
        <v>0.15</v>
      </c>
    </row>
    <row r="369" spans="1:7">
      <c r="A369" s="321" t="s">
        <v>296</v>
      </c>
      <c r="B369" s="310" t="s">
        <v>2347</v>
      </c>
      <c r="C369" s="311">
        <v>0.15</v>
      </c>
      <c r="D369" s="311">
        <v>0.15</v>
      </c>
      <c r="E369" s="311">
        <v>0.15</v>
      </c>
      <c r="F369" s="311">
        <v>0.14399999999999999</v>
      </c>
      <c r="G369" s="312">
        <v>0.15</v>
      </c>
    </row>
    <row r="370" spans="1:7">
      <c r="A370" s="321" t="s">
        <v>296</v>
      </c>
      <c r="B370" s="310" t="s">
        <v>2357</v>
      </c>
      <c r="C370" s="311">
        <v>0.15</v>
      </c>
      <c r="D370" s="311">
        <v>0.15</v>
      </c>
      <c r="E370" s="311">
        <v>0.15</v>
      </c>
      <c r="F370" s="311">
        <v>0.14599999999999999</v>
      </c>
      <c r="G370" s="312">
        <v>0.15</v>
      </c>
    </row>
    <row r="371" spans="1:7">
      <c r="A371" s="321" t="s">
        <v>296</v>
      </c>
      <c r="B371" s="310" t="s">
        <v>2367</v>
      </c>
      <c r="C371" s="311">
        <v>0.15</v>
      </c>
      <c r="D371" s="311">
        <v>0.15</v>
      </c>
      <c r="E371" s="311">
        <v>0.15</v>
      </c>
      <c r="F371" s="311">
        <v>0.12</v>
      </c>
      <c r="G371" s="312">
        <v>0.15</v>
      </c>
    </row>
    <row r="372" spans="1:7">
      <c r="A372" s="321" t="s">
        <v>296</v>
      </c>
      <c r="B372" s="310" t="s">
        <v>2377</v>
      </c>
      <c r="C372" s="311">
        <v>0.15</v>
      </c>
      <c r="D372" s="311">
        <v>0.15</v>
      </c>
      <c r="E372" s="311">
        <v>0.15</v>
      </c>
      <c r="F372" s="311">
        <v>0.14299999999999999</v>
      </c>
      <c r="G372" s="312">
        <v>0.15</v>
      </c>
    </row>
    <row r="373" spans="1:7">
      <c r="A373" s="321" t="s">
        <v>296</v>
      </c>
      <c r="B373" s="310" t="s">
        <v>2387</v>
      </c>
      <c r="C373" s="311">
        <v>0.15</v>
      </c>
      <c r="D373" s="311">
        <v>0.15</v>
      </c>
      <c r="E373" s="311">
        <v>0.15</v>
      </c>
      <c r="F373" s="311">
        <v>0.14599999999999999</v>
      </c>
      <c r="G373" s="312">
        <v>0.15</v>
      </c>
    </row>
    <row r="374" spans="1:7">
      <c r="A374" s="321" t="s">
        <v>296</v>
      </c>
      <c r="B374" s="310" t="s">
        <v>2397</v>
      </c>
      <c r="C374" s="311">
        <v>0.15</v>
      </c>
      <c r="D374" s="311">
        <v>0.15</v>
      </c>
      <c r="E374" s="311">
        <v>0.15</v>
      </c>
      <c r="F374" s="311">
        <v>0.14399999999999999</v>
      </c>
      <c r="G374" s="312">
        <v>0.15</v>
      </c>
    </row>
    <row r="375" spans="1:7">
      <c r="A375" s="321" t="s">
        <v>296</v>
      </c>
      <c r="B375" s="310" t="s">
        <v>2407</v>
      </c>
      <c r="C375" s="311">
        <v>0.15</v>
      </c>
      <c r="D375" s="311">
        <v>0.15</v>
      </c>
      <c r="E375" s="311">
        <v>0.15</v>
      </c>
      <c r="F375" s="311">
        <v>0.13</v>
      </c>
      <c r="G375" s="312">
        <v>0.15</v>
      </c>
    </row>
    <row r="376" spans="1:7">
      <c r="A376" s="321" t="s">
        <v>296</v>
      </c>
      <c r="B376" s="310" t="s">
        <v>2417</v>
      </c>
      <c r="C376" s="311">
        <v>0.15</v>
      </c>
      <c r="D376" s="311">
        <v>0.15</v>
      </c>
      <c r="E376" s="311">
        <v>0.15</v>
      </c>
      <c r="F376" s="311">
        <v>0.14199999999999999</v>
      </c>
      <c r="G376" s="312">
        <v>0.15</v>
      </c>
    </row>
    <row r="377" spans="1:7">
      <c r="A377" s="324" t="s">
        <v>296</v>
      </c>
      <c r="B377" s="314" t="s">
        <v>2427</v>
      </c>
      <c r="C377" s="315">
        <v>0.15</v>
      </c>
      <c r="D377" s="315">
        <v>0.15</v>
      </c>
      <c r="E377" s="315">
        <v>0.15</v>
      </c>
      <c r="F377" s="315">
        <v>0.14000000000000001</v>
      </c>
      <c r="G377" s="317">
        <v>0.15</v>
      </c>
    </row>
    <row r="378" spans="1:7">
      <c r="A378" s="320" t="s">
        <v>300</v>
      </c>
      <c r="B378" s="306" t="s">
        <v>2224</v>
      </c>
      <c r="C378" s="307">
        <v>0.15</v>
      </c>
      <c r="D378" s="307">
        <v>0.15</v>
      </c>
      <c r="E378" s="307">
        <v>0.15</v>
      </c>
      <c r="F378" s="307">
        <v>0.107</v>
      </c>
      <c r="G378" s="308">
        <v>0.15</v>
      </c>
    </row>
    <row r="379" spans="1:7">
      <c r="A379" s="321" t="s">
        <v>300</v>
      </c>
      <c r="B379" s="310" t="s">
        <v>2237</v>
      </c>
      <c r="C379" s="311">
        <v>0.15</v>
      </c>
      <c r="D379" s="311">
        <v>0.15</v>
      </c>
      <c r="E379" s="311">
        <v>0.15</v>
      </c>
      <c r="F379" s="311">
        <v>0.115</v>
      </c>
      <c r="G379" s="312">
        <v>0.14899999999999999</v>
      </c>
    </row>
    <row r="380" spans="1:7">
      <c r="A380" s="321" t="s">
        <v>300</v>
      </c>
      <c r="B380" s="310" t="s">
        <v>2251</v>
      </c>
      <c r="C380" s="311">
        <v>0.15</v>
      </c>
      <c r="D380" s="311">
        <v>0.15</v>
      </c>
      <c r="E380" s="311">
        <v>0.15</v>
      </c>
      <c r="F380" s="311">
        <v>0.1</v>
      </c>
      <c r="G380" s="312">
        <v>0.14799999999999999</v>
      </c>
    </row>
    <row r="381" spans="1:7">
      <c r="A381" s="321" t="s">
        <v>300</v>
      </c>
      <c r="B381" s="310" t="s">
        <v>2263</v>
      </c>
      <c r="C381" s="311">
        <v>0.15</v>
      </c>
      <c r="D381" s="311">
        <v>0.15</v>
      </c>
      <c r="E381" s="311">
        <v>0.15</v>
      </c>
      <c r="F381" s="311">
        <v>0.126</v>
      </c>
      <c r="G381" s="312">
        <v>0.15</v>
      </c>
    </row>
    <row r="382" spans="1:7">
      <c r="A382" s="321" t="s">
        <v>300</v>
      </c>
      <c r="B382" s="310" t="s">
        <v>2275</v>
      </c>
      <c r="C382" s="311">
        <v>0.15</v>
      </c>
      <c r="D382" s="311">
        <v>0.15</v>
      </c>
      <c r="E382" s="311">
        <v>0.15</v>
      </c>
      <c r="F382" s="311">
        <v>0.15</v>
      </c>
      <c r="G382" s="312">
        <v>0.15</v>
      </c>
    </row>
    <row r="383" spans="1:7">
      <c r="A383" s="321" t="s">
        <v>300</v>
      </c>
      <c r="B383" s="310" t="s">
        <v>2286</v>
      </c>
      <c r="C383" s="311">
        <v>0.15</v>
      </c>
      <c r="D383" s="311">
        <v>0.15</v>
      </c>
      <c r="E383" s="311">
        <v>0.15</v>
      </c>
      <c r="F383" s="311">
        <v>0.14699999999999999</v>
      </c>
      <c r="G383" s="312">
        <v>0.15</v>
      </c>
    </row>
    <row r="384" spans="1:7">
      <c r="A384" s="331" t="s">
        <v>300</v>
      </c>
      <c r="B384" s="332" t="s">
        <v>2297</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90"/>
  </cols>
  <sheetData>
    <row r="1" spans="1:6">
      <c r="A1" s="3761" t="s">
        <v>2601</v>
      </c>
      <c r="B1" s="3761"/>
      <c r="C1" s="3761"/>
      <c r="D1" s="3761"/>
      <c r="E1" s="3761"/>
      <c r="F1" s="3762"/>
    </row>
    <row r="2" spans="1:6">
      <c r="A2" s="291" t="s">
        <v>2602</v>
      </c>
      <c r="B2" s="292"/>
      <c r="C2" s="292"/>
      <c r="D2" s="292"/>
      <c r="E2" s="292"/>
      <c r="F2" s="292"/>
    </row>
    <row r="3" spans="1:6">
      <c r="A3" s="291" t="s">
        <v>2603</v>
      </c>
      <c r="B3" s="292"/>
      <c r="C3" s="292"/>
      <c r="D3" s="292"/>
      <c r="E3" s="292"/>
      <c r="F3" s="293" t="s">
        <v>2604</v>
      </c>
    </row>
    <row r="4" spans="1:6">
      <c r="A4" s="294" t="s">
        <v>404</v>
      </c>
      <c r="B4" s="294" t="s">
        <v>1886</v>
      </c>
      <c r="C4" s="294" t="s">
        <v>549</v>
      </c>
      <c r="D4" s="294" t="s">
        <v>2605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45218</v>
      </c>
      <c r="B1" s="217" t="s">
        <v>2606</v>
      </c>
      <c r="C1" s="218"/>
      <c r="D1" s="218"/>
      <c r="E1" s="218"/>
      <c r="F1" s="218"/>
      <c r="G1" s="218"/>
      <c r="H1" s="218"/>
      <c r="I1" s="218"/>
      <c r="J1" s="244"/>
      <c r="K1" s="218" t="s">
        <v>2607</v>
      </c>
      <c r="L1" s="218"/>
      <c r="M1" s="218"/>
      <c r="N1" s="218"/>
      <c r="O1" s="218"/>
      <c r="P1" s="218"/>
      <c r="Q1" s="244"/>
      <c r="R1" s="3763" t="s">
        <v>2608</v>
      </c>
      <c r="S1" s="3764"/>
      <c r="T1" s="3764"/>
      <c r="U1" s="3764"/>
      <c r="V1" s="3764"/>
      <c r="W1" s="3764"/>
      <c r="X1" s="244"/>
      <c r="Y1" s="3763" t="s">
        <v>2609</v>
      </c>
      <c r="Z1" s="3764"/>
      <c r="AA1" s="3764"/>
      <c r="AB1" s="3764"/>
      <c r="AC1" s="3764"/>
      <c r="AD1" s="3764"/>
    </row>
    <row r="2" spans="1:30" s="208" customFormat="1">
      <c r="B2" s="219"/>
      <c r="C2" s="220"/>
      <c r="D2" s="221" t="s">
        <v>2610</v>
      </c>
      <c r="E2" s="222" t="s">
        <v>1886</v>
      </c>
      <c r="F2" s="222" t="s">
        <v>549</v>
      </c>
      <c r="G2" s="222" t="s">
        <v>412</v>
      </c>
      <c r="H2" s="222" t="s">
        <v>408</v>
      </c>
      <c r="I2" s="222" t="s">
        <v>280</v>
      </c>
      <c r="J2" s="245"/>
      <c r="K2" s="221" t="s">
        <v>2610</v>
      </c>
      <c r="L2" s="222" t="s">
        <v>1886</v>
      </c>
      <c r="M2" s="222" t="s">
        <v>549</v>
      </c>
      <c r="N2" s="222" t="s">
        <v>412</v>
      </c>
      <c r="O2" s="222" t="s">
        <v>408</v>
      </c>
      <c r="P2" s="222" t="s">
        <v>280</v>
      </c>
      <c r="Q2" s="245"/>
      <c r="R2" s="221" t="s">
        <v>2610</v>
      </c>
      <c r="S2" s="222" t="s">
        <v>1886</v>
      </c>
      <c r="T2" s="222" t="s">
        <v>549</v>
      </c>
      <c r="U2" s="222" t="s">
        <v>412</v>
      </c>
      <c r="V2" s="222" t="s">
        <v>408</v>
      </c>
      <c r="W2" s="222" t="s">
        <v>280</v>
      </c>
      <c r="X2" s="245"/>
      <c r="Y2" s="221" t="s">
        <v>2610</v>
      </c>
      <c r="Z2" s="222" t="s">
        <v>1886</v>
      </c>
      <c r="AA2" s="222" t="s">
        <v>549</v>
      </c>
      <c r="AB2" s="222" t="s">
        <v>412</v>
      </c>
      <c r="AC2" s="222" t="s">
        <v>408</v>
      </c>
      <c r="AD2" s="222" t="s">
        <v>280</v>
      </c>
    </row>
    <row r="3" spans="1:30" s="209" customFormat="1" ht="12.75">
      <c r="A3" s="223" t="s">
        <v>2611</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2614</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2615</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2616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2618</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2621</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2624</v>
      </c>
    </row>
    <row r="19" spans="1:30" s="214" customFormat="1">
      <c r="I19" s="263" t="s">
        <v>1527</v>
      </c>
    </row>
    <row r="20" spans="1:30" s="214" customFormat="1"/>
    <row r="21" spans="1:30" s="215" customFormat="1" ht="12.75">
      <c r="B21" s="217" t="s">
        <v>2625</v>
      </c>
      <c r="C21" s="218"/>
      <c r="D21" s="218"/>
      <c r="E21" s="218"/>
      <c r="F21" s="218"/>
      <c r="G21" s="218"/>
      <c r="H21" s="218"/>
      <c r="I21" s="218"/>
      <c r="J21" s="244"/>
      <c r="K21" s="218" t="s">
        <v>2607</v>
      </c>
      <c r="L21" s="218"/>
      <c r="M21" s="218"/>
      <c r="N21" s="218"/>
      <c r="O21" s="218"/>
      <c r="P21" s="218"/>
      <c r="Q21" s="244"/>
      <c r="R21" s="3763" t="s">
        <v>2608</v>
      </c>
      <c r="S21" s="3764"/>
      <c r="T21" s="3764"/>
      <c r="U21" s="3764"/>
      <c r="V21" s="3764"/>
      <c r="W21" s="3764"/>
      <c r="X21" s="244"/>
      <c r="Y21" s="3763" t="s">
        <v>2609</v>
      </c>
      <c r="Z21" s="3764"/>
      <c r="AA21" s="3764"/>
      <c r="AB21" s="3764"/>
      <c r="AC21" s="3764"/>
      <c r="AD21" s="3764"/>
    </row>
    <row r="22" spans="1:30" s="208" customFormat="1">
      <c r="B22" s="219"/>
      <c r="C22" s="220"/>
      <c r="D22" s="221" t="s">
        <v>2610</v>
      </c>
      <c r="E22" s="222" t="s">
        <v>1886</v>
      </c>
      <c r="F22" s="222" t="s">
        <v>549</v>
      </c>
      <c r="G22" s="222" t="s">
        <v>412</v>
      </c>
      <c r="H22" s="222"/>
      <c r="I22" s="222" t="s">
        <v>280</v>
      </c>
      <c r="J22" s="245"/>
      <c r="K22" s="221" t="s">
        <v>2610</v>
      </c>
      <c r="L22" s="222" t="s">
        <v>1886</v>
      </c>
      <c r="M22" s="222" t="s">
        <v>549</v>
      </c>
      <c r="N22" s="222" t="s">
        <v>412</v>
      </c>
      <c r="O22" s="222"/>
      <c r="P22" s="222" t="s">
        <v>280</v>
      </c>
      <c r="Q22" s="245"/>
      <c r="R22" s="221" t="s">
        <v>2610</v>
      </c>
      <c r="S22" s="222" t="s">
        <v>1886</v>
      </c>
      <c r="T22" s="222" t="s">
        <v>549</v>
      </c>
      <c r="U22" s="222" t="s">
        <v>412</v>
      </c>
      <c r="V22" s="222"/>
      <c r="W22" s="222" t="s">
        <v>280</v>
      </c>
      <c r="X22" s="245"/>
      <c r="Y22" s="221" t="s">
        <v>2610</v>
      </c>
      <c r="Z22" s="222" t="s">
        <v>1886</v>
      </c>
      <c r="AA22" s="222" t="s">
        <v>549</v>
      </c>
      <c r="AB22" s="222" t="s">
        <v>412</v>
      </c>
      <c r="AC22" s="222"/>
      <c r="AD22" s="222" t="s">
        <v>280</v>
      </c>
    </row>
    <row r="23" spans="1:30" s="209" customFormat="1" ht="12.75">
      <c r="A23" s="223" t="s">
        <v>2611</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2614</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2615</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2616</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2619</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2621</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2622</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2623</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2626</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5" t="s">
        <v>2627</v>
      </c>
      <c r="C1" s="3765"/>
      <c r="D1" s="3765"/>
      <c r="E1" s="3765"/>
      <c r="F1" s="3765"/>
      <c r="G1" s="3766" t="s">
        <v>2628</v>
      </c>
      <c r="H1" s="3766"/>
      <c r="I1" s="3766"/>
      <c r="J1" s="3766"/>
      <c r="K1" s="3766"/>
      <c r="L1" s="3766"/>
      <c r="N1" s="3766" t="s">
        <v>2607</v>
      </c>
      <c r="O1" s="3766"/>
      <c r="P1" s="3766"/>
      <c r="Q1" s="3766"/>
      <c r="S1" s="3766" t="s">
        <v>2629</v>
      </c>
      <c r="T1" s="3766"/>
      <c r="U1" s="3766"/>
      <c r="V1" s="3766"/>
      <c r="X1" s="3767" t="s">
        <v>2608</v>
      </c>
      <c r="Y1" s="3766"/>
      <c r="Z1" s="3766"/>
      <c r="AA1" s="3766"/>
      <c r="AB1" s="3766"/>
      <c r="AD1" s="3767" t="s">
        <v>2609</v>
      </c>
      <c r="AE1" s="3766"/>
      <c r="AF1" s="3766"/>
      <c r="AG1" s="3766"/>
      <c r="AH1" s="3766"/>
    </row>
    <row r="2" spans="1:34" s="75" customFormat="1" ht="13.5">
      <c r="B2" s="85" t="s">
        <v>2630</v>
      </c>
      <c r="C2" s="85" t="s">
        <v>2631</v>
      </c>
      <c r="D2" s="86" t="s">
        <v>549</v>
      </c>
      <c r="E2" s="86" t="s">
        <v>412</v>
      </c>
      <c r="F2" s="85" t="s">
        <v>2632</v>
      </c>
      <c r="G2" s="87"/>
      <c r="I2" s="85" t="s">
        <v>2630</v>
      </c>
      <c r="J2" s="86" t="s">
        <v>1895</v>
      </c>
      <c r="K2" s="86" t="s">
        <v>412</v>
      </c>
      <c r="L2" s="85" t="s">
        <v>2632</v>
      </c>
      <c r="N2" s="85" t="s">
        <v>2630</v>
      </c>
      <c r="O2" s="86" t="s">
        <v>1895</v>
      </c>
      <c r="P2" s="86" t="s">
        <v>412</v>
      </c>
      <c r="Q2" s="85" t="s">
        <v>2632</v>
      </c>
      <c r="S2" s="85" t="s">
        <v>2630</v>
      </c>
      <c r="T2" s="86" t="s">
        <v>1895</v>
      </c>
      <c r="U2" s="86" t="s">
        <v>412</v>
      </c>
      <c r="V2" s="85" t="s">
        <v>2632</v>
      </c>
      <c r="X2" s="85" t="s">
        <v>2630</v>
      </c>
      <c r="Y2" s="85" t="s">
        <v>2631</v>
      </c>
      <c r="Z2" s="86" t="s">
        <v>549</v>
      </c>
      <c r="AA2" s="86" t="s">
        <v>412</v>
      </c>
      <c r="AB2" s="85" t="s">
        <v>2632</v>
      </c>
      <c r="AD2" s="85" t="s">
        <v>2630</v>
      </c>
      <c r="AE2" s="85" t="s">
        <v>2631</v>
      </c>
      <c r="AF2" s="86" t="s">
        <v>549</v>
      </c>
      <c r="AG2" s="86" t="s">
        <v>412</v>
      </c>
      <c r="AH2" s="85" t="s">
        <v>2632</v>
      </c>
    </row>
    <row r="3" spans="1:34" s="76" customFormat="1" ht="14.25">
      <c r="A3" s="88" t="s">
        <v>2611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2646</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2648</v>
      </c>
      <c r="B27" s="98">
        <f t="shared" si="232"/>
        <v>419.31181600000002</v>
      </c>
      <c r="C27" s="98">
        <f t="shared" si="233"/>
        <v>313.95436799999999</v>
      </c>
      <c r="D27" s="98">
        <f t="shared" si="234"/>
        <v>313.95436799999999</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2649</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2650</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2652</v>
      </c>
      <c r="B31" s="98">
        <f t="shared" si="245"/>
        <v>360.06949782209398</v>
      </c>
      <c r="C31" s="98">
        <f t="shared" si="245"/>
        <v>289.84672674747799</v>
      </c>
      <c r="D31" s="98">
        <f t="shared" si="246"/>
        <v>289.84672674747799</v>
      </c>
      <c r="E31" s="98">
        <f t="shared" si="247"/>
        <v>501.06543001181501</v>
      </c>
      <c r="F31" s="98">
        <f t="shared" si="247"/>
        <v>256.82882500745001</v>
      </c>
      <c r="G31" s="376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2653</v>
      </c>
      <c r="B32" s="98">
        <f t="shared" si="245"/>
        <v>346.720748986128</v>
      </c>
      <c r="C32" s="98">
        <f t="shared" si="245"/>
        <v>284.30282172386302</v>
      </c>
      <c r="D32" s="98">
        <f t="shared" si="246"/>
        <v>284.30282172386302</v>
      </c>
      <c r="E32" s="98">
        <f t="shared" si="247"/>
        <v>479.58023546306902</v>
      </c>
      <c r="F32" s="98">
        <f t="shared" si="247"/>
        <v>253.25788877571199</v>
      </c>
      <c r="G32" s="377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2654</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2656</v>
      </c>
      <c r="B35" s="98">
        <f t="shared" si="249"/>
        <v>322.34053690220799</v>
      </c>
      <c r="C35" s="98">
        <f t="shared" si="249"/>
        <v>271.461607704225</v>
      </c>
      <c r="D35" s="98">
        <f t="shared" si="246"/>
        <v>271.461607704225</v>
      </c>
      <c r="E35" s="98">
        <f t="shared" si="250"/>
        <v>442.69434542172502</v>
      </c>
      <c r="F35" s="98">
        <f t="shared" si="250"/>
        <v>241.34030753190899</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2657</v>
      </c>
      <c r="B36" s="98">
        <f t="shared" si="249"/>
        <v>319.87748030386803</v>
      </c>
      <c r="C36" s="98">
        <f t="shared" si="249"/>
        <v>269.60135833173598</v>
      </c>
      <c r="D36" s="98">
        <f t="shared" si="246"/>
        <v>269.60135833173598</v>
      </c>
      <c r="E36" s="98">
        <f t="shared" si="250"/>
        <v>439.18089823583801</v>
      </c>
      <c r="F36" s="98">
        <f t="shared" si="250"/>
        <v>239.23503918706299</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2658</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2660</v>
      </c>
      <c r="B39" s="98">
        <f t="shared" si="251"/>
        <v>314.721411723865</v>
      </c>
      <c r="C39" s="98">
        <f t="shared" si="251"/>
        <v>263.03901319069001</v>
      </c>
      <c r="D39" s="98">
        <f t="shared" si="246"/>
        <v>263.03901319069001</v>
      </c>
      <c r="E39" s="98">
        <f t="shared" si="252"/>
        <v>433.65745506782798</v>
      </c>
      <c r="F39" s="98">
        <f t="shared" si="252"/>
        <v>233.23005080045701</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2661</v>
      </c>
      <c r="B40" s="116">
        <f t="shared" si="251"/>
        <v>307.34512863658699</v>
      </c>
      <c r="C40" s="116">
        <f t="shared" si="251"/>
        <v>257.80556031626998</v>
      </c>
      <c r="D40" s="116">
        <f t="shared" si="246"/>
        <v>257.80556031626998</v>
      </c>
      <c r="E40" s="116">
        <f t="shared" si="252"/>
        <v>422.70928459677202</v>
      </c>
      <c r="F40" s="116">
        <f t="shared" si="252"/>
        <v>229.738032703366</v>
      </c>
      <c r="G40" s="377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2663</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2665</v>
      </c>
      <c r="B43" s="98">
        <f t="shared" si="255"/>
        <v>288.264905382878</v>
      </c>
      <c r="C43" s="98">
        <f t="shared" si="255"/>
        <v>243.64564425013299</v>
      </c>
      <c r="D43" s="98">
        <f t="shared" si="246"/>
        <v>243.64564425013299</v>
      </c>
      <c r="E43" s="98">
        <f t="shared" si="256"/>
        <v>393.31080825986498</v>
      </c>
      <c r="F43" s="98">
        <f t="shared" si="256"/>
        <v>223.079037905512</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2666</v>
      </c>
      <c r="B44" s="98">
        <f t="shared" si="255"/>
        <v>282.50186729015797</v>
      </c>
      <c r="C44" s="98">
        <f t="shared" si="255"/>
        <v>238.097961741555</v>
      </c>
      <c r="D44" s="98">
        <f t="shared" si="246"/>
        <v>238.097961741555</v>
      </c>
      <c r="E44" s="98">
        <f t="shared" si="256"/>
        <v>385.33438646014099</v>
      </c>
      <c r="F44" s="98">
        <f t="shared" si="256"/>
        <v>221.550340555677</v>
      </c>
      <c r="G44" s="377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2667</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2668</v>
      </c>
      <c r="B46" s="98">
        <f>B45/(1+N45)</f>
        <v>275.49301357645402</v>
      </c>
      <c r="C46" s="98">
        <f>C45/(1+O45)</f>
        <v>232.41954707985701</v>
      </c>
      <c r="D46" s="98">
        <f t="shared" si="246"/>
        <v>232.41954707985701</v>
      </c>
      <c r="E46" s="98">
        <f t="shared" ref="E46:F48" si="257">E45/(1+P45)</f>
        <v>375.32184591008098</v>
      </c>
      <c r="F46" s="98">
        <f t="shared" si="257"/>
        <v>218.03766105054501</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2669</v>
      </c>
      <c r="B47" s="98">
        <f>B46/(1+N46)</f>
        <v>275.24529281292303</v>
      </c>
      <c r="C47" s="98">
        <f>C46/(1+O46)</f>
        <v>231.74747938962699</v>
      </c>
      <c r="D47" s="98">
        <f t="shared" si="246"/>
        <v>231.74747938962699</v>
      </c>
      <c r="E47" s="98">
        <f t="shared" si="257"/>
        <v>375.35938184826603</v>
      </c>
      <c r="F47" s="98">
        <f t="shared" si="257"/>
        <v>216.78033510692501</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2670</v>
      </c>
      <c r="B48" s="98">
        <f>B47/(1+N47)</f>
        <v>275.19025476196998</v>
      </c>
      <c r="C48" s="121">
        <v>232</v>
      </c>
      <c r="D48" s="121">
        <f t="shared" si="246"/>
        <v>232</v>
      </c>
      <c r="E48" s="98">
        <f t="shared" si="257"/>
        <v>375.65990977608698</v>
      </c>
      <c r="F48" s="98">
        <f t="shared" si="257"/>
        <v>214.12518283971301</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2671</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2673</v>
      </c>
      <c r="B51" s="98">
        <f t="shared" si="258"/>
        <v>275.19335084830601</v>
      </c>
      <c r="C51" s="98">
        <f t="shared" si="258"/>
        <v>230.18088050139701</v>
      </c>
      <c r="D51" s="98">
        <f t="shared" si="246"/>
        <v>230.18088050139701</v>
      </c>
      <c r="E51" s="98">
        <f t="shared" si="259"/>
        <v>377.58482925212297</v>
      </c>
      <c r="F51" s="98">
        <f t="shared" si="259"/>
        <v>210.906879978479</v>
      </c>
      <c r="G51" s="376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2674</v>
      </c>
      <c r="B52" s="98">
        <f t="shared" si="258"/>
        <v>276.29854502841999</v>
      </c>
      <c r="C52" s="98">
        <f t="shared" si="258"/>
        <v>229.79023709833001</v>
      </c>
      <c r="D52" s="98">
        <f t="shared" si="246"/>
        <v>229.79023709833001</v>
      </c>
      <c r="E52" s="98">
        <f t="shared" si="259"/>
        <v>379.78759731655902</v>
      </c>
      <c r="F52" s="98">
        <f t="shared" si="259"/>
        <v>211.32953905659201</v>
      </c>
      <c r="G52" s="377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2675</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2677</v>
      </c>
      <c r="B55" s="98">
        <f t="shared" si="260"/>
        <v>242.95398227588399</v>
      </c>
      <c r="C55" s="98">
        <f t="shared" si="260"/>
        <v>199.591370536141</v>
      </c>
      <c r="D55" s="98">
        <f t="shared" si="246"/>
        <v>199.591370536141</v>
      </c>
      <c r="E55" s="98">
        <f t="shared" si="261"/>
        <v>335.92189522342102</v>
      </c>
      <c r="F55" s="98">
        <f t="shared" si="261"/>
        <v>183.101399911095</v>
      </c>
      <c r="G55" s="376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2678</v>
      </c>
      <c r="B56" s="98">
        <f t="shared" si="260"/>
        <v>232.06990378821601</v>
      </c>
      <c r="C56" s="98">
        <f t="shared" si="260"/>
        <v>192.74878854286899</v>
      </c>
      <c r="D56" s="98">
        <f t="shared" si="246"/>
        <v>192.74878854286899</v>
      </c>
      <c r="E56" s="98">
        <f t="shared" si="261"/>
        <v>319.71247284993001</v>
      </c>
      <c r="F56" s="98">
        <f t="shared" si="261"/>
        <v>175.670536228624</v>
      </c>
      <c r="G56" s="377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2679</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2681</v>
      </c>
      <c r="B59" s="98">
        <f t="shared" si="262"/>
        <v>210.630522469011</v>
      </c>
      <c r="C59" s="98">
        <f t="shared" si="262"/>
        <v>181.695678122472</v>
      </c>
      <c r="D59" s="98">
        <f t="shared" si="246"/>
        <v>181.695678122472</v>
      </c>
      <c r="E59" s="98">
        <f t="shared" si="263"/>
        <v>286.13517466736698</v>
      </c>
      <c r="F59" s="98">
        <f t="shared" si="263"/>
        <v>165.47535084591101</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2682</v>
      </c>
      <c r="B60" s="98">
        <f t="shared" si="262"/>
        <v>208.834545378754</v>
      </c>
      <c r="C60" s="98">
        <f t="shared" si="262"/>
        <v>183.77230517090399</v>
      </c>
      <c r="D60" s="98">
        <f t="shared" si="246"/>
        <v>183.77230517090399</v>
      </c>
      <c r="E60" s="98">
        <f t="shared" si="263"/>
        <v>281.10342338870902</v>
      </c>
      <c r="F60" s="98">
        <f t="shared" si="263"/>
        <v>168.97309388942301</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2683</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2685</v>
      </c>
      <c r="B63" s="98">
        <f t="shared" si="264"/>
        <v>206.31694671589099</v>
      </c>
      <c r="C63" s="98">
        <f t="shared" si="264"/>
        <v>183.61041121036101</v>
      </c>
      <c r="D63" s="98">
        <f t="shared" si="246"/>
        <v>183.61041121036101</v>
      </c>
      <c r="E63" s="98">
        <f t="shared" si="265"/>
        <v>276.66850301795603</v>
      </c>
      <c r="F63" s="98">
        <f t="shared" si="265"/>
        <v>165.136093827861</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2686</v>
      </c>
      <c r="B64" s="122">
        <f t="shared" si="264"/>
        <v>196.62341248059801</v>
      </c>
      <c r="C64" s="122">
        <f t="shared" si="264"/>
        <v>170.99125648199001</v>
      </c>
      <c r="D64" s="122">
        <f t="shared" si="246"/>
        <v>170.99125648199001</v>
      </c>
      <c r="E64" s="122">
        <f t="shared" si="265"/>
        <v>266.07857570490103</v>
      </c>
      <c r="F64" s="122">
        <f t="shared" si="265"/>
        <v>154.53499328828499</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2687</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2689</v>
      </c>
      <c r="B67" s="98">
        <f t="shared" si="268"/>
        <v>168.820177487156</v>
      </c>
      <c r="C67" s="98">
        <f t="shared" si="268"/>
        <v>148.06267029972801</v>
      </c>
      <c r="D67" s="98">
        <f t="shared" si="246"/>
        <v>148.06267029972801</v>
      </c>
      <c r="E67" s="98">
        <f t="shared" si="269"/>
        <v>216.46288379323701</v>
      </c>
      <c r="F67" s="98">
        <f t="shared" si="269"/>
        <v>134.23529411764699</v>
      </c>
      <c r="G67" s="376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2690</v>
      </c>
      <c r="B68" s="98">
        <f t="shared" si="268"/>
        <v>163.849135917795</v>
      </c>
      <c r="C68" s="98">
        <f t="shared" si="268"/>
        <v>145.028337874659</v>
      </c>
      <c r="D68" s="98">
        <f t="shared" si="246"/>
        <v>145.028337874659</v>
      </c>
      <c r="E68" s="98">
        <f t="shared" si="269"/>
        <v>204.95180722891601</v>
      </c>
      <c r="F68" s="98">
        <f t="shared" si="269"/>
        <v>125.959203036053</v>
      </c>
      <c r="G68" s="377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2691</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2693</v>
      </c>
      <c r="B71" s="98">
        <f t="shared" si="272"/>
        <v>146.57412060301499</v>
      </c>
      <c r="C71" s="98">
        <f t="shared" si="272"/>
        <v>136.468319559229</v>
      </c>
      <c r="D71" s="98">
        <f t="shared" si="246"/>
        <v>136.468319559229</v>
      </c>
      <c r="E71" s="98">
        <f t="shared" si="273"/>
        <v>166.73864894795099</v>
      </c>
      <c r="F71" s="98">
        <f t="shared" si="273"/>
        <v>115.058823529412</v>
      </c>
      <c r="G71" s="376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2694</v>
      </c>
      <c r="B72" s="98">
        <f t="shared" si="272"/>
        <v>144.04145728643201</v>
      </c>
      <c r="C72" s="98">
        <f t="shared" si="272"/>
        <v>136.123966942149</v>
      </c>
      <c r="D72" s="98">
        <f t="shared" si="246"/>
        <v>136.123966942149</v>
      </c>
      <c r="E72" s="98">
        <f t="shared" si="273"/>
        <v>158.32225913621301</v>
      </c>
      <c r="F72" s="98">
        <f t="shared" si="273"/>
        <v>114.04278074866301</v>
      </c>
      <c r="G72" s="377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2695</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2697</v>
      </c>
      <c r="B75" s="98">
        <f t="shared" si="276"/>
        <v>124.290322580645</v>
      </c>
      <c r="C75" s="98">
        <f t="shared" si="276"/>
        <v>123.896860986547</v>
      </c>
      <c r="D75" s="98">
        <f t="shared" si="246"/>
        <v>123.896860986547</v>
      </c>
      <c r="E75" s="98">
        <f t="shared" si="277"/>
        <v>138.005076142132</v>
      </c>
      <c r="F75" s="98">
        <f t="shared" si="277"/>
        <v>107.96106557377</v>
      </c>
      <c r="G75" s="376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2698</v>
      </c>
      <c r="B76" s="98">
        <f t="shared" si="276"/>
        <v>122.57204301075301</v>
      </c>
      <c r="C76" s="98">
        <f t="shared" si="276"/>
        <v>123.493273542601</v>
      </c>
      <c r="D76" s="98">
        <f t="shared" si="246"/>
        <v>123.493273542601</v>
      </c>
      <c r="E76" s="98">
        <f t="shared" si="277"/>
        <v>129.82233502538099</v>
      </c>
      <c r="F76" s="98">
        <f t="shared" si="277"/>
        <v>107.39446721311501</v>
      </c>
      <c r="G76" s="377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2699</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2701</v>
      </c>
      <c r="B79" s="98">
        <f t="shared" si="280"/>
        <v>116.99099099099099</v>
      </c>
      <c r="C79" s="98">
        <f t="shared" si="280"/>
        <v>118.848484848485</v>
      </c>
      <c r="D79" s="98">
        <f t="shared" si="246"/>
        <v>118.848484848485</v>
      </c>
      <c r="E79" s="98">
        <f t="shared" si="281"/>
        <v>117.60960960961</v>
      </c>
      <c r="F79" s="98">
        <f t="shared" si="281"/>
        <v>104</v>
      </c>
      <c r="G79" s="376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2702</v>
      </c>
      <c r="B80" s="122">
        <f t="shared" si="280"/>
        <v>112.486486486486</v>
      </c>
      <c r="C80" s="122">
        <f t="shared" si="280"/>
        <v>115.212121212121</v>
      </c>
      <c r="D80" s="122">
        <f t="shared" si="246"/>
        <v>115.212121212121</v>
      </c>
      <c r="E80" s="122">
        <f t="shared" si="281"/>
        <v>110.402402402402</v>
      </c>
      <c r="F80" s="122">
        <f t="shared" si="281"/>
        <v>104</v>
      </c>
      <c r="G80" s="377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2703</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2704</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2705</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2706</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2707</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2708</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2709</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2710</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2711</v>
      </c>
      <c r="G91" s="183"/>
      <c r="N91" s="183"/>
      <c r="S91" s="183"/>
    </row>
    <row r="92" spans="1:26" s="82" customFormat="1">
      <c r="A92" s="82" t="s">
        <v>2712</v>
      </c>
      <c r="G92" s="183"/>
      <c r="N92" s="183"/>
      <c r="S92" s="183"/>
    </row>
    <row r="93" spans="1:26" s="82" customFormat="1">
      <c r="A93" s="82" t="s">
        <v>2713</v>
      </c>
      <c r="G93" s="183"/>
      <c r="I93" s="195"/>
      <c r="J93" s="195"/>
      <c r="K93" s="195"/>
      <c r="L93" s="195"/>
      <c r="N93" s="196"/>
      <c r="O93" s="195"/>
      <c r="P93" s="195"/>
      <c r="Q93" s="195"/>
      <c r="S93" s="196"/>
      <c r="T93" s="195"/>
      <c r="U93" s="195"/>
      <c r="V93" s="195"/>
    </row>
    <row r="94" spans="1:26" s="82" customFormat="1">
      <c r="A94" s="82" t="s">
        <v>2714</v>
      </c>
      <c r="G94" s="183"/>
      <c r="N94" s="183"/>
      <c r="S94" s="183"/>
    </row>
    <row r="102" spans="7:22">
      <c r="G102" s="83"/>
      <c r="S102" s="200" t="s">
        <v>2715</v>
      </c>
      <c r="T102" s="201" t="s">
        <v>2716</v>
      </c>
      <c r="U102" s="201" t="s">
        <v>2717</v>
      </c>
      <c r="V102" s="201" t="s">
        <v>2718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45218</v>
      </c>
      <c r="D1" s="7" t="s">
        <v>2719</v>
      </c>
      <c r="E1" s="9">
        <f>'数据-取费表'!B22</f>
        <v>2</v>
      </c>
      <c r="F1" s="7" t="s">
        <v>2720</v>
      </c>
      <c r="G1" s="10">
        <f ca="1">INDIRECT("d"&amp;$K$1)/100</f>
        <v>3.4500000000000003E-2</v>
      </c>
      <c r="H1" s="7" t="s">
        <v>2721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2720</v>
      </c>
      <c r="E2" s="11"/>
      <c r="F2" s="11" t="s">
        <v>2722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2729</v>
      </c>
      <c r="C10" s="35"/>
      <c r="D10" s="35"/>
      <c r="E10" s="35"/>
      <c r="F10" s="35"/>
      <c r="G10" s="35"/>
      <c r="H10" s="35"/>
      <c r="I10" s="3"/>
      <c r="J10" s="3"/>
      <c r="K10" s="35"/>
      <c r="L10" s="36" t="s">
        <v>2730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2731</v>
      </c>
      <c r="C11" s="39" t="s">
        <v>2732</v>
      </c>
      <c r="D11" s="40" t="s">
        <v>2733</v>
      </c>
      <c r="E11" s="41"/>
      <c r="F11" s="40" t="s">
        <v>2734</v>
      </c>
      <c r="G11" s="42"/>
      <c r="H11" s="41"/>
      <c r="I11" s="40" t="s">
        <v>2735</v>
      </c>
      <c r="J11" s="41"/>
      <c r="K11" s="37"/>
      <c r="L11" s="38" t="s">
        <v>2731</v>
      </c>
      <c r="M11" s="39" t="s">
        <v>2732</v>
      </c>
      <c r="N11" s="38" t="s">
        <v>2736</v>
      </c>
      <c r="O11" s="40" t="s">
        <v>2737</v>
      </c>
      <c r="P11" s="42"/>
      <c r="Q11" s="42"/>
      <c r="R11" s="42"/>
      <c r="S11" s="42"/>
      <c r="T11" s="41"/>
      <c r="U11" s="40" t="s">
        <v>2738</v>
      </c>
      <c r="V11" s="42"/>
      <c r="W11" s="41"/>
      <c r="X11" s="38" t="s">
        <v>2739</v>
      </c>
      <c r="Y11" s="38" t="s">
        <v>2740</v>
      </c>
      <c r="Z11" s="38" t="s">
        <v>2741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2742</v>
      </c>
      <c r="E12" s="46" t="s">
        <v>2724</v>
      </c>
      <c r="F12" s="46" t="s">
        <v>2725</v>
      </c>
      <c r="G12" s="46" t="s">
        <v>2726</v>
      </c>
      <c r="H12" s="46" t="s">
        <v>2727</v>
      </c>
      <c r="I12" s="60" t="s">
        <v>2743</v>
      </c>
      <c r="J12" s="60" t="s">
        <v>2743</v>
      </c>
      <c r="K12" s="43"/>
      <c r="L12" s="44"/>
      <c r="M12" s="45"/>
      <c r="N12" s="44"/>
      <c r="O12" s="60" t="s">
        <v>2744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2745</v>
      </c>
      <c r="C13" s="49">
        <v>45159</v>
      </c>
      <c r="D13" s="50">
        <v>3.45</v>
      </c>
      <c r="E13" s="50">
        <f>D13</f>
        <v>3.45</v>
      </c>
      <c r="F13" s="50">
        <f>D13</f>
        <v>3.45</v>
      </c>
      <c r="G13" s="50">
        <f>D13</f>
        <v>3.45</v>
      </c>
      <c r="H13" s="50">
        <v>4.2</v>
      </c>
      <c r="I13" s="50"/>
      <c r="J13" s="50"/>
      <c r="K13" s="47"/>
      <c r="L13" s="48" t="s">
        <v>2745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2747</v>
      </c>
      <c r="Y42" s="52" t="s">
        <v>2747</v>
      </c>
      <c r="Z42" s="52" t="s">
        <v>2747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2747</v>
      </c>
      <c r="Y43" s="52" t="s">
        <v>2747</v>
      </c>
      <c r="Z43" s="52" t="s">
        <v>2747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2747</v>
      </c>
      <c r="Y44" s="52" t="s">
        <v>2747</v>
      </c>
      <c r="Z44" s="52" t="s">
        <v>2747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2747</v>
      </c>
      <c r="Y45" s="52" t="s">
        <v>2747</v>
      </c>
      <c r="Z45" s="52" t="s">
        <v>2747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2747</v>
      </c>
      <c r="Y46" s="52" t="s">
        <v>2747</v>
      </c>
      <c r="Z46" s="52" t="s">
        <v>2747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2747</v>
      </c>
      <c r="Y47" s="52" t="s">
        <v>2747</v>
      </c>
      <c r="Z47" s="52" t="s">
        <v>2747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2747</v>
      </c>
      <c r="Y48" s="52" t="s">
        <v>2747</v>
      </c>
      <c r="Z48" s="52" t="s">
        <v>2747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2747</v>
      </c>
      <c r="Y49" s="52" t="s">
        <v>2747</v>
      </c>
      <c r="Z49" s="52" t="s">
        <v>2747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2747</v>
      </c>
      <c r="Y50" s="52" t="s">
        <v>2747</v>
      </c>
      <c r="Z50" s="52" t="s">
        <v>2747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2747</v>
      </c>
      <c r="V51" s="52" t="s">
        <v>2747</v>
      </c>
      <c r="W51" s="52" t="s">
        <v>2747</v>
      </c>
      <c r="X51" s="52" t="s">
        <v>2747</v>
      </c>
      <c r="Y51" s="52" t="s">
        <v>2747</v>
      </c>
      <c r="Z51" s="52" t="s">
        <v>2747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2747</v>
      </c>
      <c r="J66" s="52" t="s">
        <v>2747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6" t="str">
        <f>IF(项目基本情况!B9="房地产市场价值","估价结果一览表","结果表-2")</f>
        <v>结果表-2</v>
      </c>
      <c r="B1" s="3446"/>
      <c r="C1" s="3446"/>
      <c r="D1" s="3446"/>
      <c r="E1" s="3446"/>
      <c r="F1" s="3446"/>
      <c r="G1" s="3446"/>
      <c r="H1" s="3446"/>
      <c r="I1" s="3446"/>
    </row>
    <row r="2" spans="1:9" ht="30" customHeight="1">
      <c r="A2" s="3447" t="s">
        <v>107</v>
      </c>
      <c r="B2" s="3447" t="s">
        <v>108</v>
      </c>
      <c r="C2" s="3447" t="s">
        <v>109</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
      <c r="A3" s="3448"/>
      <c r="B3" s="3448"/>
      <c r="C3" s="3448"/>
      <c r="D3" s="3376" t="s">
        <v>110</v>
      </c>
      <c r="E3" s="3376" t="s">
        <v>111</v>
      </c>
      <c r="F3" s="3376" t="s">
        <v>110</v>
      </c>
      <c r="G3" s="3376" t="s">
        <v>111</v>
      </c>
      <c r="H3" s="3376" t="s">
        <v>110</v>
      </c>
      <c r="I3" s="3376" t="s">
        <v>111</v>
      </c>
    </row>
    <row r="4" spans="1:9" ht="15">
      <c r="A4" s="3377" t="str">
        <f>项目基本情况!S2</f>
        <v>北京市房地产</v>
      </c>
      <c r="B4" s="3376">
        <f>项目基本情况!C17</f>
        <v>46.53</v>
      </c>
      <c r="C4" s="3376">
        <f>项目基本情况!C18</f>
        <v>0</v>
      </c>
      <c r="D4" s="3376">
        <f ca="1">结果表!D118</f>
        <v>65</v>
      </c>
      <c r="E4" s="3376">
        <f ca="1">结果表!E118</f>
        <v>13967</v>
      </c>
      <c r="F4" s="3376">
        <f ca="1">结果表!F118</f>
        <v>41</v>
      </c>
      <c r="G4" s="3376">
        <f ca="1">结果表!G118</f>
        <v>8893</v>
      </c>
      <c r="H4" s="3376">
        <f ca="1">结果表!H118</f>
        <v>106</v>
      </c>
      <c r="I4" s="3376">
        <f ca="1">结果表!I118</f>
        <v>22860</v>
      </c>
    </row>
    <row r="5" spans="1:9" ht="30" customHeight="1">
      <c r="A5" s="3448" t="s">
        <v>112</v>
      </c>
      <c r="B5" s="3448"/>
      <c r="C5" s="3448"/>
      <c r="D5" s="3448" t="str">
        <f ca="1">结果表!D119</f>
        <v>陆拾伍万元整</v>
      </c>
      <c r="E5" s="3448"/>
      <c r="F5" s="3448" t="str">
        <f ca="1">结果表!F119</f>
        <v>肆拾壹万元整</v>
      </c>
      <c r="G5" s="3448"/>
      <c r="H5" s="3448" t="str">
        <f ca="1">结果表!H119</f>
        <v>壹佰零陆万元整</v>
      </c>
      <c r="I5" s="3448"/>
    </row>
    <row r="6" spans="1:9" ht="15.75">
      <c r="A6" s="3449" t="str">
        <f>结果表!A120</f>
        <v>估价师知悉的法定优先受偿款</v>
      </c>
      <c r="B6" s="3449"/>
      <c r="C6" s="3449"/>
      <c r="D6" s="3449">
        <f>结果表!D120</f>
        <v>0</v>
      </c>
      <c r="E6" s="3449"/>
      <c r="F6" s="3449"/>
      <c r="G6" s="3449"/>
      <c r="H6" s="3449"/>
      <c r="I6" s="3449"/>
    </row>
    <row r="7" spans="1:9" ht="15">
      <c r="A7" s="3448" t="s">
        <v>112</v>
      </c>
      <c r="B7" s="3448"/>
      <c r="C7" s="3448"/>
      <c r="D7" s="3450" t="str">
        <f>结果表!D121</f>
        <v>零元整</v>
      </c>
      <c r="E7" s="3451"/>
      <c r="F7" s="3451"/>
      <c r="G7" s="3451"/>
      <c r="H7" s="3451"/>
      <c r="I7" s="3452"/>
    </row>
    <row r="8" spans="1:9" ht="15.75">
      <c r="A8" s="3449" t="str">
        <f>结果表!A122</f>
        <v>房地产抵押价值</v>
      </c>
      <c r="B8" s="3449"/>
      <c r="C8" s="3449"/>
      <c r="D8" s="3449">
        <f ca="1">结果表!D122</f>
        <v>106</v>
      </c>
      <c r="E8" s="3449"/>
      <c r="F8" s="3449"/>
      <c r="G8" s="3449"/>
      <c r="H8" s="3449"/>
      <c r="I8" s="3449"/>
    </row>
    <row r="9" spans="1:9" ht="15">
      <c r="A9" s="3448" t="s">
        <v>112</v>
      </c>
      <c r="B9" s="3448"/>
      <c r="C9" s="3448"/>
      <c r="D9" s="3448" t="str">
        <f ca="1">结果表!D123</f>
        <v>壹佰零陆万元整</v>
      </c>
      <c r="E9" s="3448"/>
      <c r="F9" s="3448"/>
      <c r="G9" s="3448"/>
      <c r="H9" s="3448"/>
      <c r="I9" s="3448"/>
    </row>
    <row r="10" spans="1:9" ht="15.75">
      <c r="A10" s="3449" t="str">
        <f>结果表!A124</f>
        <v/>
      </c>
      <c r="B10" s="3449"/>
      <c r="C10" s="3449"/>
      <c r="D10" s="3449" t="str">
        <f>结果表!D124</f>
        <v>——</v>
      </c>
      <c r="E10" s="3449"/>
      <c r="F10" s="3449"/>
      <c r="G10" s="3449"/>
      <c r="H10" s="3449"/>
      <c r="I10" s="3449"/>
    </row>
    <row r="11" spans="1:9" ht="15">
      <c r="A11" s="3448" t="s">
        <v>112</v>
      </c>
      <c r="B11" s="3448"/>
      <c r="C11" s="3448"/>
      <c r="D11" s="3448" t="e">
        <f>结果表!D125</f>
        <v>#VALUE!</v>
      </c>
      <c r="E11" s="3448"/>
      <c r="F11" s="3448"/>
      <c r="G11" s="3448"/>
      <c r="H11" s="3448"/>
      <c r="I11" s="3448"/>
    </row>
    <row r="12" spans="1:9" ht="15.75">
      <c r="A12" s="3449" t="str">
        <f>结果表!A126</f>
        <v/>
      </c>
      <c r="B12" s="3449"/>
      <c r="C12" s="3449"/>
      <c r="D12" s="3449" t="str">
        <f>结果表!D126</f>
        <v>——</v>
      </c>
      <c r="E12" s="3449"/>
      <c r="F12" s="3449"/>
      <c r="G12" s="3449"/>
      <c r="H12" s="3449"/>
      <c r="I12" s="3449"/>
    </row>
    <row r="13" spans="1:9" ht="15">
      <c r="A13" s="3453" t="s">
        <v>112</v>
      </c>
      <c r="B13" s="3453"/>
      <c r="C13" s="3453"/>
      <c r="D13" s="3453" t="e">
        <f>结果表!D127</f>
        <v>#VALUE!</v>
      </c>
      <c r="E13" s="3453"/>
      <c r="F13" s="3453"/>
      <c r="G13" s="3453"/>
      <c r="H13" s="3453"/>
      <c r="I13" s="3453"/>
    </row>
    <row r="14" spans="1:9">
      <c r="A14" s="3454" t="s">
        <v>113</v>
      </c>
      <c r="B14" s="3454"/>
      <c r="C14" s="3454"/>
      <c r="D14" s="3454"/>
      <c r="E14" s="3454"/>
      <c r="F14" s="3454"/>
      <c r="G14" s="3454"/>
      <c r="H14" s="3454"/>
      <c r="I14" s="3454"/>
    </row>
    <row r="16" spans="1:9" ht="18.75">
      <c r="A16" s="3378"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5" t="s">
        <v>114</v>
      </c>
      <c r="B1" s="3455"/>
      <c r="C1" s="3455"/>
      <c r="D1" s="3455"/>
    </row>
    <row r="2" spans="1:4" ht="18">
      <c r="A2" s="3456" t="s">
        <v>115</v>
      </c>
      <c r="B2" s="3456"/>
      <c r="C2" s="3456"/>
      <c r="D2" s="3456"/>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6" t="s">
        <v>121</v>
      </c>
      <c r="B6" s="3456"/>
      <c r="C6" s="3456"/>
      <c r="D6" s="3456"/>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7"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8" t="str">
        <f>IF(项目基本情况!B8="抵押","4.本次评估估价师所知悉的法定优先受偿款情况说明如下：","——")</f>
        <v>4.本次评估估价师所知悉的法定优先受偿款情况说明如下：</v>
      </c>
      <c r="B14" s="3459"/>
      <c r="C14" s="3459"/>
      <c r="D14" s="3459"/>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0" t="s">
        <v>127</v>
      </c>
      <c r="B16" s="3460"/>
      <c r="C16" s="3460"/>
      <c r="D16" s="3460"/>
    </row>
    <row r="17" spans="1:4" ht="144" customHeight="1">
      <c r="A17" s="3460" t="s">
        <v>128</v>
      </c>
      <c r="B17" s="3460"/>
      <c r="C17" s="3460"/>
      <c r="D17" s="3460"/>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3"/>
      <c r="B23" s="1742"/>
      <c r="C23" s="1742"/>
      <c r="D23" s="1742"/>
    </row>
    <row r="24" spans="1:4">
      <c r="A24" s="3373"/>
      <c r="B24" s="1742"/>
      <c r="C24" s="1742"/>
      <c r="D24" s="1742"/>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6" t="s">
        <v>146</v>
      </c>
      <c r="B15" s="3471" t="s">
        <v>147</v>
      </c>
      <c r="C15" s="3465"/>
    </row>
    <row r="16" spans="1:7" ht="13.5">
      <c r="A16" s="3467"/>
      <c r="B16" s="3471" t="s">
        <v>148</v>
      </c>
      <c r="C16" s="3465"/>
    </row>
    <row r="17" spans="1:3" ht="13.5">
      <c r="A17" s="3467"/>
      <c r="B17" s="3470" t="s">
        <v>149</v>
      </c>
      <c r="C17" s="3353" t="s">
        <v>146</v>
      </c>
    </row>
    <row r="18" spans="1:3" ht="13.5">
      <c r="A18" s="3467"/>
      <c r="B18" s="3470"/>
      <c r="C18" s="3353" t="s">
        <v>150</v>
      </c>
    </row>
    <row r="19" spans="1:3" ht="13.5">
      <c r="A19" s="3467"/>
      <c r="B19" s="3470"/>
      <c r="C19" s="3353" t="s">
        <v>151</v>
      </c>
    </row>
    <row r="20" spans="1:3" ht="13.5">
      <c r="A20" s="3468"/>
      <c r="B20" s="3464" t="s">
        <v>152</v>
      </c>
      <c r="C20" s="3465"/>
    </row>
    <row r="21" spans="1:3" ht="13.5">
      <c r="A21" s="3354" t="s">
        <v>153</v>
      </c>
      <c r="B21" s="3355"/>
      <c r="C21" s="3356"/>
    </row>
    <row r="22" spans="1:3" ht="13.5">
      <c r="A22" s="3469" t="s">
        <v>154</v>
      </c>
      <c r="B22" s="3464" t="s">
        <v>155</v>
      </c>
      <c r="C22" s="3465"/>
    </row>
    <row r="23" spans="1:3" ht="13.5">
      <c r="A23" s="3469"/>
      <c r="B23" s="3464" t="s">
        <v>156</v>
      </c>
      <c r="C23" s="3465"/>
    </row>
    <row r="24" spans="1:3" ht="13.5">
      <c r="A24" s="3469"/>
      <c r="B24" s="3464" t="s">
        <v>157</v>
      </c>
      <c r="C24" s="3465"/>
    </row>
    <row r="25" spans="1:3" ht="13.5">
      <c r="A25" s="3469"/>
      <c r="B25" s="3470" t="s">
        <v>158</v>
      </c>
      <c r="C25" s="3353" t="s">
        <v>159</v>
      </c>
    </row>
    <row r="26" spans="1:3" ht="13.5">
      <c r="A26" s="3469"/>
      <c r="B26" s="3470"/>
      <c r="C26" s="3353" t="s">
        <v>160</v>
      </c>
    </row>
    <row r="27" spans="1:3" ht="13.5">
      <c r="A27" s="3469"/>
      <c r="B27" s="3470"/>
      <c r="C27" s="3353" t="s">
        <v>161</v>
      </c>
    </row>
    <row r="28" spans="1:3" ht="13.5">
      <c r="A28" s="3469"/>
      <c r="B28" s="3470"/>
      <c r="C28" s="3353" t="s">
        <v>162</v>
      </c>
    </row>
    <row r="29" spans="1:3" ht="13.5">
      <c r="A29" s="3469"/>
      <c r="B29" s="3470"/>
      <c r="C29" s="3353" t="s">
        <v>163</v>
      </c>
    </row>
    <row r="30" spans="1:3" ht="13.5">
      <c r="A30" s="3469"/>
      <c r="B30" s="3470"/>
      <c r="C30" s="3353" t="s">
        <v>164</v>
      </c>
    </row>
    <row r="31" spans="1:3" ht="13.5">
      <c r="A31" s="3469"/>
      <c r="B31" s="3470"/>
      <c r="C31" s="3353" t="s">
        <v>165</v>
      </c>
    </row>
    <row r="32" spans="1:3" ht="13.5">
      <c r="A32" s="3469"/>
      <c r="B32" s="3470"/>
      <c r="C32" s="3353" t="s">
        <v>166</v>
      </c>
    </row>
    <row r="33" spans="1:3" ht="13.5">
      <c r="A33" s="3469"/>
      <c r="B33" s="3470"/>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45219</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0"/>
      <c r="E18" s="3474" t="s">
        <v>199</v>
      </c>
      <c r="F18" s="3473"/>
      <c r="G18" s="3473"/>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2023-10-20T08:46:31Z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2052-12.1.0.15374</vt:lpwstr>
  </property>
</Properties>
</file>